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utajononline-my.sharepoint.com/personal/sebastien_petit_autajon_com/Documents/Documents/devis viti/"/>
    </mc:Choice>
  </mc:AlternateContent>
  <xr:revisionPtr revIDLastSave="0" documentId="8_{CFADF07C-7CB1-4D76-B966-318B7BC938F2}" xr6:coauthVersionLast="47" xr6:coauthVersionMax="47" xr10:uidLastSave="{00000000-0000-0000-0000-000000000000}"/>
  <bookViews>
    <workbookView xWindow="-108" yWindow="-108" windowWidth="23256" windowHeight="12456" tabRatio="863" activeTab="13" xr2:uid="{1B72CB2A-7A64-4861-A374-B009FCA6B70D}"/>
  </bookViews>
  <sheets>
    <sheet name="Données Devis" sheetId="1" r:id="rId1"/>
    <sheet name="Résultat" sheetId="10" r:id="rId2"/>
    <sheet name="Lettre Devis" sheetId="11" r:id="rId3"/>
    <sheet name="Pantonier Dorures " sheetId="19" state="hidden" r:id="rId4"/>
    <sheet name="Index" sheetId="9" state="hidden" r:id="rId5"/>
    <sheet name="Pose" sheetId="5" state="hidden" r:id="rId6"/>
    <sheet name="Calcul" sheetId="6" state="hidden" r:id="rId7"/>
    <sheet name="Détail cout" sheetId="7" state="hidden" r:id="rId8"/>
    <sheet name="Paramètres Techniques" sheetId="3" state="hidden" r:id="rId9"/>
    <sheet name="Code Couleur" sheetId="4" state="hidden" r:id="rId10"/>
    <sheet name="Liste MP" sheetId="2" state="hidden" r:id="rId11"/>
    <sheet name="Feuil1" sheetId="17" state="hidden" r:id="rId12"/>
    <sheet name="Détail cout (2)" sheetId="16" state="hidden" r:id="rId13"/>
    <sheet name="ExportApp" sheetId="20" r:id="rId14"/>
  </sheets>
  <externalReferences>
    <externalReference r:id="rId15"/>
  </externalReferences>
  <definedNames>
    <definedName name="_xlnm._FilterDatabase" localSheetId="9" hidden="1">'Code Couleur'!$A$1:$N$911</definedName>
    <definedName name="_xleta.COUNT" hidden="1" xlm="1">#NAME?</definedName>
    <definedName name="_xleta.IFERROR" hidden="1" xlm="1">#NAME?</definedName>
    <definedName name="_xleta.ISERROR" hidden="1" xlm="1">#NAME?</definedName>
    <definedName name="_xleta.MAX" hidden="1" xlm="1">#NAME?</definedName>
    <definedName name="_xleta.MIN" hidden="1" xlm="1">#NAME?</definedName>
    <definedName name="_xleta.NOT" hidden="1" xlm="1">#NAME?</definedName>
    <definedName name="_xleta.SEC" hidden="1" xlm="1">#NAME?</definedName>
    <definedName name="Adhesif" localSheetId="3">OFFSET('[1]Liste MP'!$F$4,,,COUNTA('[1]Liste MP'!$F$4:$F$559)-1)</definedName>
    <definedName name="Adhesif">OFFSET('Liste MP'!$F$4,,,COUNTA('Liste MP'!$F$4:$F$560)-1)</definedName>
    <definedName name="ATC" localSheetId="3">OFFSET([1]Index!$K$2,,,COUNTA([1]Index!$J:$J)-1)</definedName>
    <definedName name="ATC">OFFSET(Index!$K$2,,,COUNTA(Index!$J:$J)-1)</definedName>
    <definedName name="Backing" localSheetId="3">OFFSET('[1]Liste MP'!$H$4,,,COUNTA('[1]Liste MP'!$H$4:$H$559)-1)</definedName>
    <definedName name="Backing">OFFSET('Liste MP'!$H$4,,,COUNTA('Liste MP'!$H$4:$H$560)-1)</definedName>
    <definedName name="Code_couleur" localSheetId="3">OFFSET([1]Index!$C$2,,,COUNTA([1]Index!$A:$A)-1)</definedName>
    <definedName name="Code_couleur">OFFSET(Index!$C$2,,,COUNTA(Index!$A:$A)-1)</definedName>
    <definedName name="CouleurHP" localSheetId="3">OFFSET('[1]Code Couleur'!$D$2,,,COUNTA('[1]Code Couleur'!$A$2:$A$747))</definedName>
    <definedName name="CouleurHP">OFFSET('Code Couleur'!$D$2,,,COUNTA('Code Couleur'!$A$2:$A$746))</definedName>
    <definedName name="Dorure" localSheetId="3">OFFSET('[1]Liste MP'!$W$4,,,COUNTA('[1]Liste MP'!$W$4:$W$899))</definedName>
    <definedName name="Dorure">OFFSET('Liste MP'!$W$4,,,COUNTA('Liste MP'!$W$4:$W$900))</definedName>
    <definedName name="Finition" localSheetId="3">OFFSET([1]Index!$F$3,,,COUNTA([1]Index!$E:$E)-1)</definedName>
    <definedName name="Finition">OFFSET(Index!$F$3,,,COUNTA(Index!$E:$E)-1)</definedName>
    <definedName name="Frontal" localSheetId="3">OFFSET('[1]Liste MP'!$E$4,,,COUNTA('[1]Liste MP'!$E$4:$E$559)-1)</definedName>
    <definedName name="Frontal">OFFSET('Liste MP'!$E$4,,,COUNTA('Liste MP'!$E$4:$E$560)-1)</definedName>
    <definedName name="Frontal_Adhesif" localSheetId="3">OFFSET('[1]Liste MP'!$G$4,,,COUNTA('[1]Liste MP'!$G$4:$G$559)-1)</definedName>
    <definedName name="Frontal_Adhesif">OFFSET('Liste MP'!$G$4,,,COUNTA('Liste MP'!$G$4:$G$560)-1)</definedName>
    <definedName name="Gaufrage" localSheetId="3">OFFSET([1]Index!$X$2,,,COUNTA([1]Index!$X:$X)-1)</definedName>
    <definedName name="Gaufrage">OFFSET(Index!$X$2,,,COUNTA(Index!$X:$X)-1)</definedName>
    <definedName name="Gaufrage_Site" localSheetId="3">OFFSET([1]Index!$Y$2,,,COUNTA([1]Index!$Y:$Y)-1)</definedName>
    <definedName name="Gaufrage_Site">OFFSET(Index!$Y$2,,,COUNTA(Index!$Y:$Y)-1)</definedName>
    <definedName name="Numération" localSheetId="3">OFFSET([1]Index!$U$2,,,COUNTA([1]Index!$U:$U)-1)</definedName>
    <definedName name="Numération">OFFSET(Index!$U$2,,,COUNTA(Index!$U:$U)-1)</definedName>
    <definedName name="Numération_Site" localSheetId="3">OFFSET([1]Index!$V$2,,,COUNTA([1]Index!$V:$V)-1)</definedName>
    <definedName name="Numération_Site">OFFSET(Index!$V$2,,,COUNTA(Index!$V:$V)-1)</definedName>
    <definedName name="Pelliculage" localSheetId="3">OFFSET([1]Index!$R$2,,,COUNTA([1]Index!$R:$R)-1)</definedName>
    <definedName name="Pelliculage">OFFSET(Index!$R$2,,,COUNTA(Index!$R:$R)-1)</definedName>
    <definedName name="Site" localSheetId="3">OFFSET([1]Index!$A$2,,,COUNTA([1]Index!$A:$A)-1)</definedName>
    <definedName name="Site">OFFSET(Index!$A$2,,,COUNTA(Index!$A:$A)-1)</definedName>
    <definedName name="Site_Pelliculage" localSheetId="3">OFFSET([1]Index!$S$2,,,COUNTA([1]Index!$S:$S)-1)</definedName>
    <definedName name="Site_Pelliculage">OFFSET(Index!$S$2,,,COUNTA(Index!$S:$S)-1)</definedName>
    <definedName name="Site2" localSheetId="3">OFFSET('[1]Code Couleur'!$A$2,,,COUNTA('[1]Code Couleur'!$A$2:$A$747))</definedName>
    <definedName name="Site2">OFFSET('Code Couleur'!$A$2,,,COUNTA('Code Couleur'!$A$2:$A$746))</definedName>
    <definedName name="SiteATC" localSheetId="3">OFFSET([1]Index!$J$2,,,COUNTA([1]Index!$J:$J)-1)</definedName>
    <definedName name="SiteATC">OFFSET(Index!$J$2,,,COUNTA(Index!$J:$J)-1)</definedName>
    <definedName name="SiteFinition" localSheetId="3">OFFSET([1]Index!$E$3,,,COUNTA([1]Index!$E:$E)-1)</definedName>
    <definedName name="SiteFinition">OFFSET(Index!$E$3,,,COUNTA(Index!$E:$E)-1)</definedName>
    <definedName name="Type_Vernis" localSheetId="3">OFFSET([1]Index!$P$2,,,COUNTA([1]Index!$O:$O)-1)</definedName>
    <definedName name="Type_Vernis">OFFSET(Index!$P$2,,,COUNTA(Index!$O:$O)-1)</definedName>
    <definedName name="Vernis" localSheetId="3">OFFSET([1]Index!$O$2,,,COUNTA([1]Index!$O:$O)-1)</definedName>
    <definedName name="Vernis">OFFSET(Index!$O$2,,,COUNTA(Index!$O:$O)-1)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G42" i="2" l="1"/>
  <c r="D42" i="2"/>
  <c r="G41" i="2"/>
  <c r="D41" i="2"/>
  <c r="H817" i="4"/>
  <c r="H829" i="4"/>
  <c r="H840" i="4"/>
  <c r="H2" i="4"/>
  <c r="B84" i="9" l="1"/>
  <c r="B85" i="9"/>
  <c r="B86" i="9"/>
  <c r="B87" i="9"/>
  <c r="B88" i="9"/>
  <c r="B89" i="9"/>
  <c r="B90" i="9"/>
  <c r="B91" i="9"/>
  <c r="B92" i="9"/>
  <c r="B93" i="9"/>
  <c r="B94" i="9"/>
  <c r="B95" i="9"/>
  <c r="B96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B75" i="9"/>
  <c r="B76" i="9"/>
  <c r="B77" i="9"/>
  <c r="B78" i="9"/>
  <c r="B79" i="9"/>
  <c r="B80" i="9"/>
  <c r="B81" i="9"/>
  <c r="B82" i="9"/>
  <c r="B83" i="9"/>
  <c r="C75" i="9"/>
  <c r="C76" i="9"/>
  <c r="C77" i="9"/>
  <c r="C78" i="9"/>
  <c r="C79" i="9"/>
  <c r="C80" i="9"/>
  <c r="C81" i="9"/>
  <c r="C82" i="9"/>
  <c r="C83" i="9"/>
  <c r="A75" i="9"/>
  <c r="A76" i="9"/>
  <c r="A77" i="9"/>
  <c r="A78" i="9"/>
  <c r="A79" i="9"/>
  <c r="A80" i="9"/>
  <c r="A81" i="9"/>
  <c r="A82" i="9"/>
  <c r="A83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C2" i="9"/>
  <c r="B2" i="9"/>
  <c r="A2" i="9"/>
  <c r="E50" i="3"/>
  <c r="A50" i="3"/>
  <c r="E47" i="3"/>
  <c r="H851" i="4"/>
  <c r="B817" i="4" l="1"/>
  <c r="B829" i="4"/>
  <c r="B840" i="4"/>
  <c r="N873" i="4"/>
  <c r="H873" i="4"/>
  <c r="B873" i="4"/>
  <c r="B895" i="4"/>
  <c r="H906" i="4"/>
  <c r="B906" i="4"/>
  <c r="B851" i="4" l="1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E46" i="3"/>
  <c r="G6" i="2" l="1"/>
  <c r="D6" i="2"/>
  <c r="D7" i="2"/>
  <c r="G7" i="2"/>
  <c r="D8" i="2"/>
  <c r="G8" i="2"/>
  <c r="D9" i="2"/>
  <c r="G9" i="2"/>
  <c r="D10" i="2"/>
  <c r="G10" i="2"/>
  <c r="D11" i="2"/>
  <c r="G11" i="2"/>
  <c r="D12" i="2"/>
  <c r="G12" i="2"/>
  <c r="D13" i="2"/>
  <c r="G13" i="2"/>
  <c r="D14" i="2"/>
  <c r="G14" i="2"/>
  <c r="D15" i="2"/>
  <c r="G15" i="2"/>
  <c r="D16" i="2"/>
  <c r="G16" i="2"/>
  <c r="D17" i="2"/>
  <c r="G17" i="2"/>
  <c r="D18" i="2"/>
  <c r="G18" i="2"/>
  <c r="D19" i="2"/>
  <c r="G19" i="2"/>
  <c r="D20" i="2"/>
  <c r="G20" i="2"/>
  <c r="D21" i="2"/>
  <c r="G21" i="2"/>
  <c r="D22" i="2"/>
  <c r="G22" i="2"/>
  <c r="D23" i="2"/>
  <c r="G23" i="2"/>
  <c r="D24" i="2"/>
  <c r="G24" i="2"/>
  <c r="D25" i="2"/>
  <c r="G25" i="2"/>
  <c r="D26" i="2"/>
  <c r="G26" i="2"/>
  <c r="D27" i="2"/>
  <c r="G27" i="2"/>
  <c r="D28" i="2"/>
  <c r="G28" i="2"/>
  <c r="D29" i="2"/>
  <c r="G29" i="2"/>
  <c r="D30" i="2"/>
  <c r="G30" i="2"/>
  <c r="D31" i="2"/>
  <c r="G31" i="2"/>
  <c r="D32" i="2"/>
  <c r="G32" i="2"/>
  <c r="D33" i="2"/>
  <c r="G33" i="2"/>
  <c r="D34" i="2"/>
  <c r="G34" i="2"/>
  <c r="D35" i="2"/>
  <c r="G35" i="2"/>
  <c r="D36" i="2"/>
  <c r="G36" i="2"/>
  <c r="D37" i="2"/>
  <c r="G37" i="2"/>
  <c r="D38" i="2"/>
  <c r="G38" i="2"/>
  <c r="D39" i="2"/>
  <c r="G39" i="2"/>
  <c r="D40" i="2"/>
  <c r="G40" i="2"/>
  <c r="D43" i="2"/>
  <c r="G43" i="2"/>
  <c r="D44" i="2"/>
  <c r="G44" i="2"/>
  <c r="D45" i="2"/>
  <c r="G45" i="2"/>
  <c r="D46" i="2"/>
  <c r="G46" i="2"/>
  <c r="D47" i="2"/>
  <c r="G47" i="2"/>
  <c r="D48" i="2"/>
  <c r="G48" i="2"/>
  <c r="D49" i="2"/>
  <c r="G49" i="2"/>
  <c r="D50" i="2"/>
  <c r="G50" i="2"/>
  <c r="D51" i="2"/>
  <c r="G51" i="2"/>
  <c r="D52" i="2"/>
  <c r="G52" i="2"/>
  <c r="D53" i="2"/>
  <c r="G53" i="2"/>
  <c r="D54" i="2"/>
  <c r="G54" i="2"/>
  <c r="D55" i="2"/>
  <c r="G55" i="2"/>
  <c r="D56" i="2"/>
  <c r="G56" i="2"/>
  <c r="D57" i="2"/>
  <c r="G57" i="2"/>
  <c r="D58" i="2"/>
  <c r="G58" i="2"/>
  <c r="D59" i="2"/>
  <c r="G59" i="2"/>
  <c r="D60" i="2"/>
  <c r="G60" i="2"/>
  <c r="D61" i="2"/>
  <c r="G61" i="2"/>
  <c r="D62" i="2"/>
  <c r="G62" i="2"/>
  <c r="D63" i="2"/>
  <c r="G63" i="2"/>
  <c r="N1" i="17" a="1"/>
  <c r="N1" i="17" s="1"/>
  <c r="M1" i="17" a="1"/>
  <c r="M1" i="17" s="1"/>
  <c r="B139" i="9" l="1"/>
  <c r="H911" i="4" l="1"/>
  <c r="H909" i="4"/>
  <c r="H908" i="4"/>
  <c r="H87" i="3"/>
  <c r="H89" i="3"/>
  <c r="H90" i="3"/>
  <c r="H91" i="3"/>
  <c r="D91" i="3"/>
  <c r="B31" i="10"/>
  <c r="B30" i="10"/>
  <c r="B29" i="10"/>
  <c r="B28" i="10"/>
  <c r="G23" i="5"/>
  <c r="D23" i="5" s="1"/>
  <c r="G15" i="5"/>
  <c r="D15" i="5" s="1"/>
  <c r="N911" i="4"/>
  <c r="B911" i="4"/>
  <c r="N910" i="4"/>
  <c r="B910" i="4"/>
  <c r="N909" i="4"/>
  <c r="B909" i="4"/>
  <c r="N908" i="4"/>
  <c r="B908" i="4"/>
  <c r="N907" i="4"/>
  <c r="B907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648" i="4"/>
  <c r="B649" i="4"/>
  <c r="B650" i="4"/>
  <c r="B651" i="4"/>
  <c r="B652" i="4"/>
  <c r="B653" i="4"/>
  <c r="B654" i="4"/>
  <c r="B642" i="4"/>
  <c r="B643" i="4"/>
  <c r="B644" i="4"/>
  <c r="B645" i="4"/>
  <c r="B646" i="4"/>
  <c r="B647" i="4"/>
  <c r="E70" i="3"/>
  <c r="A70" i="3"/>
  <c r="E69" i="3"/>
  <c r="A69" i="3"/>
  <c r="E68" i="3"/>
  <c r="A68" i="3"/>
  <c r="E67" i="3"/>
  <c r="A67" i="3"/>
  <c r="E66" i="3"/>
  <c r="A66" i="3"/>
  <c r="A65" i="3"/>
  <c r="AJ10" i="3"/>
  <c r="AB10" i="3"/>
  <c r="G10" i="3"/>
  <c r="B641" i="4"/>
  <c r="G5" i="11"/>
  <c r="F100" i="9"/>
  <c r="F101" i="9"/>
  <c r="F103" i="9"/>
  <c r="F104" i="9"/>
  <c r="F105" i="9"/>
  <c r="F107" i="9"/>
  <c r="F108" i="9"/>
  <c r="F109" i="9"/>
  <c r="F111" i="9"/>
  <c r="F112" i="9"/>
  <c r="F113" i="9"/>
  <c r="F115" i="9"/>
  <c r="F116" i="9"/>
  <c r="F117" i="9"/>
  <c r="F99" i="9"/>
  <c r="F35" i="11"/>
  <c r="F36" i="11"/>
  <c r="B35" i="11"/>
  <c r="B36" i="11" a="1"/>
  <c r="B36" i="11" s="1"/>
  <c r="E15" i="11"/>
  <c r="E17" i="11"/>
  <c r="H23" i="5" l="1"/>
  <c r="AM23" i="5" s="1"/>
  <c r="H15" i="5"/>
  <c r="AI15" i="5" s="1"/>
  <c r="G65" i="2"/>
  <c r="B640" i="4"/>
  <c r="B639" i="4"/>
  <c r="B638" i="4"/>
  <c r="B637" i="4"/>
  <c r="B634" i="4"/>
  <c r="B633" i="4"/>
  <c r="B629" i="4"/>
  <c r="B625" i="4"/>
  <c r="B624" i="4"/>
  <c r="B618" i="4"/>
  <c r="B613" i="4"/>
  <c r="B612" i="4"/>
  <c r="B605" i="4"/>
  <c r="B599" i="4"/>
  <c r="B598" i="4"/>
  <c r="B589" i="4"/>
  <c r="B583" i="4"/>
  <c r="B582" i="4"/>
  <c r="B573" i="4"/>
  <c r="B567" i="4"/>
  <c r="B566" i="4"/>
  <c r="B560" i="4"/>
  <c r="B552" i="4"/>
  <c r="B546" i="4"/>
  <c r="B544" i="4"/>
  <c r="B532" i="4"/>
  <c r="B526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2" i="4"/>
  <c r="D4" i="2"/>
  <c r="AD23" i="5" l="1"/>
  <c r="AH23" i="5"/>
  <c r="AG23" i="5"/>
  <c r="AK23" i="5"/>
  <c r="S23" i="5"/>
  <c r="AC23" i="5"/>
  <c r="AN23" i="5"/>
  <c r="O23" i="5"/>
  <c r="T23" i="5"/>
  <c r="AE23" i="5"/>
  <c r="V23" i="5"/>
  <c r="U23" i="5"/>
  <c r="R23" i="5"/>
  <c r="AF23" i="5"/>
  <c r="W23" i="5"/>
  <c r="N23" i="5"/>
  <c r="AB23" i="5"/>
  <c r="AO23" i="5"/>
  <c r="AL23" i="5"/>
  <c r="AI23" i="5"/>
  <c r="AJ23" i="5"/>
  <c r="Z23" i="5"/>
  <c r="Y23" i="5"/>
  <c r="P23" i="5"/>
  <c r="I23" i="5"/>
  <c r="Z15" i="5"/>
  <c r="AA23" i="5"/>
  <c r="M23" i="5"/>
  <c r="L23" i="5"/>
  <c r="J23" i="5"/>
  <c r="Q23" i="5"/>
  <c r="X23" i="5"/>
  <c r="K23" i="5"/>
  <c r="P15" i="5"/>
  <c r="AK15" i="5"/>
  <c r="O15" i="5"/>
  <c r="AF15" i="5"/>
  <c r="T15" i="5"/>
  <c r="M15" i="5"/>
  <c r="W15" i="5"/>
  <c r="AG15" i="5"/>
  <c r="U15" i="5"/>
  <c r="J15" i="5"/>
  <c r="Y15" i="5"/>
  <c r="X15" i="5"/>
  <c r="AA15" i="5"/>
  <c r="AN15" i="5"/>
  <c r="V15" i="5"/>
  <c r="L15" i="5"/>
  <c r="AL15" i="5"/>
  <c r="AO15" i="5"/>
  <c r="AC15" i="5"/>
  <c r="I15" i="5"/>
  <c r="AB15" i="5"/>
  <c r="AE15" i="5"/>
  <c r="N15" i="5"/>
  <c r="R15" i="5"/>
  <c r="Q15" i="5"/>
  <c r="K15" i="5"/>
  <c r="AM15" i="5"/>
  <c r="AD15" i="5"/>
  <c r="AH15" i="5"/>
  <c r="S15" i="5"/>
  <c r="AJ15" i="5"/>
  <c r="D22" i="1" a="1"/>
  <c r="D22" i="1" s="1"/>
  <c r="D17" i="1" s="1"/>
  <c r="C23" i="5" l="1"/>
  <c r="E23" i="5" s="1"/>
  <c r="C15" i="5"/>
  <c r="E15" i="5" s="1"/>
  <c r="D5" i="2"/>
  <c r="BC4" i="6"/>
  <c r="BC5" i="6"/>
  <c r="BC6" i="6"/>
  <c r="BC3" i="6"/>
  <c r="G4" i="2"/>
  <c r="G5" i="2"/>
  <c r="BD6" i="6" l="1"/>
  <c r="BD3" i="6"/>
  <c r="BD5" i="6"/>
  <c r="BD4" i="6"/>
  <c r="E49" i="3"/>
  <c r="E48" i="3"/>
  <c r="P15" i="3"/>
  <c r="H80" i="3"/>
  <c r="H82" i="3"/>
  <c r="H83" i="3"/>
  <c r="H84" i="3"/>
  <c r="H85" i="3"/>
  <c r="H86" i="3"/>
  <c r="D31" i="10" l="1"/>
  <c r="D30" i="10"/>
  <c r="D29" i="10"/>
  <c r="D28" i="10"/>
  <c r="G36" i="11" s="1"/>
  <c r="I36" i="11" s="1"/>
  <c r="O18" i="7" l="1"/>
  <c r="N18" i="7"/>
  <c r="M18" i="7"/>
  <c r="L18" i="7"/>
  <c r="K18" i="7"/>
  <c r="J18" i="7"/>
  <c r="AX3" i="6" l="1"/>
  <c r="AX4" i="6" s="1"/>
  <c r="AX5" i="6" s="1"/>
  <c r="AX6" i="6" s="1"/>
  <c r="CU4" i="6"/>
  <c r="CU5" i="6"/>
  <c r="CU6" i="6"/>
  <c r="CU3" i="6"/>
  <c r="AF8" i="3"/>
  <c r="AY3" i="6" l="1"/>
  <c r="AY4" i="6" s="1"/>
  <c r="AY5" i="6" s="1"/>
  <c r="AY6" i="6" s="1"/>
  <c r="K22" i="7"/>
  <c r="K21" i="7"/>
  <c r="L22" i="7" l="1"/>
  <c r="F18" i="7"/>
  <c r="CJ6" i="6" l="1"/>
  <c r="CJ5" i="6"/>
  <c r="CJ4" i="6"/>
  <c r="G24" i="5"/>
  <c r="D24" i="5" s="1"/>
  <c r="N905" i="4"/>
  <c r="H905" i="4"/>
  <c r="B905" i="4"/>
  <c r="N904" i="4"/>
  <c r="H904" i="4"/>
  <c r="B904" i="4"/>
  <c r="N903" i="4"/>
  <c r="H903" i="4"/>
  <c r="B903" i="4"/>
  <c r="N902" i="4"/>
  <c r="H902" i="4"/>
  <c r="B902" i="4"/>
  <c r="N901" i="4"/>
  <c r="H901" i="4"/>
  <c r="B901" i="4"/>
  <c r="N900" i="4"/>
  <c r="H900" i="4"/>
  <c r="B900" i="4"/>
  <c r="N899" i="4"/>
  <c r="H899" i="4"/>
  <c r="B899" i="4"/>
  <c r="N898" i="4"/>
  <c r="H898" i="4"/>
  <c r="B898" i="4"/>
  <c r="N897" i="4"/>
  <c r="H897" i="4"/>
  <c r="B897" i="4"/>
  <c r="N896" i="4"/>
  <c r="H896" i="4"/>
  <c r="B896" i="4"/>
  <c r="E64" i="3"/>
  <c r="A64" i="3"/>
  <c r="E63" i="3"/>
  <c r="A63" i="3"/>
  <c r="E62" i="3"/>
  <c r="A62" i="3"/>
  <c r="E61" i="3"/>
  <c r="A61" i="3"/>
  <c r="E60" i="3"/>
  <c r="A60" i="3"/>
  <c r="A59" i="3"/>
  <c r="E58" i="3"/>
  <c r="A58" i="3"/>
  <c r="AJ5" i="3"/>
  <c r="AJ6" i="3"/>
  <c r="AJ7" i="3"/>
  <c r="AJ8" i="3"/>
  <c r="AJ9" i="3"/>
  <c r="G5" i="3"/>
  <c r="G6" i="3"/>
  <c r="G7" i="3"/>
  <c r="G8" i="3"/>
  <c r="G9" i="3"/>
  <c r="B12" i="10" a="1"/>
  <c r="B12" i="10" s="1"/>
  <c r="H24" i="5" l="1"/>
  <c r="AO24" i="5" l="1"/>
  <c r="AG24" i="5"/>
  <c r="Y24" i="5"/>
  <c r="Q24" i="5"/>
  <c r="I24" i="5"/>
  <c r="AN24" i="5"/>
  <c r="AE24" i="5"/>
  <c r="AM24" i="5"/>
  <c r="AL24" i="5"/>
  <c r="AD24" i="5"/>
  <c r="V24" i="5"/>
  <c r="N24" i="5"/>
  <c r="P24" i="5"/>
  <c r="AK24" i="5"/>
  <c r="AC24" i="5"/>
  <c r="U24" i="5"/>
  <c r="M24" i="5"/>
  <c r="AF24" i="5"/>
  <c r="AJ24" i="5"/>
  <c r="AB24" i="5"/>
  <c r="T24" i="5"/>
  <c r="L24" i="5"/>
  <c r="W24" i="5"/>
  <c r="AI24" i="5"/>
  <c r="AA24" i="5"/>
  <c r="S24" i="5"/>
  <c r="K24" i="5"/>
  <c r="AH24" i="5"/>
  <c r="Z24" i="5"/>
  <c r="R24" i="5"/>
  <c r="J24" i="5"/>
  <c r="X24" i="5"/>
  <c r="O24" i="5"/>
  <c r="C4" i="6"/>
  <c r="C5" i="6"/>
  <c r="C6" i="6"/>
  <c r="C3" i="6"/>
  <c r="B4" i="6"/>
  <c r="B5" i="6"/>
  <c r="B6" i="6"/>
  <c r="B3" i="6"/>
  <c r="A6" i="5"/>
  <c r="G16" i="5"/>
  <c r="H16" i="5" s="1"/>
  <c r="J11" i="3"/>
  <c r="I11" i="3"/>
  <c r="H11" i="3"/>
  <c r="AJ11" i="3"/>
  <c r="AB11" i="3"/>
  <c r="G11" i="3"/>
  <c r="K11" i="3" l="1"/>
  <c r="C24" i="5"/>
  <c r="E24" i="5" s="1"/>
  <c r="D16" i="5"/>
  <c r="AO16" i="5"/>
  <c r="AG16" i="5"/>
  <c r="Y16" i="5"/>
  <c r="Q16" i="5"/>
  <c r="I16" i="5"/>
  <c r="M16" i="5"/>
  <c r="AN16" i="5"/>
  <c r="AF16" i="5"/>
  <c r="X16" i="5"/>
  <c r="P16" i="5"/>
  <c r="U16" i="5"/>
  <c r="AM16" i="5"/>
  <c r="AE16" i="5"/>
  <c r="W16" i="5"/>
  <c r="O16" i="5"/>
  <c r="AL16" i="5"/>
  <c r="AD16" i="5"/>
  <c r="V16" i="5"/>
  <c r="N16" i="5"/>
  <c r="AC16" i="5"/>
  <c r="AK16" i="5"/>
  <c r="AJ16" i="5"/>
  <c r="AB16" i="5"/>
  <c r="T16" i="5"/>
  <c r="L16" i="5"/>
  <c r="AA16" i="5"/>
  <c r="S16" i="5"/>
  <c r="K16" i="5"/>
  <c r="AI16" i="5"/>
  <c r="AH16" i="5"/>
  <c r="Z16" i="5"/>
  <c r="R16" i="5"/>
  <c r="J16" i="5"/>
  <c r="B108" i="3"/>
  <c r="BH3" i="6"/>
  <c r="BI3" i="6" s="1"/>
  <c r="C16" i="5" l="1"/>
  <c r="E16" i="5" s="1"/>
  <c r="BH4" i="6"/>
  <c r="BH5" i="6" s="1"/>
  <c r="BH6" i="6" s="1"/>
  <c r="BI4" i="6"/>
  <c r="BI5" i="6" s="1"/>
  <c r="BI6" i="6" s="1"/>
  <c r="B37" i="11"/>
  <c r="F37" i="11" s="1"/>
  <c r="G37" i="11" s="1"/>
  <c r="I37" i="11" s="1"/>
  <c r="G35" i="11" l="1"/>
  <c r="I35" i="11" s="1"/>
  <c r="N828" i="4"/>
  <c r="B828" i="4"/>
  <c r="H828" i="4"/>
  <c r="H821" i="4"/>
  <c r="H820" i="4"/>
  <c r="H819" i="4"/>
  <c r="H827" i="4"/>
  <c r="H818" i="4"/>
  <c r="B4" i="10" l="1" a="1"/>
  <c r="B4" i="10" s="1"/>
  <c r="F22" i="16"/>
  <c r="F23" i="16" s="1"/>
  <c r="B19" i="16"/>
  <c r="E4" i="10"/>
  <c r="D4" i="10"/>
  <c r="C4" i="10"/>
  <c r="C12" i="10" l="1"/>
  <c r="D12" i="10" s="1"/>
  <c r="E12" i="10" s="1"/>
  <c r="F81" i="3"/>
  <c r="D101" i="3" l="1"/>
  <c r="B894" i="4" l="1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53" i="4"/>
  <c r="B852" i="4"/>
  <c r="B850" i="4"/>
  <c r="B849" i="4"/>
  <c r="B848" i="4"/>
  <c r="B847" i="4"/>
  <c r="B846" i="4"/>
  <c r="B845" i="4"/>
  <c r="B844" i="4"/>
  <c r="B843" i="4"/>
  <c r="B842" i="4"/>
  <c r="B841" i="4"/>
  <c r="B839" i="4"/>
  <c r="B838" i="4"/>
  <c r="B837" i="4"/>
  <c r="B836" i="4"/>
  <c r="B835" i="4"/>
  <c r="B834" i="4"/>
  <c r="B833" i="4"/>
  <c r="B832" i="4"/>
  <c r="B831" i="4"/>
  <c r="B830" i="4"/>
  <c r="B827" i="4"/>
  <c r="B826" i="4"/>
  <c r="B825" i="4"/>
  <c r="B824" i="4"/>
  <c r="B823" i="4"/>
  <c r="B822" i="4"/>
  <c r="B821" i="4"/>
  <c r="B820" i="4"/>
  <c r="B819" i="4"/>
  <c r="B818" i="4"/>
  <c r="AO25" i="5" l="1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G22" i="5"/>
  <c r="G21" i="5"/>
  <c r="G20" i="5"/>
  <c r="D20" i="5" s="1"/>
  <c r="G19" i="5"/>
  <c r="D19" i="5" s="1"/>
  <c r="G18" i="5"/>
  <c r="H18" i="5" s="1"/>
  <c r="AN18" i="5" s="1"/>
  <c r="G14" i="5"/>
  <c r="H14" i="5" s="1"/>
  <c r="G13" i="5"/>
  <c r="D13" i="5" s="1"/>
  <c r="G12" i="5"/>
  <c r="H12" i="5" s="1"/>
  <c r="G11" i="5"/>
  <c r="D11" i="5" s="1"/>
  <c r="G10" i="5"/>
  <c r="H10" i="5" s="1"/>
  <c r="G9" i="5"/>
  <c r="H9" i="5" s="1"/>
  <c r="M10" i="5" l="1"/>
  <c r="K12" i="5"/>
  <c r="I9" i="5"/>
  <c r="H22" i="5"/>
  <c r="AJ22" i="5" s="1"/>
  <c r="D9" i="5"/>
  <c r="D14" i="5"/>
  <c r="D10" i="5"/>
  <c r="I14" i="5"/>
  <c r="X14" i="5"/>
  <c r="L10" i="5"/>
  <c r="H11" i="5"/>
  <c r="V14" i="5"/>
  <c r="N14" i="5"/>
  <c r="AB10" i="5"/>
  <c r="AN14" i="5"/>
  <c r="AN12" i="5"/>
  <c r="AJ10" i="5"/>
  <c r="AL14" i="5"/>
  <c r="AH12" i="5"/>
  <c r="J12" i="5"/>
  <c r="AF14" i="5"/>
  <c r="AF12" i="5"/>
  <c r="T10" i="5"/>
  <c r="AD14" i="5"/>
  <c r="Z12" i="5"/>
  <c r="X12" i="5"/>
  <c r="R12" i="5"/>
  <c r="P14" i="5"/>
  <c r="P12" i="5"/>
  <c r="AG9" i="5"/>
  <c r="AN9" i="5"/>
  <c r="AF9" i="5"/>
  <c r="X9" i="5"/>
  <c r="O9" i="5"/>
  <c r="AM14" i="5"/>
  <c r="AE14" i="5"/>
  <c r="W14" i="5"/>
  <c r="O14" i="5"/>
  <c r="AO12" i="5"/>
  <c r="AG12" i="5"/>
  <c r="Y12" i="5"/>
  <c r="Q12" i="5"/>
  <c r="I12" i="5"/>
  <c r="AI10" i="5"/>
  <c r="AA10" i="5"/>
  <c r="S10" i="5"/>
  <c r="K10" i="5"/>
  <c r="AM9" i="5"/>
  <c r="AE9" i="5"/>
  <c r="W9" i="5"/>
  <c r="N9" i="5"/>
  <c r="AH10" i="5"/>
  <c r="Z10" i="5"/>
  <c r="R10" i="5"/>
  <c r="J10" i="5"/>
  <c r="AL9" i="5"/>
  <c r="AD9" i="5"/>
  <c r="V9" i="5"/>
  <c r="M9" i="5"/>
  <c r="AK14" i="5"/>
  <c r="AC14" i="5"/>
  <c r="U14" i="5"/>
  <c r="M14" i="5"/>
  <c r="AM12" i="5"/>
  <c r="AE12" i="5"/>
  <c r="W12" i="5"/>
  <c r="O12" i="5"/>
  <c r="AO10" i="5"/>
  <c r="AG10" i="5"/>
  <c r="Y10" i="5"/>
  <c r="Q10" i="5"/>
  <c r="I10" i="5"/>
  <c r="AO9" i="5"/>
  <c r="AK9" i="5"/>
  <c r="AC9" i="5"/>
  <c r="U9" i="5"/>
  <c r="L9" i="5"/>
  <c r="AJ14" i="5"/>
  <c r="AB14" i="5"/>
  <c r="T14" i="5"/>
  <c r="L14" i="5"/>
  <c r="AL12" i="5"/>
  <c r="AD12" i="5"/>
  <c r="V12" i="5"/>
  <c r="N12" i="5"/>
  <c r="AN10" i="5"/>
  <c r="AF10" i="5"/>
  <c r="X10" i="5"/>
  <c r="P10" i="5"/>
  <c r="AJ9" i="5"/>
  <c r="AB9" i="5"/>
  <c r="T9" i="5"/>
  <c r="K9" i="5"/>
  <c r="AI14" i="5"/>
  <c r="AA14" i="5"/>
  <c r="S14" i="5"/>
  <c r="K14" i="5"/>
  <c r="AK12" i="5"/>
  <c r="AC12" i="5"/>
  <c r="U12" i="5"/>
  <c r="M12" i="5"/>
  <c r="AM10" i="5"/>
  <c r="AE10" i="5"/>
  <c r="W10" i="5"/>
  <c r="O10" i="5"/>
  <c r="Y9" i="5"/>
  <c r="AI9" i="5"/>
  <c r="AA9" i="5"/>
  <c r="S9" i="5"/>
  <c r="J9" i="5"/>
  <c r="AH14" i="5"/>
  <c r="Z14" i="5"/>
  <c r="R14" i="5"/>
  <c r="J14" i="5"/>
  <c r="AJ12" i="5"/>
  <c r="AB12" i="5"/>
  <c r="T12" i="5"/>
  <c r="L12" i="5"/>
  <c r="AL10" i="5"/>
  <c r="AD10" i="5"/>
  <c r="V10" i="5"/>
  <c r="N10" i="5"/>
  <c r="P9" i="5"/>
  <c r="Q9" i="5"/>
  <c r="AH9" i="5"/>
  <c r="Z9" i="5"/>
  <c r="R9" i="5"/>
  <c r="AO14" i="5"/>
  <c r="AG14" i="5"/>
  <c r="Y14" i="5"/>
  <c r="Q14" i="5"/>
  <c r="AI12" i="5"/>
  <c r="AA12" i="5"/>
  <c r="S12" i="5"/>
  <c r="AK10" i="5"/>
  <c r="AC10" i="5"/>
  <c r="U10" i="5"/>
  <c r="I18" i="5"/>
  <c r="Q18" i="5"/>
  <c r="Y18" i="5"/>
  <c r="AG18" i="5"/>
  <c r="AO18" i="5"/>
  <c r="J18" i="5"/>
  <c r="R18" i="5"/>
  <c r="Z18" i="5"/>
  <c r="AH18" i="5"/>
  <c r="K18" i="5"/>
  <c r="AI18" i="5"/>
  <c r="L18" i="5"/>
  <c r="T18" i="5"/>
  <c r="AB18" i="5"/>
  <c r="AJ18" i="5"/>
  <c r="M18" i="5"/>
  <c r="U18" i="5"/>
  <c r="AC18" i="5"/>
  <c r="AK18" i="5"/>
  <c r="S18" i="5"/>
  <c r="N18" i="5"/>
  <c r="V18" i="5"/>
  <c r="AD18" i="5"/>
  <c r="AL18" i="5"/>
  <c r="O18" i="5"/>
  <c r="W18" i="5"/>
  <c r="AE18" i="5"/>
  <c r="AM18" i="5"/>
  <c r="AA18" i="5"/>
  <c r="P18" i="5"/>
  <c r="X18" i="5"/>
  <c r="AF18" i="5"/>
  <c r="H20" i="5"/>
  <c r="H13" i="5"/>
  <c r="H19" i="5"/>
  <c r="J19" i="5" s="1"/>
  <c r="D22" i="5"/>
  <c r="D18" i="5"/>
  <c r="D12" i="5"/>
  <c r="B107" i="3"/>
  <c r="H849" i="4"/>
  <c r="H846" i="4"/>
  <c r="H845" i="4"/>
  <c r="H844" i="4"/>
  <c r="H843" i="4"/>
  <c r="H842" i="4"/>
  <c r="H841" i="4"/>
  <c r="E17" i="3"/>
  <c r="F17" i="3"/>
  <c r="G17" i="3"/>
  <c r="E57" i="3"/>
  <c r="A57" i="3"/>
  <c r="E56" i="3"/>
  <c r="A56" i="3"/>
  <c r="E55" i="3"/>
  <c r="A55" i="3"/>
  <c r="E54" i="3"/>
  <c r="A54" i="3"/>
  <c r="E53" i="3"/>
  <c r="A53" i="3"/>
  <c r="E52" i="3"/>
  <c r="A52" i="3"/>
  <c r="E51" i="3"/>
  <c r="A51" i="3"/>
  <c r="E44" i="3"/>
  <c r="A44" i="3"/>
  <c r="E43" i="3"/>
  <c r="A43" i="3"/>
  <c r="E42" i="3"/>
  <c r="A42" i="3"/>
  <c r="E41" i="3"/>
  <c r="A41" i="3"/>
  <c r="E40" i="3"/>
  <c r="A40" i="3"/>
  <c r="A39" i="3"/>
  <c r="E38" i="3"/>
  <c r="A38" i="3"/>
  <c r="E37" i="3"/>
  <c r="A37" i="3"/>
  <c r="E36" i="3"/>
  <c r="A36" i="3"/>
  <c r="E35" i="3"/>
  <c r="A35" i="3"/>
  <c r="E34" i="3"/>
  <c r="A34" i="3"/>
  <c r="E33" i="3"/>
  <c r="A33" i="3"/>
  <c r="A32" i="3"/>
  <c r="E31" i="3"/>
  <c r="A31" i="3"/>
  <c r="N827" i="4"/>
  <c r="N826" i="4"/>
  <c r="N825" i="4"/>
  <c r="N824" i="4"/>
  <c r="N823" i="4"/>
  <c r="N822" i="4"/>
  <c r="N821" i="4"/>
  <c r="N820" i="4"/>
  <c r="N819" i="4"/>
  <c r="N818" i="4"/>
  <c r="N894" i="4"/>
  <c r="H894" i="4"/>
  <c r="N893" i="4"/>
  <c r="H893" i="4"/>
  <c r="N892" i="4"/>
  <c r="H892" i="4"/>
  <c r="N891" i="4"/>
  <c r="H891" i="4"/>
  <c r="N890" i="4"/>
  <c r="H890" i="4"/>
  <c r="N889" i="4"/>
  <c r="H889" i="4"/>
  <c r="N888" i="4"/>
  <c r="H888" i="4"/>
  <c r="N887" i="4"/>
  <c r="N886" i="4"/>
  <c r="N885" i="4"/>
  <c r="N884" i="4"/>
  <c r="N883" i="4"/>
  <c r="H883" i="4"/>
  <c r="N882" i="4"/>
  <c r="N881" i="4"/>
  <c r="N880" i="4"/>
  <c r="N879" i="4"/>
  <c r="H879" i="4"/>
  <c r="N878" i="4"/>
  <c r="H878" i="4"/>
  <c r="N877" i="4"/>
  <c r="H877" i="4"/>
  <c r="N876" i="4"/>
  <c r="H876" i="4"/>
  <c r="N875" i="4"/>
  <c r="H875" i="4"/>
  <c r="N874" i="4"/>
  <c r="H874" i="4"/>
  <c r="N839" i="4"/>
  <c r="H839" i="4"/>
  <c r="N838" i="4"/>
  <c r="H838" i="4"/>
  <c r="N837" i="4"/>
  <c r="H837" i="4"/>
  <c r="N836" i="4"/>
  <c r="H836" i="4"/>
  <c r="N835" i="4"/>
  <c r="H835" i="4"/>
  <c r="N834" i="4"/>
  <c r="H834" i="4"/>
  <c r="N833" i="4"/>
  <c r="H833" i="4"/>
  <c r="N832" i="4"/>
  <c r="H832" i="4"/>
  <c r="N831" i="4"/>
  <c r="H831" i="4"/>
  <c r="N830" i="4"/>
  <c r="H830" i="4"/>
  <c r="C14" i="5" l="1"/>
  <c r="E14" i="5" s="1"/>
  <c r="C10" i="5"/>
  <c r="E10" i="5" s="1"/>
  <c r="C9" i="5"/>
  <c r="E9" i="5" s="1"/>
  <c r="C12" i="5"/>
  <c r="E12" i="5" s="1"/>
  <c r="L11" i="5"/>
  <c r="R22" i="5"/>
  <c r="V22" i="5"/>
  <c r="I22" i="5"/>
  <c r="AM22" i="5"/>
  <c r="S22" i="5"/>
  <c r="AK22" i="5"/>
  <c r="AN22" i="5"/>
  <c r="T22" i="5"/>
  <c r="AG22" i="5"/>
  <c r="X22" i="5"/>
  <c r="AL22" i="5"/>
  <c r="Q22" i="5"/>
  <c r="P22" i="5"/>
  <c r="AD22" i="5"/>
  <c r="N22" i="5"/>
  <c r="W22" i="5"/>
  <c r="AI22" i="5"/>
  <c r="AH22" i="5"/>
  <c r="AE22" i="5"/>
  <c r="AB22" i="5"/>
  <c r="AA22" i="5"/>
  <c r="Z22" i="5"/>
  <c r="AO22" i="5"/>
  <c r="U22" i="5"/>
  <c r="O22" i="5"/>
  <c r="AC22" i="5"/>
  <c r="L22" i="5"/>
  <c r="K22" i="5"/>
  <c r="J22" i="5"/>
  <c r="Y22" i="5"/>
  <c r="AF22" i="5"/>
  <c r="M22" i="5"/>
  <c r="T11" i="5"/>
  <c r="X11" i="5"/>
  <c r="AE11" i="5"/>
  <c r="W11" i="5"/>
  <c r="AO11" i="5"/>
  <c r="AB11" i="5"/>
  <c r="AF11" i="5"/>
  <c r="AC11" i="5"/>
  <c r="Y11" i="5"/>
  <c r="AK11" i="5"/>
  <c r="O11" i="5"/>
  <c r="AA11" i="5"/>
  <c r="P11" i="5"/>
  <c r="AG11" i="5"/>
  <c r="AJ11" i="5"/>
  <c r="N11" i="5"/>
  <c r="AM11" i="5"/>
  <c r="AN11" i="5"/>
  <c r="J11" i="5"/>
  <c r="V11" i="5"/>
  <c r="R11" i="5"/>
  <c r="K11" i="5"/>
  <c r="M11" i="5"/>
  <c r="AD11" i="5"/>
  <c r="I11" i="5"/>
  <c r="Z11" i="5"/>
  <c r="S11" i="5"/>
  <c r="U11" i="5"/>
  <c r="AL11" i="5"/>
  <c r="Q11" i="5"/>
  <c r="AH11" i="5"/>
  <c r="AI11" i="5"/>
  <c r="J13" i="5"/>
  <c r="R13" i="5"/>
  <c r="Z13" i="5"/>
  <c r="AH13" i="5"/>
  <c r="K13" i="5"/>
  <c r="S13" i="5"/>
  <c r="AA13" i="5"/>
  <c r="AI13" i="5"/>
  <c r="L13" i="5"/>
  <c r="T13" i="5"/>
  <c r="AB13" i="5"/>
  <c r="AJ13" i="5"/>
  <c r="M13" i="5"/>
  <c r="U13" i="5"/>
  <c r="AC13" i="5"/>
  <c r="AK13" i="5"/>
  <c r="Y13" i="5"/>
  <c r="AO13" i="5"/>
  <c r="N13" i="5"/>
  <c r="V13" i="5"/>
  <c r="AD13" i="5"/>
  <c r="AL13" i="5"/>
  <c r="O13" i="5"/>
  <c r="W13" i="5"/>
  <c r="AE13" i="5"/>
  <c r="AM13" i="5"/>
  <c r="P13" i="5"/>
  <c r="X13" i="5"/>
  <c r="AF13" i="5"/>
  <c r="AN13" i="5"/>
  <c r="I13" i="5"/>
  <c r="Q13" i="5"/>
  <c r="AG13" i="5"/>
  <c r="AM19" i="5"/>
  <c r="AE19" i="5"/>
  <c r="W19" i="5"/>
  <c r="O19" i="5"/>
  <c r="AH19" i="5"/>
  <c r="AL19" i="5"/>
  <c r="AD19" i="5"/>
  <c r="V19" i="5"/>
  <c r="N19" i="5"/>
  <c r="AK19" i="5"/>
  <c r="AC19" i="5"/>
  <c r="U19" i="5"/>
  <c r="M19" i="5"/>
  <c r="R19" i="5"/>
  <c r="AJ19" i="5"/>
  <c r="AB19" i="5"/>
  <c r="T19" i="5"/>
  <c r="L19" i="5"/>
  <c r="AI19" i="5"/>
  <c r="AA19" i="5"/>
  <c r="S19" i="5"/>
  <c r="K19" i="5"/>
  <c r="Z19" i="5"/>
  <c r="AO19" i="5"/>
  <c r="AG19" i="5"/>
  <c r="Y19" i="5"/>
  <c r="Q19" i="5"/>
  <c r="I19" i="5"/>
  <c r="AN19" i="5"/>
  <c r="AF19" i="5"/>
  <c r="X19" i="5"/>
  <c r="P19" i="5"/>
  <c r="AL20" i="5"/>
  <c r="AD20" i="5"/>
  <c r="V20" i="5"/>
  <c r="N20" i="5"/>
  <c r="AO20" i="5"/>
  <c r="Q20" i="5"/>
  <c r="AK20" i="5"/>
  <c r="AC20" i="5"/>
  <c r="U20" i="5"/>
  <c r="M20" i="5"/>
  <c r="AJ20" i="5"/>
  <c r="AB20" i="5"/>
  <c r="T20" i="5"/>
  <c r="L20" i="5"/>
  <c r="Y20" i="5"/>
  <c r="AI20" i="5"/>
  <c r="AA20" i="5"/>
  <c r="S20" i="5"/>
  <c r="K20" i="5"/>
  <c r="AH20" i="5"/>
  <c r="Z20" i="5"/>
  <c r="R20" i="5"/>
  <c r="J20" i="5"/>
  <c r="AG20" i="5"/>
  <c r="I20" i="5"/>
  <c r="AN20" i="5"/>
  <c r="AF20" i="5"/>
  <c r="X20" i="5"/>
  <c r="P20" i="5"/>
  <c r="AM20" i="5"/>
  <c r="AE20" i="5"/>
  <c r="W20" i="5"/>
  <c r="O20" i="5"/>
  <c r="C18" i="5"/>
  <c r="E18" i="5" s="1"/>
  <c r="H21" i="5"/>
  <c r="J21" i="5" s="1"/>
  <c r="D21" i="5"/>
  <c r="B15" i="7"/>
  <c r="C11" i="5" l="1"/>
  <c r="E11" i="5" s="1"/>
  <c r="C13" i="5"/>
  <c r="E13" i="5" s="1"/>
  <c r="C22" i="5"/>
  <c r="AK21" i="5"/>
  <c r="AC21" i="5"/>
  <c r="U21" i="5"/>
  <c r="M21" i="5"/>
  <c r="AF21" i="5"/>
  <c r="AJ21" i="5"/>
  <c r="AB21" i="5"/>
  <c r="T21" i="5"/>
  <c r="L21" i="5"/>
  <c r="AI21" i="5"/>
  <c r="AA21" i="5"/>
  <c r="S21" i="5"/>
  <c r="K21" i="5"/>
  <c r="AN21" i="5"/>
  <c r="P21" i="5"/>
  <c r="AH21" i="5"/>
  <c r="Z21" i="5"/>
  <c r="R21" i="5"/>
  <c r="AO21" i="5"/>
  <c r="AG21" i="5"/>
  <c r="Y21" i="5"/>
  <c r="Q21" i="5"/>
  <c r="I21" i="5"/>
  <c r="X21" i="5"/>
  <c r="AM21" i="5"/>
  <c r="AE21" i="5"/>
  <c r="W21" i="5"/>
  <c r="O21" i="5"/>
  <c r="AL21" i="5"/>
  <c r="AD21" i="5"/>
  <c r="V21" i="5"/>
  <c r="N21" i="5"/>
  <c r="C19" i="5"/>
  <c r="C20" i="5"/>
  <c r="E20" i="5" s="1"/>
  <c r="B38" i="11"/>
  <c r="E21" i="11"/>
  <c r="C42" i="11"/>
  <c r="A48" i="11"/>
  <c r="A49" i="11" s="1"/>
  <c r="B30" i="11"/>
  <c r="B31" i="11"/>
  <c r="B29" i="11"/>
  <c r="B28" i="11"/>
  <c r="C25" i="11"/>
  <c r="E22" i="5" l="1"/>
  <c r="F38" i="11"/>
  <c r="G38" i="11" s="1"/>
  <c r="I38" i="11" s="1"/>
  <c r="E19" i="5"/>
  <c r="C21" i="5"/>
  <c r="E21" i="5" s="1"/>
  <c r="A50" i="11"/>
  <c r="E14" i="11"/>
  <c r="D12" i="11"/>
  <c r="A8" i="11"/>
  <c r="A6" i="11"/>
  <c r="G4" i="11"/>
  <c r="E20" i="11" s="1"/>
  <c r="G3" i="11"/>
  <c r="G2" i="11"/>
  <c r="F85" i="3"/>
  <c r="F84" i="3"/>
  <c r="F83" i="3"/>
  <c r="F82" i="3"/>
  <c r="AB17" i="3"/>
  <c r="O17" i="3"/>
  <c r="N17" i="3"/>
  <c r="AB9" i="3" l="1"/>
  <c r="AB8" i="3"/>
  <c r="AB7" i="3"/>
  <c r="AB6" i="3"/>
  <c r="AB5" i="3"/>
  <c r="AF16" i="3"/>
  <c r="AG16" i="3"/>
  <c r="AH16" i="3"/>
  <c r="AJ16" i="3"/>
  <c r="AK16" i="3"/>
  <c r="DE4" i="6" l="1"/>
  <c r="DE5" i="6"/>
  <c r="DE6" i="6"/>
  <c r="DE3" i="6"/>
  <c r="BM4" i="6"/>
  <c r="BM5" i="6"/>
  <c r="BM6" i="6"/>
  <c r="AS4" i="6"/>
  <c r="AT4" i="6" s="1"/>
  <c r="AS5" i="6"/>
  <c r="AT5" i="6" s="1"/>
  <c r="AS6" i="6"/>
  <c r="AT6" i="6" s="1"/>
  <c r="AS3" i="6"/>
  <c r="AN4" i="6"/>
  <c r="AO4" i="6" s="1"/>
  <c r="AN5" i="6"/>
  <c r="AO5" i="6" s="1"/>
  <c r="AN6" i="6"/>
  <c r="AO6" i="6" s="1"/>
  <c r="AN3" i="6"/>
  <c r="AO3" i="6" s="1"/>
  <c r="G6" i="5"/>
  <c r="F6" i="5"/>
  <c r="N847" i="4"/>
  <c r="N848" i="4"/>
  <c r="N849" i="4"/>
  <c r="N850" i="4"/>
  <c r="N842" i="4"/>
  <c r="N843" i="4"/>
  <c r="N844" i="4"/>
  <c r="N845" i="4"/>
  <c r="N846" i="4"/>
  <c r="N841" i="4"/>
  <c r="A45" i="3"/>
  <c r="A46" i="3"/>
  <c r="A47" i="3"/>
  <c r="A48" i="3"/>
  <c r="A49" i="3"/>
  <c r="E45" i="3"/>
  <c r="AB15" i="3"/>
  <c r="N15" i="3"/>
  <c r="E14" i="3"/>
  <c r="E16" i="3" s="1"/>
  <c r="F14" i="3"/>
  <c r="F16" i="3" s="1"/>
  <c r="G14" i="3"/>
  <c r="G16" i="3" s="1"/>
  <c r="P14" i="3"/>
  <c r="P16" i="3" s="1"/>
  <c r="Q14" i="3"/>
  <c r="Q16" i="3" s="1"/>
  <c r="R14" i="3"/>
  <c r="R16" i="3" s="1"/>
  <c r="S14" i="3"/>
  <c r="S16" i="3" s="1"/>
  <c r="T14" i="3"/>
  <c r="T16" i="3" s="1"/>
  <c r="U14" i="3"/>
  <c r="U16" i="3" s="1"/>
  <c r="V14" i="3"/>
  <c r="V16" i="3" s="1"/>
  <c r="W14" i="3"/>
  <c r="W16" i="3" s="1"/>
  <c r="X14" i="3"/>
  <c r="X16" i="3" s="1"/>
  <c r="Y14" i="3"/>
  <c r="Y16" i="3" s="1"/>
  <c r="Z14" i="3"/>
  <c r="Z16" i="3" s="1"/>
  <c r="AA14" i="3"/>
  <c r="AA16" i="3" s="1"/>
  <c r="AC14" i="3"/>
  <c r="AC16" i="3" s="1"/>
  <c r="AD14" i="3"/>
  <c r="AD16" i="3" s="1"/>
  <c r="C14" i="3"/>
  <c r="E27" i="3"/>
  <c r="K6" i="6" l="1"/>
  <c r="BU6" i="6"/>
  <c r="BU5" i="6"/>
  <c r="K5" i="6"/>
  <c r="K4" i="6"/>
  <c r="BU4" i="6"/>
  <c r="D6" i="5"/>
  <c r="M15" i="3"/>
  <c r="M17" i="3" s="1"/>
  <c r="M16" i="3"/>
  <c r="F80" i="3"/>
  <c r="G4" i="3" l="1"/>
  <c r="B105" i="3"/>
  <c r="B104" i="3"/>
  <c r="E104" i="3"/>
  <c r="BM3" i="6"/>
  <c r="AT3" i="6"/>
  <c r="A27" i="3"/>
  <c r="A25" i="3"/>
  <c r="A26" i="3"/>
  <c r="A28" i="3"/>
  <c r="A29" i="3"/>
  <c r="A30" i="3"/>
  <c r="A24" i="3"/>
  <c r="E3" i="6"/>
  <c r="A4" i="6"/>
  <c r="A5" i="6"/>
  <c r="A6" i="6"/>
  <c r="A3" i="6"/>
  <c r="G2" i="5"/>
  <c r="H6" i="5" s="1"/>
  <c r="BO3" i="6" l="1"/>
  <c r="CT5" i="6"/>
  <c r="CS5" i="6"/>
  <c r="CS6" i="6"/>
  <c r="CT3" i="6"/>
  <c r="CT4" i="6"/>
  <c r="CT6" i="6"/>
  <c r="CS3" i="6"/>
  <c r="CS4" i="6"/>
  <c r="J3" i="6"/>
  <c r="J4" i="6" s="1"/>
  <c r="B6" i="5"/>
  <c r="K3" i="6"/>
  <c r="BU3" i="6"/>
  <c r="CR5" i="6"/>
  <c r="CR4" i="6"/>
  <c r="CR6" i="6"/>
  <c r="CR3" i="6"/>
  <c r="BO4" i="6"/>
  <c r="BO6" i="6"/>
  <c r="BO5" i="6"/>
  <c r="E2" i="16"/>
  <c r="D2" i="16"/>
  <c r="C2" i="16"/>
  <c r="B2" i="7"/>
  <c r="B2" i="16"/>
  <c r="BN6" i="6"/>
  <c r="BN5" i="6"/>
  <c r="D3" i="6"/>
  <c r="R3" i="6" s="1"/>
  <c r="R4" i="6" s="1"/>
  <c r="BP6" i="6"/>
  <c r="BP5" i="6"/>
  <c r="BP4" i="6"/>
  <c r="I3" i="6"/>
  <c r="BP3" i="6"/>
  <c r="BN4" i="6"/>
  <c r="S3" i="6"/>
  <c r="S4" i="6" s="1"/>
  <c r="S5" i="6" s="1"/>
  <c r="S6" i="6" s="1"/>
  <c r="E4" i="6"/>
  <c r="DZ6" i="6"/>
  <c r="DZ5" i="6"/>
  <c r="DZ4" i="6"/>
  <c r="DF5" i="6"/>
  <c r="DI5" i="6" s="1"/>
  <c r="DF6" i="6"/>
  <c r="DI6" i="6" s="1"/>
  <c r="DF4" i="6"/>
  <c r="DI4" i="6" s="1"/>
  <c r="BS6" i="6"/>
  <c r="BS4" i="6"/>
  <c r="BS5" i="6"/>
  <c r="E2" i="7"/>
  <c r="D2" i="7"/>
  <c r="C2" i="7"/>
  <c r="BS3" i="6"/>
  <c r="DF3" i="6"/>
  <c r="CH3" i="6" l="1"/>
  <c r="DR3" i="6"/>
  <c r="DS3" i="6" s="1"/>
  <c r="R6" i="6"/>
  <c r="R5" i="6"/>
  <c r="L6" i="5"/>
  <c r="M6" i="5"/>
  <c r="J6" i="5"/>
  <c r="P6" i="5"/>
  <c r="K6" i="5"/>
  <c r="N6" i="5"/>
  <c r="I6" i="5"/>
  <c r="Q6" i="5"/>
  <c r="O6" i="5"/>
  <c r="R6" i="5"/>
  <c r="DN3" i="6"/>
  <c r="Q3" i="6"/>
  <c r="Q4" i="6" s="1"/>
  <c r="Q5" i="6" s="1"/>
  <c r="Q6" i="6" s="1"/>
  <c r="P3" i="6"/>
  <c r="P4" i="6" s="1"/>
  <c r="P5" i="6" s="1"/>
  <c r="P6" i="6" s="1"/>
  <c r="O3" i="6"/>
  <c r="O4" i="6" s="1"/>
  <c r="O5" i="6" s="1"/>
  <c r="O6" i="6" s="1"/>
  <c r="CO3" i="6"/>
  <c r="C15" i="7"/>
  <c r="C19" i="16"/>
  <c r="D15" i="7"/>
  <c r="D19" i="16"/>
  <c r="E15" i="7"/>
  <c r="E19" i="16"/>
  <c r="M3" i="6"/>
  <c r="L3" i="6"/>
  <c r="I4" i="6"/>
  <c r="DR4" i="6" s="1"/>
  <c r="G3" i="6"/>
  <c r="G4" i="6" s="1"/>
  <c r="G5" i="6" s="1"/>
  <c r="G6" i="6" s="1"/>
  <c r="N3" i="6"/>
  <c r="N4" i="6" s="1"/>
  <c r="N5" i="6" s="1"/>
  <c r="N6" i="6" s="1"/>
  <c r="CE3" i="6"/>
  <c r="D4" i="6"/>
  <c r="CH4" i="6" s="1"/>
  <c r="DO3" i="6"/>
  <c r="AG6" i="5"/>
  <c r="U6" i="5"/>
  <c r="Z6" i="5"/>
  <c r="AE6" i="5"/>
  <c r="W6" i="5"/>
  <c r="S6" i="5"/>
  <c r="AC6" i="5"/>
  <c r="AA6" i="5"/>
  <c r="E5" i="6"/>
  <c r="Y6" i="5"/>
  <c r="AD6" i="5"/>
  <c r="AB6" i="5"/>
  <c r="AI6" i="5"/>
  <c r="AM6" i="5"/>
  <c r="X6" i="5"/>
  <c r="AH6" i="5"/>
  <c r="AK6" i="5"/>
  <c r="AF6" i="5"/>
  <c r="T6" i="5"/>
  <c r="V6" i="5"/>
  <c r="AN6" i="5"/>
  <c r="AO6" i="5"/>
  <c r="AJ6" i="5"/>
  <c r="AL6" i="5"/>
  <c r="J5" i="6"/>
  <c r="J6" i="6" s="1"/>
  <c r="CJ3" i="6" l="1"/>
  <c r="CK3" i="6"/>
  <c r="CM3" i="6"/>
  <c r="CL3" i="6"/>
  <c r="CI3" i="6"/>
  <c r="CG3" i="6"/>
  <c r="DS4" i="6"/>
  <c r="DO4" i="6"/>
  <c r="M4" i="6"/>
  <c r="M5" i="6" s="1"/>
  <c r="DN4" i="6"/>
  <c r="CO4" i="6"/>
  <c r="I5" i="6"/>
  <c r="DR5" i="6" s="1"/>
  <c r="L4" i="6"/>
  <c r="T3" i="6"/>
  <c r="AI3" i="6" s="1"/>
  <c r="CE4" i="6"/>
  <c r="CK4" i="6" s="1"/>
  <c r="D5" i="6"/>
  <c r="CH5" i="6" s="1"/>
  <c r="E6" i="6"/>
  <c r="C6" i="5"/>
  <c r="CN3" i="6" l="1"/>
  <c r="CL4" i="6"/>
  <c r="CI4" i="6"/>
  <c r="CG4" i="6"/>
  <c r="CM4" i="6"/>
  <c r="AP3" i="6"/>
  <c r="AZ3" i="6"/>
  <c r="E6" i="5"/>
  <c r="F3" i="6" s="1"/>
  <c r="V3" i="6" s="1"/>
  <c r="B13" i="10" a="1"/>
  <c r="B13" i="10" s="1"/>
  <c r="C13" i="10" s="1"/>
  <c r="D13" i="10" s="1"/>
  <c r="E13" i="10" s="1"/>
  <c r="I6" i="6"/>
  <c r="DR6" i="6" s="1"/>
  <c r="DS6" i="6" s="1"/>
  <c r="AU3" i="6"/>
  <c r="M6" i="6"/>
  <c r="CO5" i="6"/>
  <c r="DS5" i="6"/>
  <c r="DO5" i="6"/>
  <c r="L5" i="6"/>
  <c r="CF4" i="6"/>
  <c r="T4" i="6"/>
  <c r="AZ4" i="6" s="1"/>
  <c r="CE5" i="6"/>
  <c r="CK5" i="6" s="1"/>
  <c r="DN5" i="6"/>
  <c r="D6" i="6"/>
  <c r="CH6" i="6" s="1"/>
  <c r="CL5" i="6" l="1"/>
  <c r="CI5" i="6"/>
  <c r="CG5" i="6"/>
  <c r="CM5" i="6"/>
  <c r="AC3" i="6"/>
  <c r="BJ3" i="6"/>
  <c r="AP4" i="6"/>
  <c r="AU4" i="6"/>
  <c r="DO6" i="6"/>
  <c r="BE3" i="6"/>
  <c r="T5" i="6"/>
  <c r="AZ5" i="6" s="1"/>
  <c r="CE6" i="6"/>
  <c r="CK6" i="6" s="1"/>
  <c r="CO6" i="6"/>
  <c r="F4" i="6"/>
  <c r="V4" i="6" s="1"/>
  <c r="L6" i="6"/>
  <c r="AI4" i="6"/>
  <c r="BJ4" i="6" s="1"/>
  <c r="CF5" i="6"/>
  <c r="DN6" i="6"/>
  <c r="AC4" i="6" l="1"/>
  <c r="CL6" i="6"/>
  <c r="CI6" i="6"/>
  <c r="CG6" i="6"/>
  <c r="CM6" i="6"/>
  <c r="AI5" i="6"/>
  <c r="BJ5" i="6" s="1"/>
  <c r="AP5" i="6"/>
  <c r="AU5" i="6"/>
  <c r="AA3" i="6"/>
  <c r="AB3" i="6"/>
  <c r="Z3" i="6"/>
  <c r="W3" i="6"/>
  <c r="F5" i="6"/>
  <c r="V5" i="6" s="1"/>
  <c r="AD3" i="6"/>
  <c r="CF6" i="6"/>
  <c r="X3" i="6"/>
  <c r="Y3" i="6"/>
  <c r="AJ3" i="6"/>
  <c r="T6" i="6"/>
  <c r="AZ6" i="6" s="1"/>
  <c r="BE4" i="6"/>
  <c r="AC5" i="6" l="1"/>
  <c r="BE5" i="6"/>
  <c r="AU6" i="6"/>
  <c r="AP6" i="6"/>
  <c r="AF3" i="6"/>
  <c r="DQ3" i="6" s="1"/>
  <c r="W4" i="6"/>
  <c r="AA4" i="6"/>
  <c r="AB4" i="6"/>
  <c r="Z4" i="6"/>
  <c r="X4" i="6"/>
  <c r="DA3" i="6"/>
  <c r="DB3" i="6" s="1"/>
  <c r="AD4" i="6"/>
  <c r="AJ4" i="6"/>
  <c r="Y4" i="6"/>
  <c r="F6" i="6"/>
  <c r="V6" i="6" s="1"/>
  <c r="AI6" i="6"/>
  <c r="BJ6" i="6" s="1"/>
  <c r="E24" i="3"/>
  <c r="E30" i="3"/>
  <c r="E29" i="3"/>
  <c r="E28" i="3"/>
  <c r="E26" i="3"/>
  <c r="AB13" i="3"/>
  <c r="O13" i="3"/>
  <c r="O14" i="3" s="1"/>
  <c r="O16" i="3" s="1"/>
  <c r="N13" i="3"/>
  <c r="N14" i="3" s="1"/>
  <c r="CF3" i="6"/>
  <c r="AB4" i="3"/>
  <c r="AJ4" i="3"/>
  <c r="BN3" i="6"/>
  <c r="AC6" i="6" l="1"/>
  <c r="N16" i="3"/>
  <c r="CP3" i="6"/>
  <c r="CP4" i="6" s="1"/>
  <c r="BA3" i="6"/>
  <c r="AV3" i="6"/>
  <c r="DH4" i="6"/>
  <c r="DH6" i="6"/>
  <c r="DH5" i="6"/>
  <c r="DG3" i="6"/>
  <c r="DK3" i="6" s="1"/>
  <c r="DL3" i="6" s="1"/>
  <c r="DG5" i="6"/>
  <c r="DG6" i="6"/>
  <c r="DG4" i="6"/>
  <c r="DK4" i="6" s="1"/>
  <c r="DL4" i="6" s="1"/>
  <c r="C12" i="7" s="1"/>
  <c r="DW3" i="6"/>
  <c r="AQ3" i="6"/>
  <c r="DA4" i="6"/>
  <c r="AA5" i="6"/>
  <c r="AB5" i="6"/>
  <c r="Z5" i="6"/>
  <c r="DP3" i="6"/>
  <c r="B15" i="16" s="1"/>
  <c r="X5" i="6"/>
  <c r="W5" i="6"/>
  <c r="AD5" i="6"/>
  <c r="Y5" i="6"/>
  <c r="AJ5" i="6"/>
  <c r="AF4" i="6"/>
  <c r="DQ4" i="6" s="1"/>
  <c r="AE3" i="6"/>
  <c r="AK3" i="6" s="1"/>
  <c r="BF3" i="6" s="1"/>
  <c r="BX3" i="6"/>
  <c r="BY3" i="6" s="1"/>
  <c r="BE6" i="6"/>
  <c r="BR5" i="6"/>
  <c r="BR6" i="6"/>
  <c r="BR3" i="6"/>
  <c r="BR4" i="6"/>
  <c r="CQ5" i="6"/>
  <c r="CQ3" i="6"/>
  <c r="CQ4" i="6"/>
  <c r="CQ6" i="6"/>
  <c r="BQ3" i="6"/>
  <c r="BQ6" i="6"/>
  <c r="BQ5" i="6"/>
  <c r="BQ4" i="6"/>
  <c r="BT4" i="6"/>
  <c r="BT5" i="6"/>
  <c r="BT6" i="6"/>
  <c r="BT3" i="6"/>
  <c r="AB14" i="3"/>
  <c r="AB16" i="3" s="1"/>
  <c r="DH3" i="6"/>
  <c r="DI3" i="6"/>
  <c r="DW4" i="6" l="1"/>
  <c r="BA4" i="6"/>
  <c r="CP6" i="6"/>
  <c r="CP5" i="6"/>
  <c r="CV5" i="6" s="1"/>
  <c r="BV3" i="6"/>
  <c r="B3" i="16" s="1"/>
  <c r="BK3" i="6"/>
  <c r="B12" i="16"/>
  <c r="B7" i="16"/>
  <c r="DK5" i="6"/>
  <c r="DL5" i="6" s="1"/>
  <c r="D7" i="16" s="1"/>
  <c r="C7" i="16"/>
  <c r="AQ4" i="6"/>
  <c r="AV4" i="6"/>
  <c r="DA5" i="6"/>
  <c r="AB6" i="6"/>
  <c r="AA6" i="6"/>
  <c r="Z6" i="6"/>
  <c r="X6" i="6"/>
  <c r="DP4" i="6"/>
  <c r="B7" i="7"/>
  <c r="B10" i="16"/>
  <c r="AJ6" i="6"/>
  <c r="AD6" i="6"/>
  <c r="W6" i="6"/>
  <c r="Y6" i="6"/>
  <c r="BX4" i="6"/>
  <c r="BY4" i="6" s="1"/>
  <c r="AE4" i="6"/>
  <c r="AH4" i="6" s="1"/>
  <c r="DT4" i="6" s="1"/>
  <c r="AF5" i="6"/>
  <c r="DP5" i="6" s="1"/>
  <c r="B10" i="7"/>
  <c r="AH3" i="6"/>
  <c r="DT3" i="6" s="1"/>
  <c r="CV3" i="6"/>
  <c r="CX5" i="6"/>
  <c r="CY5" i="6" s="1"/>
  <c r="CX3" i="6"/>
  <c r="CY3" i="6" s="1"/>
  <c r="CX4" i="6"/>
  <c r="CY4" i="6" s="1"/>
  <c r="CN5" i="6"/>
  <c r="CN6" i="6"/>
  <c r="CN4" i="6"/>
  <c r="DB4" i="6" s="1"/>
  <c r="DC4" i="6" s="1"/>
  <c r="B12" i="7"/>
  <c r="BV4" i="6"/>
  <c r="BV5" i="6"/>
  <c r="CV6" i="6"/>
  <c r="BV6" i="6"/>
  <c r="CV4" i="6"/>
  <c r="AL3" i="6"/>
  <c r="DW5" i="6" l="1"/>
  <c r="BA5" i="6"/>
  <c r="C12" i="16"/>
  <c r="B9" i="7"/>
  <c r="B11" i="16"/>
  <c r="B14" i="16" s="1"/>
  <c r="B5" i="7"/>
  <c r="B5" i="16"/>
  <c r="DK6" i="6"/>
  <c r="DL6" i="6" s="1"/>
  <c r="E7" i="16" s="1"/>
  <c r="D12" i="7"/>
  <c r="AV5" i="6"/>
  <c r="AQ5" i="6"/>
  <c r="DU3" i="6"/>
  <c r="DU4" i="6"/>
  <c r="C11" i="7" s="1"/>
  <c r="C9" i="7"/>
  <c r="DB5" i="6"/>
  <c r="DC5" i="6" s="1"/>
  <c r="D6" i="7" s="1"/>
  <c r="DA6" i="6"/>
  <c r="DB6" i="6" s="1"/>
  <c r="DC6" i="6" s="1"/>
  <c r="DQ5" i="6"/>
  <c r="B8" i="7"/>
  <c r="C15" i="16"/>
  <c r="B3" i="7"/>
  <c r="C6" i="16"/>
  <c r="D3" i="7"/>
  <c r="D3" i="16"/>
  <c r="C7" i="7"/>
  <c r="C10" i="16"/>
  <c r="C3" i="7"/>
  <c r="C3" i="16"/>
  <c r="DX3" i="6"/>
  <c r="D5" i="7"/>
  <c r="D5" i="16"/>
  <c r="C5" i="7"/>
  <c r="C5" i="16"/>
  <c r="E5" i="7"/>
  <c r="E5" i="16"/>
  <c r="E3" i="7"/>
  <c r="E3" i="16"/>
  <c r="CX6" i="6"/>
  <c r="CY6" i="6" s="1"/>
  <c r="AF6" i="6"/>
  <c r="DQ6" i="6" s="1"/>
  <c r="AE5" i="6"/>
  <c r="AK5" i="6" s="1"/>
  <c r="C10" i="7"/>
  <c r="BX5" i="6"/>
  <c r="BY5" i="6" s="1"/>
  <c r="CA4" i="6"/>
  <c r="CB4" i="6" s="1"/>
  <c r="CC4" i="6" s="1"/>
  <c r="C4" i="7" s="1"/>
  <c r="AK4" i="6"/>
  <c r="CA3" i="6"/>
  <c r="CB3" i="6" s="1"/>
  <c r="CC3" i="6" s="1"/>
  <c r="B4" i="16" s="1"/>
  <c r="C6" i="7"/>
  <c r="DC3" i="6"/>
  <c r="B6" i="7" s="1"/>
  <c r="DY3" i="6"/>
  <c r="B18" i="16" s="1"/>
  <c r="BA6" i="6" l="1"/>
  <c r="B13" i="16"/>
  <c r="B6" i="16"/>
  <c r="B8" i="16" s="1"/>
  <c r="E12" i="7"/>
  <c r="DW6" i="6"/>
  <c r="E7" i="7" s="1"/>
  <c r="AQ6" i="6"/>
  <c r="AV6" i="6"/>
  <c r="AL5" i="6"/>
  <c r="BK5" i="6"/>
  <c r="C16" i="16"/>
  <c r="B11" i="7"/>
  <c r="B16" i="16"/>
  <c r="AL4" i="6"/>
  <c r="BK4" i="6"/>
  <c r="D6" i="16"/>
  <c r="EB3" i="6"/>
  <c r="EC3" i="6" s="1"/>
  <c r="EH3" i="6"/>
  <c r="DP6" i="6"/>
  <c r="B4" i="7"/>
  <c r="B13" i="7"/>
  <c r="B17" i="16"/>
  <c r="E6" i="7"/>
  <c r="E6" i="16"/>
  <c r="D10" i="7"/>
  <c r="D15" i="16"/>
  <c r="D9" i="7"/>
  <c r="D12" i="16"/>
  <c r="D7" i="7"/>
  <c r="D10" i="16"/>
  <c r="C4" i="16"/>
  <c r="AE6" i="6"/>
  <c r="AK6" i="6" s="1"/>
  <c r="BK6" i="6" s="1"/>
  <c r="BX6" i="6"/>
  <c r="BY6" i="6" s="1"/>
  <c r="BF5" i="6"/>
  <c r="AH5" i="6"/>
  <c r="DT5" i="6" s="1"/>
  <c r="BF4" i="6"/>
  <c r="B14" i="7"/>
  <c r="D8" i="7" l="1"/>
  <c r="C8" i="7"/>
  <c r="E9" i="7"/>
  <c r="B9" i="16"/>
  <c r="J4" i="16" s="1"/>
  <c r="DU5" i="6"/>
  <c r="D16" i="16" s="1"/>
  <c r="E10" i="16"/>
  <c r="E12" i="16"/>
  <c r="BF6" i="6"/>
  <c r="E8" i="7" s="1"/>
  <c r="J3" i="16"/>
  <c r="J2" i="16"/>
  <c r="E10" i="7"/>
  <c r="E15" i="16"/>
  <c r="C11" i="16"/>
  <c r="DX5" i="6"/>
  <c r="D11" i="16"/>
  <c r="AL6" i="6"/>
  <c r="AH6" i="6"/>
  <c r="DT6" i="6" s="1"/>
  <c r="DY5" i="6"/>
  <c r="DY4" i="6"/>
  <c r="CA5" i="6"/>
  <c r="CB5" i="6" s="1"/>
  <c r="CC5" i="6" s="1"/>
  <c r="DX4" i="6"/>
  <c r="B18" i="7"/>
  <c r="B19" i="7" s="1"/>
  <c r="EF3" i="6"/>
  <c r="B5" i="10" s="1" a="1"/>
  <c r="B5" i="10" s="1"/>
  <c r="EE3" i="6"/>
  <c r="EI3" i="6" s="1"/>
  <c r="B27" i="10" l="1"/>
  <c r="D27" i="10" s="1"/>
  <c r="G34" i="11" s="1"/>
  <c r="I34" i="11" s="1"/>
  <c r="B23" i="10"/>
  <c r="D11" i="7"/>
  <c r="EB4" i="6"/>
  <c r="EE4" i="6" s="1"/>
  <c r="EH5" i="6"/>
  <c r="EB5" i="6"/>
  <c r="EE5" i="6" s="1"/>
  <c r="E11" i="16"/>
  <c r="EH4" i="6"/>
  <c r="DX6" i="6"/>
  <c r="E17" i="16" s="1"/>
  <c r="DY6" i="6"/>
  <c r="E18" i="16" s="1"/>
  <c r="DU6" i="6"/>
  <c r="CA6" i="6"/>
  <c r="CB6" i="6" s="1"/>
  <c r="CC6" i="6" s="1"/>
  <c r="E4" i="7" s="1"/>
  <c r="J5" i="16"/>
  <c r="K2" i="16" s="1"/>
  <c r="B22" i="16"/>
  <c r="C13" i="7"/>
  <c r="C17" i="16"/>
  <c r="D13" i="7"/>
  <c r="D17" i="16"/>
  <c r="D14" i="7"/>
  <c r="D18" i="16"/>
  <c r="D4" i="7"/>
  <c r="D4" i="16"/>
  <c r="C14" i="7"/>
  <c r="C18" i="16"/>
  <c r="B15" i="10"/>
  <c r="B8" i="10"/>
  <c r="B9" i="10" s="1"/>
  <c r="B17" i="10"/>
  <c r="B14" i="10"/>
  <c r="B16" i="10"/>
  <c r="B22" i="10"/>
  <c r="B6" i="10"/>
  <c r="C18" i="7" l="1"/>
  <c r="K3" i="16"/>
  <c r="K4" i="16"/>
  <c r="D18" i="7"/>
  <c r="EH6" i="6"/>
  <c r="EB6" i="6"/>
  <c r="EE6" i="6" s="1"/>
  <c r="E14" i="7"/>
  <c r="E13" i="7"/>
  <c r="E16" i="16"/>
  <c r="E11" i="7"/>
  <c r="E4" i="16"/>
  <c r="B23" i="16"/>
  <c r="C22" i="16"/>
  <c r="D22" i="16"/>
  <c r="B19" i="10"/>
  <c r="B18" i="10"/>
  <c r="G28" i="11"/>
  <c r="I28" i="11" s="1"/>
  <c r="EC4" i="6"/>
  <c r="EF4" i="6" s="1"/>
  <c r="C5" i="10" s="1" a="1"/>
  <c r="C5" i="10" s="1"/>
  <c r="EI5" i="6"/>
  <c r="EC5" i="6"/>
  <c r="EF5" i="6" s="1"/>
  <c r="D5" i="10" s="1" a="1"/>
  <c r="D5" i="10" s="1"/>
  <c r="EI4" i="6"/>
  <c r="EC6" i="6" l="1"/>
  <c r="EF6" i="6" s="1"/>
  <c r="E5" i="10" s="1" a="1"/>
  <c r="E5" i="10" s="1"/>
  <c r="E18" i="7"/>
  <c r="EI6" i="6"/>
  <c r="E6" i="10" l="1"/>
  <c r="E14" i="10"/>
  <c r="E16" i="10"/>
  <c r="E22" i="10"/>
  <c r="E17" i="10"/>
  <c r="E15" i="10"/>
  <c r="E23" i="10"/>
  <c r="E8" i="10"/>
  <c r="G31" i="11" s="1"/>
  <c r="I31" i="11" s="1"/>
  <c r="D8" i="10"/>
  <c r="G30" i="11" s="1"/>
  <c r="I30" i="11" s="1"/>
  <c r="C23" i="10"/>
  <c r="C17" i="10"/>
  <c r="C6" i="10"/>
  <c r="C22" i="10"/>
  <c r="C16" i="10"/>
  <c r="C15" i="10"/>
  <c r="C14" i="10"/>
  <c r="C8" i="10"/>
  <c r="G29" i="11" s="1"/>
  <c r="I29" i="11" s="1"/>
  <c r="D22" i="10"/>
  <c r="D14" i="10"/>
  <c r="D16" i="10"/>
  <c r="D17" i="10"/>
  <c r="D23" i="10"/>
  <c r="D15" i="10"/>
  <c r="D6" i="10"/>
  <c r="E19" i="10" l="1"/>
  <c r="E18" i="10"/>
  <c r="E9" i="10"/>
  <c r="D9" i="10"/>
  <c r="C18" i="10"/>
  <c r="D18" i="10"/>
  <c r="C19" i="10"/>
  <c r="D19" i="10"/>
  <c r="C9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<sst xmlns="http://schemas.openxmlformats.org/spreadsheetml/2006/main" count="4825" uniqueCount="1068">
  <si>
    <t>DEVIS RAPIDE NUMERIQUE - DONNEES D'ENTREE</t>
  </si>
  <si>
    <t>INFO CLIENT</t>
  </si>
  <si>
    <t>INFO DEVIS</t>
  </si>
  <si>
    <t>Client</t>
  </si>
  <si>
    <t>Désignation</t>
  </si>
  <si>
    <t>Interlocuteur</t>
  </si>
  <si>
    <t>Numéro devis</t>
  </si>
  <si>
    <t>Adresse</t>
  </si>
  <si>
    <t>Date</t>
  </si>
  <si>
    <t>Ville</t>
  </si>
  <si>
    <t xml:space="preserve">Site </t>
  </si>
  <si>
    <t>AEME</t>
  </si>
  <si>
    <t>Code Postal</t>
  </si>
  <si>
    <t>Commercial</t>
  </si>
  <si>
    <t>WINNE Marine</t>
  </si>
  <si>
    <t>INFO PRODUIT</t>
  </si>
  <si>
    <t>Quantité 1</t>
  </si>
  <si>
    <t>Quantité 2</t>
  </si>
  <si>
    <t>Quantité 3</t>
  </si>
  <si>
    <t>Quantité 4</t>
  </si>
  <si>
    <t>Nb de références</t>
  </si>
  <si>
    <t>avec finitions communes</t>
  </si>
  <si>
    <t>Format laize (mm)</t>
  </si>
  <si>
    <t>Format avance (mm)</t>
  </si>
  <si>
    <t>SUPPORT D'IMPRESSION</t>
  </si>
  <si>
    <t>Frontal</t>
  </si>
  <si>
    <t>Velin Grain</t>
  </si>
  <si>
    <t>Adhesif</t>
  </si>
  <si>
    <t>Permanent PLUS</t>
  </si>
  <si>
    <t>Backing</t>
  </si>
  <si>
    <t>Glassine</t>
  </si>
  <si>
    <t>HP</t>
  </si>
  <si>
    <t>Couleur Numérique</t>
  </si>
  <si>
    <t>4 Couleurs</t>
  </si>
  <si>
    <t>Numérotation</t>
  </si>
  <si>
    <t>Non</t>
  </si>
  <si>
    <t>FINITION</t>
  </si>
  <si>
    <t>Couleur/Vernis Finition</t>
  </si>
  <si>
    <t>1 Vernis Flexo</t>
  </si>
  <si>
    <t>Type Vernis</t>
  </si>
  <si>
    <t>Dorure 1</t>
  </si>
  <si>
    <t>Dorure 2</t>
  </si>
  <si>
    <t>Dorure galbée</t>
  </si>
  <si>
    <t>Galbe à sec</t>
  </si>
  <si>
    <t>Gaufrage</t>
  </si>
  <si>
    <t>Foulage</t>
  </si>
  <si>
    <t>Pelliculage</t>
  </si>
  <si>
    <t>REMBOBINAGE</t>
  </si>
  <si>
    <t>Rembobinage</t>
  </si>
  <si>
    <t>Finition (Sramag)</t>
  </si>
  <si>
    <t>Diamètre mandrin (mm)</t>
  </si>
  <si>
    <t>Enroulement</t>
  </si>
  <si>
    <t>X</t>
  </si>
  <si>
    <t>DEVIS RAPIDE NUMERIQUE - DONNEES DE SORTIE</t>
  </si>
  <si>
    <t>Prix devis</t>
  </si>
  <si>
    <t>MB prix devis</t>
  </si>
  <si>
    <t>Marge appliquée</t>
  </si>
  <si>
    <t>Prix client</t>
  </si>
  <si>
    <t>MB prix client</t>
  </si>
  <si>
    <t>MATIERE</t>
  </si>
  <si>
    <t>Laize théorique</t>
  </si>
  <si>
    <t>Laize réelle</t>
  </si>
  <si>
    <t>ML calage</t>
  </si>
  <si>
    <t>ML roulage</t>
  </si>
  <si>
    <t>M2 calage</t>
  </si>
  <si>
    <t>M2 roulage</t>
  </si>
  <si>
    <t>ML total</t>
  </si>
  <si>
    <t>M2 total</t>
  </si>
  <si>
    <t>IMPOSITION</t>
  </si>
  <si>
    <t>Nb de poses laize</t>
  </si>
  <si>
    <t>Nb de poses avance</t>
  </si>
  <si>
    <t>OUTILLAGES</t>
  </si>
  <si>
    <t>Types</t>
  </si>
  <si>
    <t>Prix Unitaire
Base</t>
  </si>
  <si>
    <t>% Marge</t>
  </si>
  <si>
    <t>Prix Unitaire
Client</t>
  </si>
  <si>
    <t>Outils de découpe</t>
  </si>
  <si>
    <t>Outils de dorure</t>
  </si>
  <si>
    <t>Outils de galbé</t>
  </si>
  <si>
    <t>Outils de gaufrage</t>
  </si>
  <si>
    <t>Outils de foulage</t>
  </si>
  <si>
    <t>Nous avons le plaisir de vous remettre ci-dessous notre offre,</t>
  </si>
  <si>
    <t>Nous sommes à votre disposition afin de répondre à toutes vos questions.</t>
  </si>
  <si>
    <t>Bobine</t>
  </si>
  <si>
    <t>Descriptif :</t>
  </si>
  <si>
    <t>Format (Hauteur x Largeur) :</t>
  </si>
  <si>
    <t>Matière principale :</t>
  </si>
  <si>
    <t>Impression :</t>
  </si>
  <si>
    <t>Livraison :</t>
  </si>
  <si>
    <t>Conditionnement :</t>
  </si>
  <si>
    <t>Enroulement possible :</t>
  </si>
  <si>
    <t>Nombre de Prod : 1</t>
  </si>
  <si>
    <t>Quantité</t>
  </si>
  <si>
    <t>Prix / 1 000 HT</t>
  </si>
  <si>
    <t>Montant HT</t>
  </si>
  <si>
    <t>Participation aux frais :</t>
  </si>
  <si>
    <t>Prix Unit.</t>
  </si>
  <si>
    <t>1 ex</t>
  </si>
  <si>
    <t>Conditions liées à une mise en stock chez Autajon :</t>
  </si>
  <si>
    <t xml:space="preserve"> - Facturation du stock résiduel à 12 mois et livraison du stock résiduel à 24 mois.</t>
  </si>
  <si>
    <r>
      <t>Validité du devis</t>
    </r>
    <r>
      <rPr>
        <sz val="11"/>
        <color theme="1"/>
        <rFont val="Calibri"/>
        <family val="2"/>
      </rPr>
      <t xml:space="preserve"> : </t>
    </r>
  </si>
  <si>
    <r>
      <t>Règlement</t>
    </r>
    <r>
      <rPr>
        <sz val="11"/>
        <color theme="1"/>
        <rFont val="Calibri"/>
        <family val="2"/>
      </rPr>
      <t xml:space="preserve"> : </t>
    </r>
  </si>
  <si>
    <t>45 JOURS FIN DU MOIS</t>
  </si>
  <si>
    <t>Restant à votre entière disposition, nous vous prions d'agréer, l'expression de nos sentiments dévoués.</t>
  </si>
  <si>
    <t xml:space="preserve">Représentant </t>
  </si>
  <si>
    <t>Bon pour accord</t>
  </si>
  <si>
    <t>Date et signature</t>
  </si>
  <si>
    <t>Conditions générales de vente</t>
  </si>
  <si>
    <t>ARGENT MAT</t>
  </si>
  <si>
    <t>ARGENT MÉTALLISÉ</t>
  </si>
  <si>
    <t>ARGENT SATINÉ</t>
  </si>
  <si>
    <t>BLEU</t>
  </si>
  <si>
    <t>BRONZE MÉTALLISÉ</t>
  </si>
  <si>
    <t>CUIVRE CLAIR</t>
  </si>
  <si>
    <t>CUIVRE MAT</t>
  </si>
  <si>
    <t>NOIR</t>
  </si>
  <si>
    <t>NOIR BRILLANT</t>
  </si>
  <si>
    <t>OR STANDARD</t>
  </si>
  <si>
    <t>OR JAUNE PÂLE</t>
  </si>
  <si>
    <t>OR MAT</t>
  </si>
  <si>
    <t>OR MAT SATINÉ</t>
  </si>
  <si>
    <t>OR ROSÉ</t>
  </si>
  <si>
    <t>ORANGE BRILLANT</t>
  </si>
  <si>
    <t>ROSE FUCHSIA</t>
  </si>
  <si>
    <t>ROUGE</t>
  </si>
  <si>
    <t>ROUGE ORANGÉ</t>
  </si>
  <si>
    <t>VERT</t>
  </si>
  <si>
    <t>VIOLET</t>
  </si>
  <si>
    <t>Site</t>
  </si>
  <si>
    <t>Code couleur</t>
  </si>
  <si>
    <t>Libellé</t>
  </si>
  <si>
    <t>Site_Finition</t>
  </si>
  <si>
    <t>Finition</t>
  </si>
  <si>
    <t>Tel</t>
  </si>
  <si>
    <t>Adresse Mail</t>
  </si>
  <si>
    <t>Couleur</t>
  </si>
  <si>
    <t>Type_Vernis</t>
  </si>
  <si>
    <t>Colonne1</t>
  </si>
  <si>
    <t>Taux</t>
  </si>
  <si>
    <t>AEEP</t>
  </si>
  <si>
    <t>-</t>
  </si>
  <si>
    <t>AEAT</t>
  </si>
  <si>
    <t>GAILLART Guillaume</t>
  </si>
  <si>
    <t>06.78.09.86.13</t>
  </si>
  <si>
    <t>guillaume.gaillart@autajon.com</t>
  </si>
  <si>
    <t xml:space="preserve">1 Couleur Flexo + 1 Couleur Sérigraphie + 1 Vernis Flexo </t>
  </si>
  <si>
    <t>Mat</t>
  </si>
  <si>
    <t>AEBO</t>
  </si>
  <si>
    <t>EURO</t>
  </si>
  <si>
    <t>Bobineuse</t>
  </si>
  <si>
    <t>VINCENS Pierre</t>
  </si>
  <si>
    <t>05.57.35.49.76</t>
  </si>
  <si>
    <t>pierre.vincens@autajon.com</t>
  </si>
  <si>
    <t>Satiné</t>
  </si>
  <si>
    <t>Oui</t>
  </si>
  <si>
    <t>AELO</t>
  </si>
  <si>
    <t>Bobineuse + Numérotation</t>
  </si>
  <si>
    <t>JOLLY Perrine</t>
  </si>
  <si>
    <t>06.72.07.53.86</t>
  </si>
  <si>
    <t>Perrine.jolly@autajon.com</t>
  </si>
  <si>
    <t>Brillant</t>
  </si>
  <si>
    <t>REMBO DIRECT</t>
  </si>
  <si>
    <t>SIDOBRE Anne</t>
  </si>
  <si>
    <t>06.40.54.34.19</t>
  </si>
  <si>
    <t>anne.sidobre@autajon.com</t>
  </si>
  <si>
    <t>Relief</t>
  </si>
  <si>
    <t>JOUANNET Pauline</t>
  </si>
  <si>
    <t>06.70.61.78.93</t>
  </si>
  <si>
    <t>Pauline.JOUANNET@autajon.com</t>
  </si>
  <si>
    <t xml:space="preserve">1 Couleur Flexo + 1 Couleur Sérigraphie + 1 Vernis Flexo + 1 Vernis Sérigraphie </t>
  </si>
  <si>
    <t>AELI</t>
  </si>
  <si>
    <t>LAFORGUE Aurélie</t>
  </si>
  <si>
    <t>06.72.07.53.87</t>
  </si>
  <si>
    <t>aurelie.laforgue@autajon.com</t>
  </si>
  <si>
    <t>AESU</t>
  </si>
  <si>
    <t>CHF</t>
  </si>
  <si>
    <t>--&gt; FACT_CURRENCY_MONTHLY_RATE // CHF 2025 06</t>
  </si>
  <si>
    <t>BOUTON Amandine</t>
  </si>
  <si>
    <t>06.32.64.21.32</t>
  </si>
  <si>
    <t>amandine.bouton@autajon.com</t>
  </si>
  <si>
    <t>BORDNER Alexandre</t>
  </si>
  <si>
    <t/>
  </si>
  <si>
    <t>alexandre.bordner@autajon.com</t>
  </si>
  <si>
    <t>C4R REMBO</t>
  </si>
  <si>
    <t>VUILLIER Michel</t>
  </si>
  <si>
    <t>03.80.26.27.94</t>
  </si>
  <si>
    <t>michel.vuillier@autajon.com</t>
  </si>
  <si>
    <t xml:space="preserve">1 Couleur Flexo + 1 Couleur Sérigraphie + 1 Vernis Sérigraphie </t>
  </si>
  <si>
    <t>VIARD Patricia</t>
  </si>
  <si>
    <t>03.80.26.21.87</t>
  </si>
  <si>
    <t>patricia.viard@autajon.com</t>
  </si>
  <si>
    <t>LE LIVEC Romane</t>
  </si>
  <si>
    <t>03.80.26.27.92</t>
  </si>
  <si>
    <t>romane.lelivec@autajon.com</t>
  </si>
  <si>
    <t>Sramag bobineuse C4R</t>
  </si>
  <si>
    <t>PAYEN Christine</t>
  </si>
  <si>
    <t>03.86.39.57.62</t>
  </si>
  <si>
    <t>christine.payen@autajon.com</t>
  </si>
  <si>
    <t>GIL Maryne</t>
  </si>
  <si>
    <t>07.88.71.50.35</t>
  </si>
  <si>
    <t>maryne.gil@autajon.com</t>
  </si>
  <si>
    <t>1 Couleur Flexo + 1 Vernis Flexo</t>
  </si>
  <si>
    <t>ARNOULD Aurélien</t>
  </si>
  <si>
    <t>06.80.58.45.58</t>
  </si>
  <si>
    <t>aurelien.arnould@autajon.com</t>
  </si>
  <si>
    <t>Finition Rotoflex</t>
  </si>
  <si>
    <t>ROUSSELET Céline</t>
  </si>
  <si>
    <t>06.08.54.70.05</t>
  </si>
  <si>
    <t>celine.rousselet@autajon.com</t>
  </si>
  <si>
    <t>Finition Sramag</t>
  </si>
  <si>
    <t>KIRCHMEYER Laurent</t>
  </si>
  <si>
    <t>06.08.54.11.87</t>
  </si>
  <si>
    <t>laurent.kirchmeyer@autajon.com</t>
  </si>
  <si>
    <t>LOCHE-MALARD Claire</t>
  </si>
  <si>
    <t>06.67.07.74.32</t>
  </si>
  <si>
    <t>claire.loche@autajon.com</t>
  </si>
  <si>
    <t xml:space="preserve">1 Couleur Flexo + 1 Vernis Flexo + 1 Vernis Sérigraphie </t>
  </si>
  <si>
    <t>SOARES Miguel</t>
  </si>
  <si>
    <t>06.78.22.25.68</t>
  </si>
  <si>
    <t>miguel.soares@autajon.com</t>
  </si>
  <si>
    <t>Tracker</t>
  </si>
  <si>
    <t>LEFRANC Victoria</t>
  </si>
  <si>
    <t>06.08.68.90.75</t>
  </si>
  <si>
    <t>victoria.lefranc@autajon.com</t>
  </si>
  <si>
    <t>CHAPPAZ Fabrice</t>
  </si>
  <si>
    <t>06.82.65.23.56</t>
  </si>
  <si>
    <t>fabrice.chappaz@autajon.com</t>
  </si>
  <si>
    <t>GARCIA Danièle</t>
  </si>
  <si>
    <t>06.73.51.92.44</t>
  </si>
  <si>
    <t>daniele.garcia@autajon.com</t>
  </si>
  <si>
    <t xml:space="preserve">1 Couleur Flexo + 1 Vernis Sérigraphie </t>
  </si>
  <si>
    <t>Rembo</t>
  </si>
  <si>
    <t>LEVEN Philippe</t>
  </si>
  <si>
    <t>06.86.30.35.11</t>
  </si>
  <si>
    <t>philippe.leven@autajon.com</t>
  </si>
  <si>
    <t>DOUARRE Philippe</t>
  </si>
  <si>
    <t>06.45.47.50.13</t>
  </si>
  <si>
    <t>philippe.douarre@autajon.com</t>
  </si>
  <si>
    <t>PEREZ Arthur</t>
  </si>
  <si>
    <t>03.80.26.21.92</t>
  </si>
  <si>
    <t>arthur.perez@autajon.com</t>
  </si>
  <si>
    <t>ESMERY Christine</t>
  </si>
  <si>
    <t>06.45.04.56.35</t>
  </si>
  <si>
    <t>christine.esmery@autajon.com</t>
  </si>
  <si>
    <t>1 Couleur Sérigraphie + 1 Vernis Flexo</t>
  </si>
  <si>
    <t>MOREAU Hugues</t>
  </si>
  <si>
    <t>06.72.07.53.89</t>
  </si>
  <si>
    <t>hugues.moreau@autajon.com</t>
  </si>
  <si>
    <t>LEOST Stéphanie</t>
  </si>
  <si>
    <t>stephanie.leost@autajon.com</t>
  </si>
  <si>
    <t>MICHELON Brigitte</t>
  </si>
  <si>
    <t>06.14.69.73.78</t>
  </si>
  <si>
    <t>brigitte.michelon@autajon.com</t>
  </si>
  <si>
    <t>ZANELLI Emmanuelle</t>
  </si>
  <si>
    <t>06.72.01.92.27</t>
  </si>
  <si>
    <t>emmanuelle.zanelli@autajon.com</t>
  </si>
  <si>
    <t xml:space="preserve">1 Couleur Sérigraphie + 1 Vernis Flexo + 1 Vernis Sérigraphie </t>
  </si>
  <si>
    <t>BARROT Gilles</t>
  </si>
  <si>
    <t>06.09.23.03.01</t>
  </si>
  <si>
    <t>gilles.barrot@autajon.com</t>
  </si>
  <si>
    <t>SIBIEUDE Guillaume</t>
  </si>
  <si>
    <t>06.07.19.94.96</t>
  </si>
  <si>
    <t>guillaume.sibieude@autajon.com</t>
  </si>
  <si>
    <t>COULLOMB Nathalie</t>
  </si>
  <si>
    <t>06.83.81.05.23</t>
  </si>
  <si>
    <t>nathalie.coullomb@autajon.com</t>
  </si>
  <si>
    <t>BUCHEZ Stéphanie</t>
  </si>
  <si>
    <t>06.07.83.26.66</t>
  </si>
  <si>
    <t>stephanie.buchez@autajon.com</t>
  </si>
  <si>
    <t xml:space="preserve">1 Couleur Sérigraphie + 1 Vernis Sérigraphie </t>
  </si>
  <si>
    <t>06.86.49.90.34</t>
  </si>
  <si>
    <t>marine.winne@autajon.com</t>
  </si>
  <si>
    <t>BRIDY Edy</t>
  </si>
  <si>
    <t>edy.bridy@autajon.com</t>
  </si>
  <si>
    <t>VIAL Stephane</t>
  </si>
  <si>
    <t>+41 21 925 42 00</t>
  </si>
  <si>
    <t>stephane.vial@saeuberlin.ch</t>
  </si>
  <si>
    <t>AP SAUBERLIN</t>
  </si>
  <si>
    <t>courier@sauberlin.ch</t>
  </si>
  <si>
    <t>1 Couleur Sérigraphie + 2 Vernis Flexo</t>
  </si>
  <si>
    <t>RODUIT Simon</t>
  </si>
  <si>
    <t>+41 21 925 42 08</t>
  </si>
  <si>
    <t>simon.roduit@saeuberlin.ch</t>
  </si>
  <si>
    <t>ARNAVIELLE Delphine</t>
  </si>
  <si>
    <t>+41 21 925 42 24</t>
  </si>
  <si>
    <t>delphine.arnavielle@autajon.com</t>
  </si>
  <si>
    <t>GILBERTAS Philippe</t>
  </si>
  <si>
    <t>+41 21 925 42 52</t>
  </si>
  <si>
    <t>p.gilbertas@saeuberlin.ch</t>
  </si>
  <si>
    <t>MEISTER Sibylle</t>
  </si>
  <si>
    <t>+41 21 925 42 53</t>
  </si>
  <si>
    <t>sibylle.meister@saeuberlin.ch</t>
  </si>
  <si>
    <t>REGAMEY Julien</t>
  </si>
  <si>
    <t>+41 21 925 42 58</t>
  </si>
  <si>
    <t>j.regamey@saeuberlin.ch</t>
  </si>
  <si>
    <t>GRIN David</t>
  </si>
  <si>
    <t>+41 21 925 42 80</t>
  </si>
  <si>
    <t>david.grin@saeuberlin.ch</t>
  </si>
  <si>
    <t>NAPPEZ Charles</t>
  </si>
  <si>
    <t>charles.nappez@autajon.com</t>
  </si>
  <si>
    <t>IMBODEN Laurent</t>
  </si>
  <si>
    <t>+41 21 925 42 82</t>
  </si>
  <si>
    <t>laurent.imboden@saeuberlin.ch</t>
  </si>
  <si>
    <t xml:space="preserve">1 Vernis Flexo + 1 Vernis Sérigraphie </t>
  </si>
  <si>
    <t>REGILLO Antonio</t>
  </si>
  <si>
    <t>+41 21 925 42 87</t>
  </si>
  <si>
    <t>antonio.regillo@autajon.com</t>
  </si>
  <si>
    <t xml:space="preserve">1 Vernis Sérigraphie </t>
  </si>
  <si>
    <t xml:space="preserve">2 Couleurs Flexo + 1 Vernis Sérigraphie </t>
  </si>
  <si>
    <t>2 Vernis Flexo</t>
  </si>
  <si>
    <t xml:space="preserve">2 Vernis Flexo + 1 Vernis Sérigraphie </t>
  </si>
  <si>
    <t>SÄUBERLIN &amp; PFEIFFER S.A. - Chemin Sous-les-Routes 101 - CH - 1618 CHÂTEL-SAINT-DENIS
Tél. : +41 (0) 21 925 42 00 - courrier@saeuberlin.ch - www.autajon.com
CHE-102.141.942 TVA</t>
  </si>
  <si>
    <t>LITHOBRU COGNAC - CAvenue des Torulas, Z.I. de Merpins – CS 90 250, 16 112 COGNAC – FR
+33(0)5 45 81 01 16</t>
  </si>
  <si>
    <t>AUTAJON Etiquette MEDITERRANEE - 539 RUE ROUSSANNE - 84100 ORANGE - France 
S.A.S au capital de 1 996 800€ - SIRET 31147364900029 - R.C.S. AVIGNON - APE 1812Z - TVA FR74311473649
Tél:+33(0)432818181 - Fax:+33(0)432818182 - e.mail : aem.accueil@autajon.com</t>
  </si>
  <si>
    <t>AUTAJON ETIQUETTES BOURGOGNE - Route de Verdun à Levernois CS 50008 21201 BEAUNE - FR
S.A.S. au CAPITAL de 4 226 223 €- SIRET 37879973800042 - R.C.S. DIJON - APE 1812Z - TVA FR91378799738</t>
  </si>
  <si>
    <t>AUTAJON ÉTIQUETTE LOIRE - Route de Saumur - 49260 MONTREUIL BELLAY – France
S.A.S. au CAPITAL de 100 000 € - SIRET 398 265 868 000 16 - R.C.S. ANGERS 398 265 868 - N° TVA FR 19 398 265 868
Tél. : +33 (0) 2 41 50 92 70 - Fax : +33 (0) 2 41 50 90 11</t>
  </si>
  <si>
    <t>AUTAJON Etiquette ATLANTIQUE - 14 Cours du Général de Gaulle - CS10101 - 33173 GRADIGNAN CEDEX - France
SAS au capital de 1450000€-SIRET 46220184900041-RCS BORDEAUX-APE 1812Z-TVA FR65462201849
Tél:0557354040 - Fax:0557354049 - mail:aea.accueil@autajon.com</t>
  </si>
  <si>
    <t>AUTAJON ÉTIQUETTE EPERNAY-Parc activité les Terres Rouges,14 allée de la Côte des Blancs-CS70351-51334 EPERNAY SAS au CAPITAL de 112000€-SIRET 34140744300025-RCS REIMS341407443-N°TVA FR20341407443
Tél:0326554488-Fax:0326510745-mail:aee.accueil@autajon.com</t>
  </si>
  <si>
    <t>Interpose</t>
  </si>
  <si>
    <t>Rive x 2 + Interpose</t>
  </si>
  <si>
    <t xml:space="preserve"> Impact sur les formules --&gt;</t>
  </si>
  <si>
    <t>Formule</t>
  </si>
  <si>
    <t>Machine</t>
  </si>
  <si>
    <t>Laize maxi</t>
  </si>
  <si>
    <t>Format Bobine Mère Laize mm</t>
  </si>
  <si>
    <t>Format Bobine Mère  Avance mm</t>
  </si>
  <si>
    <t>Nb de poses</t>
  </si>
  <si>
    <t>Format laize mm</t>
  </si>
  <si>
    <t>Format développé mm</t>
  </si>
  <si>
    <t>Max</t>
  </si>
  <si>
    <t>Developpement calcul</t>
  </si>
  <si>
    <t>AEME - HP6000 Offline</t>
  </si>
  <si>
    <t>AEEP - HP6000 Offline</t>
  </si>
  <si>
    <t>AEAT - HP6000 Offline</t>
  </si>
  <si>
    <t>AEBO - HP6000 Offline</t>
  </si>
  <si>
    <t>AELO - HP6000 Offline</t>
  </si>
  <si>
    <t>AELI - HP6000 Offline</t>
  </si>
  <si>
    <t>AESU - HP6000 Offline</t>
  </si>
  <si>
    <t>MD CERM - HP6000 Offline</t>
  </si>
  <si>
    <t>AEME-Cartes</t>
  </si>
  <si>
    <t>AEEP-Cartes</t>
  </si>
  <si>
    <t>AEAT-Galaxie</t>
  </si>
  <si>
    <t>AEBO-Cartes</t>
  </si>
  <si>
    <t>AELO-Galaxie</t>
  </si>
  <si>
    <t>AESU-Cartes</t>
  </si>
  <si>
    <t>AELI-Cartes</t>
  </si>
  <si>
    <t>J'ai mis le developpé maxi des groupes en place. Vu que ce devis est fait pour les petites quantités, je pense qu'on peut prendre le plus petit developpé pour le devis</t>
  </si>
  <si>
    <t>2nd Machine</t>
  </si>
  <si>
    <t>Base</t>
  </si>
  <si>
    <t>HP6000 Offline</t>
  </si>
  <si>
    <t>Qty</t>
  </si>
  <si>
    <t>Machine Num</t>
  </si>
  <si>
    <t>CodeCouleur Num</t>
  </si>
  <si>
    <t>Machine Finition</t>
  </si>
  <si>
    <t>Code Couleur Finition</t>
  </si>
  <si>
    <t>NB de pose</t>
  </si>
  <si>
    <t>Laize (mm)</t>
  </si>
  <si>
    <r>
      <t xml:space="preserve">Calage
</t>
    </r>
    <r>
      <rPr>
        <b/>
        <sz val="9"/>
        <color rgb="FF00B0F0"/>
        <rFont val="Aptos Narrow"/>
        <family val="2"/>
        <scheme val="minor"/>
      </rPr>
      <t>Couleur Num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</si>
  <si>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rPr>
        <b/>
        <sz val="9"/>
        <rFont val="Aptos Narrow"/>
        <family val="2"/>
        <scheme val="minor"/>
      </rPr>
      <t>Calage</t>
    </r>
    <r>
      <rPr>
        <b/>
        <sz val="9"/>
        <color rgb="FF00B0F0"/>
        <rFont val="Aptos Narrow"/>
        <family val="2"/>
        <scheme val="minor"/>
      </rPr>
      <t xml:space="preserve">
Changement Produits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</si>
  <si>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Numérotation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</si>
  <si>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Couleur 2nd Machine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</si>
  <si>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rPr>
        <b/>
        <sz val="9"/>
        <rFont val="Aptos Narrow"/>
        <family val="2"/>
        <scheme val="minor"/>
      </rPr>
      <t>Calage</t>
    </r>
    <r>
      <rPr>
        <b/>
        <sz val="9"/>
        <color rgb="FF00B0F0"/>
        <rFont val="Aptos Narrow"/>
        <family val="2"/>
        <scheme val="minor"/>
      </rPr>
      <t xml:space="preserve">
Changement Plaque-Produit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</si>
  <si>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Dorure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</si>
  <si>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Galbe à sec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</si>
  <si>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Gaufrage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</si>
  <si>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Foulage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</si>
  <si>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Pelliculage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</si>
  <si>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Finition Offline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</si>
  <si>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>Calage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</si>
  <si>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>Mètre linéaire utile</t>
    </r>
    <r>
      <rPr>
        <b/>
        <sz val="9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</si>
  <si>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>Gâche roulage</t>
    </r>
    <r>
      <rPr>
        <b/>
        <sz val="9"/>
        <color rgb="FFFF0000"/>
        <rFont val="Aptos Narrow"/>
        <family val="2"/>
        <scheme val="minor"/>
      </rPr>
      <t xml:space="preserve"> </t>
    </r>
    <r>
      <rPr>
        <b/>
        <sz val="9"/>
        <color rgb="FF00B0F0"/>
        <rFont val="Aptos Narrow"/>
        <family val="2"/>
        <scheme val="minor"/>
      </rPr>
      <t>Couleur Num</t>
    </r>
    <r>
      <rPr>
        <b/>
        <sz val="9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</si>
  <si>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t>Besoin matière 
Gâche roulage Couleur
ml</t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</si>
  <si>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 xml:space="preserve">Gâche roulage </t>
    </r>
    <r>
      <rPr>
        <b/>
        <sz val="9"/>
        <color rgb="FF00B0F0"/>
        <rFont val="Aptos Narrow"/>
        <family val="2"/>
        <scheme val="minor"/>
      </rPr>
      <t>Dorure</t>
    </r>
    <r>
      <rPr>
        <b/>
        <sz val="9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</si>
  <si>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 xml:space="preserve">Gâche roulage </t>
    </r>
    <r>
      <rPr>
        <b/>
        <sz val="9"/>
        <color rgb="FF00B0F0"/>
        <rFont val="Aptos Narrow"/>
        <family val="2"/>
        <scheme val="minor"/>
      </rPr>
      <t>Galbe à sec</t>
    </r>
    <r>
      <rPr>
        <b/>
        <sz val="9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</si>
  <si>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 xml:space="preserve">Gâche roulage </t>
    </r>
    <r>
      <rPr>
        <b/>
        <sz val="9"/>
        <color rgb="FF00B0F0"/>
        <rFont val="Aptos Narrow"/>
        <family val="2"/>
        <scheme val="minor"/>
      </rPr>
      <t>Gaufrage</t>
    </r>
    <r>
      <rPr>
        <b/>
        <sz val="9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</si>
  <si>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 xml:space="preserve">Gâche roulage </t>
    </r>
    <r>
      <rPr>
        <b/>
        <sz val="9"/>
        <color rgb="FF00B0F0"/>
        <rFont val="Aptos Narrow"/>
        <family val="2"/>
        <scheme val="minor"/>
      </rPr>
      <t>Foulage</t>
    </r>
    <r>
      <rPr>
        <b/>
        <sz val="9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</si>
  <si>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 xml:space="preserve">Gâche roulage </t>
    </r>
    <r>
      <rPr>
        <b/>
        <sz val="9"/>
        <color rgb="FF00B0F0"/>
        <rFont val="Aptos Narrow"/>
        <family val="2"/>
        <scheme val="minor"/>
      </rPr>
      <t>Pelliculage</t>
    </r>
    <r>
      <rPr>
        <b/>
        <sz val="9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</si>
  <si>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 xml:space="preserve">Gâche roulage </t>
    </r>
    <r>
      <rPr>
        <b/>
        <sz val="9"/>
        <color rgb="FF00B0F0"/>
        <rFont val="Aptos Narrow"/>
        <family val="2"/>
        <scheme val="minor"/>
      </rPr>
      <t xml:space="preserve">Finition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</si>
  <si>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Changement Bobine
Num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</si>
  <si>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Changement Bobine
2nd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</si>
  <si>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
Total
</t>
    </r>
    <r>
      <rPr>
        <b/>
        <sz val="9"/>
        <color rgb="FFFF0000"/>
        <rFont val="Aptos Narrow"/>
        <family val="2"/>
        <scheme val="minor"/>
      </rPr>
      <t>ml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</si>
  <si>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>Calage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9"/>
        <color rgb="FFFF0000"/>
        <rFont val="Aptos Narrow"/>
        <family val="2"/>
        <scheme val="minor"/>
      </rPr>
      <t>m²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</si>
  <si>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 xml:space="preserve">Mètre linéaire utile
</t>
    </r>
    <r>
      <rPr>
        <b/>
        <sz val="9"/>
        <color rgb="FFFF0000"/>
        <rFont val="Aptos Narrow"/>
        <family val="2"/>
        <scheme val="minor"/>
      </rPr>
      <t>m²</t>
    </r>
  </si>
  <si>
    <r>
      <t xml:space="preserve">Besoin matière 
</t>
    </r>
    <r>
      <rPr>
        <b/>
        <sz val="9"/>
        <color theme="9" tint="-0.249977111117893"/>
        <rFont val="Aptos Narrow"/>
        <family val="2"/>
        <scheme val="minor"/>
      </rPr>
      <t>Gâche roulage</t>
    </r>
    <r>
      <rPr>
        <b/>
        <sz val="9"/>
        <rFont val="Aptos Narrow"/>
        <family val="2"/>
        <scheme val="minor"/>
      </rPr>
      <t xml:space="preserve"> 
</t>
    </r>
    <r>
      <rPr>
        <b/>
        <sz val="9"/>
        <color rgb="FFFF0000"/>
        <rFont val="Aptos Narrow"/>
        <family val="2"/>
        <scheme val="minor"/>
      </rPr>
      <t>m²</t>
    </r>
  </si>
  <si>
    <r>
      <t xml:space="preserve">Besoin matière
Total
</t>
    </r>
    <r>
      <rPr>
        <b/>
        <sz val="9"/>
        <color rgb="FFFF0000"/>
        <rFont val="Aptos Narrow"/>
        <family val="2"/>
        <scheme val="minor"/>
      </rPr>
      <t>m²</t>
    </r>
  </si>
  <si>
    <r>
      <t xml:space="preserve">Dorure </t>
    </r>
    <r>
      <rPr>
        <b/>
        <sz val="9"/>
        <rFont val="Aptos Narrow"/>
        <family val="2"/>
        <scheme val="minor"/>
      </rPr>
      <t>1</t>
    </r>
  </si>
  <si>
    <r>
      <t>Prix</t>
    </r>
    <r>
      <rPr>
        <b/>
        <sz val="9"/>
        <color rgb="FF00B0F0"/>
        <rFont val="Aptos Narrow"/>
        <family val="2"/>
        <scheme val="minor"/>
      </rPr>
      <t xml:space="preserve"> Dorure</t>
    </r>
  </si>
  <si>
    <r>
      <t xml:space="preserve">Coût matière </t>
    </r>
    <r>
      <rPr>
        <b/>
        <sz val="9"/>
        <color rgb="FF00B0F0"/>
        <rFont val="Aptos Narrow"/>
        <family val="2"/>
        <scheme val="minor"/>
      </rPr>
      <t>Dorure</t>
    </r>
    <r>
      <rPr>
        <b/>
        <sz val="9"/>
        <color theme="1"/>
        <rFont val="Aptos Narrow"/>
        <family val="2"/>
        <scheme val="minor"/>
      </rPr>
      <t xml:space="preserve"> Calage
</t>
    </r>
    <r>
      <rPr>
        <b/>
        <sz val="9"/>
        <color rgb="FFFF0000"/>
        <rFont val="Aptos Narrow"/>
        <family val="2"/>
        <scheme val="minor"/>
      </rPr>
      <t>Laize 270 mm</t>
    </r>
  </si>
  <si>
    <r>
      <t xml:space="preserve">Coût matière </t>
    </r>
    <r>
      <rPr>
        <b/>
        <sz val="9"/>
        <color rgb="FF00B0F0"/>
        <rFont val="Aptos Narrow"/>
        <family val="2"/>
        <scheme val="minor"/>
      </rPr>
      <t>Dorure</t>
    </r>
    <r>
      <rPr>
        <b/>
        <sz val="9"/>
        <color theme="1"/>
        <rFont val="Aptos Narrow"/>
        <family val="2"/>
        <scheme val="minor"/>
      </rPr>
      <t xml:space="preserve"> roulage
</t>
    </r>
    <r>
      <rPr>
        <b/>
        <sz val="9"/>
        <color rgb="FFFF0000"/>
        <rFont val="Aptos Narrow"/>
        <family val="2"/>
        <scheme val="minor"/>
      </rPr>
      <t>Laize 270 mm</t>
    </r>
  </si>
  <si>
    <r>
      <t xml:space="preserve">Dorure </t>
    </r>
    <r>
      <rPr>
        <b/>
        <sz val="9"/>
        <rFont val="Aptos Narrow"/>
        <family val="2"/>
        <scheme val="minor"/>
      </rPr>
      <t>2</t>
    </r>
  </si>
  <si>
    <r>
      <t>Prix</t>
    </r>
    <r>
      <rPr>
        <b/>
        <sz val="9"/>
        <color rgb="FF00B0F0"/>
        <rFont val="Aptos Narrow"/>
        <family val="2"/>
        <scheme val="minor"/>
      </rPr>
      <t xml:space="preserve"> Pelliculage</t>
    </r>
  </si>
  <si>
    <r>
      <t>Coût matière</t>
    </r>
    <r>
      <rPr>
        <b/>
        <sz val="9"/>
        <color rgb="FF00B0F0"/>
        <rFont val="Aptos Narrow"/>
        <family val="2"/>
        <scheme val="minor"/>
      </rPr>
      <t xml:space="preserve"> pellicule</t>
    </r>
    <r>
      <rPr>
        <b/>
        <sz val="9"/>
        <color theme="1"/>
        <rFont val="Aptos Narrow"/>
        <family val="2"/>
        <scheme val="minor"/>
      </rPr>
      <t xml:space="preserve"> Calage</t>
    </r>
  </si>
  <si>
    <r>
      <t xml:space="preserve">Coût matière </t>
    </r>
    <r>
      <rPr>
        <b/>
        <sz val="9"/>
        <color rgb="FF00B0F0"/>
        <rFont val="Aptos Narrow"/>
        <family val="2"/>
        <scheme val="minor"/>
      </rPr>
      <t>pellicule</t>
    </r>
    <r>
      <rPr>
        <b/>
        <sz val="9"/>
        <color theme="1"/>
        <rFont val="Aptos Narrow"/>
        <family val="2"/>
        <scheme val="minor"/>
      </rPr>
      <t xml:space="preserve"> roulage
pour 1000 étiq</t>
    </r>
  </si>
  <si>
    <t>Support principal</t>
  </si>
  <si>
    <r>
      <t xml:space="preserve">Prix </t>
    </r>
    <r>
      <rPr>
        <b/>
        <sz val="9"/>
        <color rgb="FF00B0F0"/>
        <rFont val="Aptos Narrow"/>
        <family val="2"/>
        <scheme val="minor"/>
      </rPr>
      <t>support principal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sz val="10"/>
        <color theme="1"/>
        <rFont val="Aptos Narrow"/>
        <family val="2"/>
        <scheme val="minor"/>
      </rPr>
      <t>€/M²</t>
    </r>
  </si>
  <si>
    <r>
      <t xml:space="preserve">Coût </t>
    </r>
    <r>
      <rPr>
        <b/>
        <sz val="9"/>
        <color rgb="FF00B0F0"/>
        <rFont val="Aptos Narrow"/>
        <family val="2"/>
        <scheme val="minor"/>
      </rPr>
      <t>support principal</t>
    </r>
    <r>
      <rPr>
        <b/>
        <sz val="9"/>
        <color theme="1"/>
        <rFont val="Aptos Narrow"/>
        <family val="2"/>
        <scheme val="minor"/>
      </rPr>
      <t xml:space="preserve"> 1er Calage</t>
    </r>
  </si>
  <si>
    <r>
      <t>Coût</t>
    </r>
    <r>
      <rPr>
        <b/>
        <sz val="9"/>
        <color rgb="FF00B0F0"/>
        <rFont val="Aptos Narrow"/>
        <family val="2"/>
        <scheme val="minor"/>
      </rPr>
      <t xml:space="preserve"> support principal</t>
    </r>
    <r>
      <rPr>
        <b/>
        <sz val="9"/>
        <color theme="1"/>
        <rFont val="Aptos Narrow"/>
        <family val="2"/>
        <scheme val="minor"/>
      </rPr>
      <t xml:space="preserve"> roulage
pour 1000 étiq</t>
    </r>
  </si>
  <si>
    <r>
      <t xml:space="preserve">Matière Supplémentaire
</t>
    </r>
    <r>
      <rPr>
        <b/>
        <sz val="9"/>
        <color rgb="FFFF0000"/>
        <rFont val="Aptos Narrow"/>
        <family val="2"/>
        <scheme val="minor"/>
      </rPr>
      <t>Galbe à sec
Laize 250 mm</t>
    </r>
  </si>
  <si>
    <t xml:space="preserve">Tx Horaire </t>
  </si>
  <si>
    <r>
      <t xml:space="preserve">Vitesse </t>
    </r>
    <r>
      <rPr>
        <b/>
        <sz val="9"/>
        <color rgb="FF00B0F0"/>
        <rFont val="Aptos Narrow"/>
        <family val="2"/>
        <scheme val="minor"/>
      </rPr>
      <t>Base</t>
    </r>
  </si>
  <si>
    <t>Réduction Vitesse Base</t>
  </si>
  <si>
    <t>Vitesse HP</t>
  </si>
  <si>
    <r>
      <t xml:space="preserve">Calage
</t>
    </r>
    <r>
      <rPr>
        <b/>
        <sz val="9"/>
        <color rgb="FF00B0F0"/>
        <rFont val="Aptos Narrow"/>
        <family val="2"/>
        <scheme val="minor"/>
      </rPr>
      <t xml:space="preserve">Couleur Num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</si>
  <si>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 xml:space="preserve">Primer Num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</si>
  <si>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rPr>
        <b/>
        <sz val="9"/>
        <rFont val="Aptos Narrow"/>
        <family val="2"/>
        <scheme val="minor"/>
      </rPr>
      <t>Calage</t>
    </r>
    <r>
      <rPr>
        <b/>
        <sz val="9"/>
        <color rgb="FF00B0F0"/>
        <rFont val="Aptos Narrow"/>
        <family val="2"/>
        <scheme val="minor"/>
      </rPr>
      <t xml:space="preserve">
Changement Produits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</si>
  <si>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Numérotation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</si>
  <si>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 
</t>
    </r>
    <r>
      <rPr>
        <b/>
        <sz val="9"/>
        <color rgb="FF00B0F0"/>
        <rFont val="Aptos Narrow"/>
        <family val="2"/>
        <scheme val="minor"/>
      </rPr>
      <t>HP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Cout (€)</t>
    </r>
  </si>
  <si>
    <r>
      <t xml:space="preserve">Changement Bobine
</t>
    </r>
    <r>
      <rPr>
        <b/>
        <sz val="9"/>
        <color rgb="FF00B0F0"/>
        <rFont val="Aptos Narrow"/>
        <family val="2"/>
        <scheme val="minor"/>
      </rPr>
      <t>HP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</si>
  <si>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Changement Bobine
</t>
    </r>
    <r>
      <rPr>
        <b/>
        <sz val="9"/>
        <color rgb="FF00B0F0"/>
        <rFont val="Aptos Narrow"/>
        <family val="2"/>
        <scheme val="minor"/>
      </rPr>
      <t>HP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Cout (€)</t>
    </r>
  </si>
  <si>
    <t>Ml</t>
  </si>
  <si>
    <r>
      <t xml:space="preserve">Roulage
</t>
    </r>
    <r>
      <rPr>
        <b/>
        <sz val="9"/>
        <color rgb="FF00B0F0"/>
        <rFont val="Aptos Narrow"/>
        <family val="2"/>
        <scheme val="minor"/>
      </rPr>
      <t>HP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</si>
  <si>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Roulage
</t>
    </r>
    <r>
      <rPr>
        <b/>
        <sz val="9"/>
        <color rgb="FF00B0F0"/>
        <rFont val="Aptos Narrow"/>
        <family val="2"/>
        <scheme val="minor"/>
      </rPr>
      <t>HP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Cout (€)</t>
    </r>
  </si>
  <si>
    <r>
      <t xml:space="preserve">Vitesse Max
</t>
    </r>
    <r>
      <rPr>
        <b/>
        <sz val="9"/>
        <color rgb="FF00B0F0"/>
        <rFont val="Aptos Narrow"/>
        <family val="2"/>
        <scheme val="minor"/>
      </rPr>
      <t>Dorure</t>
    </r>
  </si>
  <si>
    <r>
      <rPr>
        <b/>
        <sz val="9"/>
        <rFont val="Aptos Narrow"/>
        <family val="2"/>
        <scheme val="minor"/>
      </rPr>
      <t>Vitesse Max</t>
    </r>
    <r>
      <rPr>
        <b/>
        <sz val="9"/>
        <color rgb="FF00B0F0"/>
        <rFont val="Aptos Narrow"/>
        <family val="2"/>
        <scheme val="minor"/>
      </rPr>
      <t xml:space="preserve">
Galbe à sec</t>
    </r>
  </si>
  <si>
    <r>
      <t xml:space="preserve">Vitesse Max
</t>
    </r>
    <r>
      <rPr>
        <b/>
        <sz val="9"/>
        <color rgb="FF00B0F0"/>
        <rFont val="Aptos Narrow"/>
        <family val="2"/>
        <scheme val="minor"/>
      </rPr>
      <t>Gaufrage</t>
    </r>
  </si>
  <si>
    <r>
      <t xml:space="preserve">Vitesse Max
</t>
    </r>
    <r>
      <rPr>
        <b/>
        <sz val="9"/>
        <color rgb="FF00B0F0"/>
        <rFont val="Aptos Narrow"/>
        <family val="2"/>
        <scheme val="minor"/>
      </rPr>
      <t>Foulage</t>
    </r>
  </si>
  <si>
    <r>
      <t xml:space="preserve">Vitesse Max
</t>
    </r>
    <r>
      <rPr>
        <b/>
        <sz val="9"/>
        <color rgb="FF00B0F0"/>
        <rFont val="Aptos Narrow"/>
        <family val="2"/>
        <scheme val="minor"/>
      </rPr>
      <t>Pelliculage</t>
    </r>
  </si>
  <si>
    <t>Vitesse</t>
  </si>
  <si>
    <r>
      <t xml:space="preserve">Calage
</t>
    </r>
    <r>
      <rPr>
        <b/>
        <sz val="9"/>
        <color rgb="FF00B0F0"/>
        <rFont val="Aptos Narrow"/>
        <family val="2"/>
        <scheme val="minor"/>
      </rPr>
      <t>Couleur 2nd Machine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</si>
  <si>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Changement plaque 2nd Machine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</si>
  <si>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Dorure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</si>
  <si>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 xml:space="preserve">Galbe à sec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</si>
  <si>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Gaufrage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</si>
  <si>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 xml:space="preserve">Foulage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</si>
  <si>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
</t>
    </r>
    <r>
      <rPr>
        <b/>
        <sz val="9"/>
        <color rgb="FF00B0F0"/>
        <rFont val="Aptos Narrow"/>
        <family val="2"/>
        <scheme val="minor"/>
      </rPr>
      <t>Pelliculage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</si>
  <si>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 
</t>
    </r>
    <r>
      <rPr>
        <b/>
        <sz val="9"/>
        <color rgb="FF00B0F0"/>
        <rFont val="Aptos Narrow"/>
        <family val="2"/>
        <scheme val="minor"/>
      </rPr>
      <t>2nd Machine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Cout (€)</t>
    </r>
  </si>
  <si>
    <r>
      <t xml:space="preserve">Changement Bobine
</t>
    </r>
    <r>
      <rPr>
        <b/>
        <sz val="9"/>
        <color rgb="FF00B0F0"/>
        <rFont val="Aptos Narrow"/>
        <family val="2"/>
        <scheme val="minor"/>
      </rPr>
      <t>2nd Machine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</si>
  <si>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Changement Bobine
</t>
    </r>
    <r>
      <rPr>
        <b/>
        <sz val="9"/>
        <color rgb="FF00B0F0"/>
        <rFont val="Aptos Narrow"/>
        <family val="2"/>
        <scheme val="minor"/>
      </rPr>
      <t>2nd Machine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Cout (€)</t>
    </r>
  </si>
  <si>
    <r>
      <t xml:space="preserve">Roulage
</t>
    </r>
    <r>
      <rPr>
        <b/>
        <sz val="9"/>
        <color rgb="FF00B0F0"/>
        <rFont val="Aptos Narrow"/>
        <family val="2"/>
        <scheme val="minor"/>
      </rPr>
      <t>2nd Machine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</si>
  <si>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Roulage
2nd Machine
</t>
    </r>
    <r>
      <rPr>
        <b/>
        <i/>
        <sz val="9"/>
        <color rgb="FFFF0000"/>
        <rFont val="Aptos Narrow"/>
        <family val="2"/>
        <scheme val="minor"/>
      </rPr>
      <t>Cout (€)</t>
    </r>
  </si>
  <si>
    <r>
      <t xml:space="preserve">Calage 
</t>
    </r>
    <r>
      <rPr>
        <b/>
        <sz val="9"/>
        <color rgb="FF00B0F0"/>
        <rFont val="Aptos Narrow"/>
        <family val="2"/>
        <scheme val="minor"/>
      </rPr>
      <t>Finition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</si>
  <si>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Calage 
</t>
    </r>
    <r>
      <rPr>
        <b/>
        <sz val="9"/>
        <color rgb="FF00B0F0"/>
        <rFont val="Aptos Narrow"/>
        <family val="2"/>
        <scheme val="minor"/>
      </rPr>
      <t>Finition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Cout (€)</t>
    </r>
  </si>
  <si>
    <r>
      <t xml:space="preserve">Roulage
</t>
    </r>
    <r>
      <rPr>
        <b/>
        <sz val="9"/>
        <color rgb="FF00B0F0"/>
        <rFont val="Aptos Narrow"/>
        <family val="2"/>
        <scheme val="minor"/>
      </rPr>
      <t>Finition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Temps (h)</t>
    </r>
  </si>
  <si>
    <r>
      <t xml:space="preserve">Roulage
</t>
    </r>
    <r>
      <rPr>
        <b/>
        <sz val="9"/>
        <color rgb="FF00B0F0"/>
        <rFont val="Aptos Narrow"/>
        <family val="2"/>
        <scheme val="minor"/>
      </rPr>
      <t>Finition</t>
    </r>
    <r>
      <rPr>
        <b/>
        <sz val="9"/>
        <color theme="1"/>
        <rFont val="Aptos Narrow"/>
        <family val="2"/>
        <scheme val="minor"/>
      </rPr>
      <t xml:space="preserve">
</t>
    </r>
    <r>
      <rPr>
        <b/>
        <i/>
        <sz val="9"/>
        <color rgb="FFFF0000"/>
        <rFont val="Aptos Narrow"/>
        <family val="2"/>
        <scheme val="minor"/>
      </rPr>
      <t>Cout (€)</t>
    </r>
  </si>
  <si>
    <r>
      <t>Coût 
Encre</t>
    </r>
    <r>
      <rPr>
        <i/>
        <sz val="9"/>
        <color theme="1"/>
        <rFont val="Aptos Narrow"/>
        <family val="2"/>
        <scheme val="minor"/>
      </rPr>
      <t xml:space="preserve">
</t>
    </r>
    <r>
      <rPr>
        <sz val="9"/>
        <color theme="1"/>
        <rFont val="Aptos Narrow"/>
        <family val="2"/>
        <scheme val="minor"/>
      </rPr>
      <t>Calage</t>
    </r>
  </si>
  <si>
    <r>
      <t>Coût
Vernis</t>
    </r>
    <r>
      <rPr>
        <i/>
        <sz val="9"/>
        <color theme="1"/>
        <rFont val="Aptos Narrow"/>
        <family val="2"/>
        <scheme val="minor"/>
      </rPr>
      <t xml:space="preserve">
</t>
    </r>
    <r>
      <rPr>
        <sz val="9"/>
        <color theme="1"/>
        <rFont val="Aptos Narrow"/>
        <family val="2"/>
        <scheme val="minor"/>
      </rPr>
      <t>Calage</t>
    </r>
  </si>
  <si>
    <r>
      <t>Coût 
Encre</t>
    </r>
    <r>
      <rPr>
        <i/>
        <sz val="9"/>
        <color theme="1"/>
        <rFont val="Aptos Narrow"/>
        <family val="2"/>
        <scheme val="minor"/>
      </rPr>
      <t xml:space="preserve">
</t>
    </r>
    <r>
      <rPr>
        <sz val="9"/>
        <color theme="1"/>
        <rFont val="Aptos Narrow"/>
        <family val="2"/>
        <scheme val="minor"/>
      </rPr>
      <t>Roulage</t>
    </r>
  </si>
  <si>
    <r>
      <t>Coût
Vernis</t>
    </r>
    <r>
      <rPr>
        <i/>
        <sz val="9"/>
        <color theme="1"/>
        <rFont val="Aptos Narrow"/>
        <family val="2"/>
        <scheme val="minor"/>
      </rPr>
      <t xml:space="preserve">
</t>
    </r>
    <r>
      <rPr>
        <sz val="9"/>
        <color theme="1"/>
        <rFont val="Aptos Narrow"/>
        <family val="2"/>
        <scheme val="minor"/>
      </rPr>
      <t>Roulage</t>
    </r>
  </si>
  <si>
    <r>
      <t xml:space="preserve">HP
Calage
</t>
    </r>
    <r>
      <rPr>
        <i/>
        <sz val="9"/>
        <color theme="1"/>
        <rFont val="Aptos Narrow"/>
        <family val="2"/>
        <scheme val="minor"/>
      </rPr>
      <t>Nb frappes</t>
    </r>
  </si>
  <si>
    <r>
      <t xml:space="preserve">HP
Calage
</t>
    </r>
    <r>
      <rPr>
        <i/>
        <sz val="9"/>
        <color theme="1"/>
        <rFont val="Aptos Narrow"/>
        <family val="2"/>
        <scheme val="minor"/>
      </rPr>
      <t>Coût Click</t>
    </r>
  </si>
  <si>
    <r>
      <t xml:space="preserve">HP
Roulage
</t>
    </r>
    <r>
      <rPr>
        <i/>
        <sz val="9"/>
        <color theme="1"/>
        <rFont val="Aptos Narrow"/>
        <family val="2"/>
        <scheme val="minor"/>
      </rPr>
      <t>Nb frappes</t>
    </r>
  </si>
  <si>
    <r>
      <t xml:space="preserve">HP
Roulage
</t>
    </r>
    <r>
      <rPr>
        <i/>
        <sz val="9"/>
        <color theme="1"/>
        <rFont val="Aptos Narrow"/>
        <family val="2"/>
        <scheme val="minor"/>
      </rPr>
      <t>Coût Click</t>
    </r>
  </si>
  <si>
    <t>Renouvellement clichés</t>
  </si>
  <si>
    <t>Coût Emballage</t>
  </si>
  <si>
    <t>Transport</t>
  </si>
  <si>
    <t>Frais Fixe</t>
  </si>
  <si>
    <t>Cout Total</t>
  </si>
  <si>
    <t>Cout / 1000</t>
  </si>
  <si>
    <t>Prix Devis</t>
  </si>
  <si>
    <t>Prix Devis / 1000</t>
  </si>
  <si>
    <t>Cout MB</t>
  </si>
  <si>
    <t>Qté</t>
  </si>
  <si>
    <t>HP Calage</t>
  </si>
  <si>
    <t>HP Roulage</t>
  </si>
  <si>
    <t>2nd Machine Calage</t>
  </si>
  <si>
    <t>2nd Machine Roulage</t>
  </si>
  <si>
    <t>CTP Cliché</t>
  </si>
  <si>
    <t>Support</t>
  </si>
  <si>
    <t>Dorure/Pelliculage</t>
  </si>
  <si>
    <t>Encres Vernis</t>
  </si>
  <si>
    <t>Clics</t>
  </si>
  <si>
    <t>Conditionnement</t>
  </si>
  <si>
    <t>FG Fixe</t>
  </si>
  <si>
    <t>Frais Divers</t>
  </si>
  <si>
    <t>Outil dorure</t>
  </si>
  <si>
    <t>TOTAL</t>
  </si>
  <si>
    <t>Min</t>
  </si>
  <si>
    <t>Choix de la HP 6000</t>
  </si>
  <si>
    <t>Changement de plaques : temps (h)</t>
  </si>
  <si>
    <t>Changement de couleur : temps (h)</t>
  </si>
  <si>
    <t>Changement de plaques : ml</t>
  </si>
  <si>
    <t>Changement de couleur : ml</t>
  </si>
  <si>
    <t>Consommation encre en g/m²</t>
  </si>
  <si>
    <t>Consommation encre en g fixe</t>
  </si>
  <si>
    <t>Changement de bobine mère</t>
  </si>
  <si>
    <t>Changement Produit</t>
  </si>
  <si>
    <t>Copie Plaque</t>
  </si>
  <si>
    <t>Press</t>
  </si>
  <si>
    <t>Laize papier mini</t>
  </si>
  <si>
    <t>Laize papier maxi</t>
  </si>
  <si>
    <t>Passe découpe fixe</t>
  </si>
  <si>
    <t>Passe découpe %</t>
  </si>
  <si>
    <t>Calage Primer HP</t>
  </si>
  <si>
    <t>Tax horaire : coût salarial</t>
  </si>
  <si>
    <t>Tax horaire : coût machine</t>
  </si>
  <si>
    <t>Tax horaire : indivis</t>
  </si>
  <si>
    <t>Taux Horaire</t>
  </si>
  <si>
    <t>Unité</t>
  </si>
  <si>
    <t>UV flexo</t>
  </si>
  <si>
    <t>Screen</t>
  </si>
  <si>
    <t>Vernis</t>
  </si>
  <si>
    <t>Temps par bobine</t>
  </si>
  <si>
    <t>longueur moy/bob</t>
  </si>
  <si>
    <t>passe par bobine</t>
  </si>
  <si>
    <t>Temps Calage</t>
  </si>
  <si>
    <t>Passe</t>
  </si>
  <si>
    <t>Vitesse Max</t>
  </si>
  <si>
    <t>temps (h)</t>
  </si>
  <si>
    <t>passe (ml)</t>
  </si>
  <si>
    <t>UV Flexo</t>
  </si>
  <si>
    <t>Seri</t>
  </si>
  <si>
    <t>f/heure</t>
  </si>
  <si>
    <t>FINITION INLINE</t>
  </si>
  <si>
    <t>Clé</t>
  </si>
  <si>
    <t>Presse</t>
  </si>
  <si>
    <t>Réf. presse</t>
  </si>
  <si>
    <t>Calage extra</t>
  </si>
  <si>
    <t>Gâche (%)</t>
  </si>
  <si>
    <r>
      <t>Vitesse d'impr. max.</t>
    </r>
    <r>
      <rPr>
        <sz val="10"/>
        <color rgb="FFFF0000"/>
        <rFont val="Calibri"/>
        <family val="2"/>
      </rPr>
      <t xml:space="preserve"> (f/h)</t>
    </r>
  </si>
  <si>
    <t>Commentaire</t>
  </si>
  <si>
    <t>Passe Forme Suivante</t>
  </si>
  <si>
    <t>Calage Forme Suivante</t>
  </si>
  <si>
    <t>Combiné</t>
  </si>
  <si>
    <t>3D20</t>
  </si>
  <si>
    <t>Dorure</t>
  </si>
  <si>
    <t>Aplat</t>
  </si>
  <si>
    <t>3012</t>
  </si>
  <si>
    <t>Découpe supp. en ligne</t>
  </si>
  <si>
    <t>3007</t>
  </si>
  <si>
    <t>FINITION OFFLINE</t>
  </si>
  <si>
    <t>ml/h</t>
  </si>
  <si>
    <t>Sorte</t>
  </si>
  <si>
    <t>Gâche fixe</t>
  </si>
  <si>
    <t>Calage</t>
  </si>
  <si>
    <r>
      <t xml:space="preserve">Norme de production </t>
    </r>
    <r>
      <rPr>
        <sz val="10"/>
        <color rgb="FFFF0000"/>
        <rFont val="Calibri"/>
        <family val="2"/>
      </rPr>
      <t>(ml / h)</t>
    </r>
  </si>
  <si>
    <t>Total coût extra</t>
  </si>
  <si>
    <t>Gache %</t>
  </si>
  <si>
    <t>Autres</t>
  </si>
  <si>
    <t>TOUS</t>
  </si>
  <si>
    <t>Frais Généraux</t>
  </si>
  <si>
    <t>Surplus Prod</t>
  </si>
  <si>
    <t>Carton + Palette</t>
  </si>
  <si>
    <t>Cout P&amp;L / Papier P&amp;L</t>
  </si>
  <si>
    <t>g/m²</t>
  </si>
  <si>
    <t>g fixe</t>
  </si>
  <si>
    <t>taux encrage</t>
  </si>
  <si>
    <t>Encre Flexo</t>
  </si>
  <si>
    <t>€/kg par couleur</t>
  </si>
  <si>
    <t>Encre Séri</t>
  </si>
  <si>
    <t>Vernis Flexo</t>
  </si>
  <si>
    <t xml:space="preserve">€/kg </t>
  </si>
  <si>
    <t>Vernis Séri</t>
  </si>
  <si>
    <t>Cliché Flexo</t>
  </si>
  <si>
    <t>Ecran Sérigraphie</t>
  </si>
  <si>
    <t>Chgmt vitesse %</t>
  </si>
  <si>
    <t>% Passe</t>
  </si>
  <si>
    <t>Passe (ml)</t>
  </si>
  <si>
    <t>Calage extra (h)</t>
  </si>
  <si>
    <t>Prix/1 000 Clics</t>
  </si>
  <si>
    <t>Nb Couleur Flexo</t>
  </si>
  <si>
    <t>Nb Couleur Séri</t>
  </si>
  <si>
    <t>Nb Vernis Flexo</t>
  </si>
  <si>
    <t>Nb Vernis Séri</t>
  </si>
  <si>
    <t>Nb Couleur HP</t>
  </si>
  <si>
    <t>Noir</t>
  </si>
  <si>
    <t>Noir+1 Silver</t>
  </si>
  <si>
    <t>Noir+1 Blanc</t>
  </si>
  <si>
    <t>Noir+1 Blanc+1 Silver</t>
  </si>
  <si>
    <t>Noir+1 Blanc+2 Silvers</t>
  </si>
  <si>
    <t>Noir+1 Blanc+3 Silvers</t>
  </si>
  <si>
    <t>Noir+1 Blanc+4 Silvers</t>
  </si>
  <si>
    <t>Noir+2 Silvers</t>
  </si>
  <si>
    <t>Noir+2 Blancs</t>
  </si>
  <si>
    <t>Noir+2 Blancs+1 Silver</t>
  </si>
  <si>
    <t>Noir+2 Blancs+2 Silvers</t>
  </si>
  <si>
    <t>Noir+2 Blancs+3 Silvers</t>
  </si>
  <si>
    <t>Noir+2 Blancs+4 Silvers</t>
  </si>
  <si>
    <t>Noir+3 Silvers</t>
  </si>
  <si>
    <t>Noir+4 Silvers</t>
  </si>
  <si>
    <t>1 Silver</t>
  </si>
  <si>
    <t>1 Blanc</t>
  </si>
  <si>
    <t>1 Blanc+1 Silver</t>
  </si>
  <si>
    <t>1 Blanc+2 Silvers</t>
  </si>
  <si>
    <t>1 Blanc+3 Silvers</t>
  </si>
  <si>
    <t>1 Blanc+4 Silvers</t>
  </si>
  <si>
    <t>2 Couleurs</t>
  </si>
  <si>
    <t>2 Couleurs+1 Silver</t>
  </si>
  <si>
    <t>2 Couleurs+1 Blanc</t>
  </si>
  <si>
    <t>2 Couleurs+1 Blanc+1 Silver</t>
  </si>
  <si>
    <t>2 Couleurs+1 Blanc+2 Silvers</t>
  </si>
  <si>
    <t>2 Couleurs+1 Blanc+3 Silvers</t>
  </si>
  <si>
    <t>2 Couleurs+1 Blanc+4 Silvers</t>
  </si>
  <si>
    <t>2 Couleurs+2 Silvers</t>
  </si>
  <si>
    <t>2 Couleurs+2 Blancs</t>
  </si>
  <si>
    <t>2 Couleurs+2 Blancs+1 Silver</t>
  </si>
  <si>
    <t>2 Couleurs+2 Blancs+2 Silvers</t>
  </si>
  <si>
    <t>2 Couleurs+2 Blancs+3 Silvers</t>
  </si>
  <si>
    <t>2 Couleurs+2 Blancs+4 Silvers</t>
  </si>
  <si>
    <t>2 Couleurs+3 Silvers</t>
  </si>
  <si>
    <t>2 Couleurs+4 Silvers</t>
  </si>
  <si>
    <t>2 Silvers</t>
  </si>
  <si>
    <t>2 Blancs</t>
  </si>
  <si>
    <t>2 Blancs+1 Silver</t>
  </si>
  <si>
    <t>2 Blancs+2 Silvers</t>
  </si>
  <si>
    <t>2 Blancs+3 Silvers</t>
  </si>
  <si>
    <t>2 Blancs+4 Silvers</t>
  </si>
  <si>
    <t>3 Couleurs</t>
  </si>
  <si>
    <t>3 Couleurs+1 Silver</t>
  </si>
  <si>
    <t>3 Couleurs+1 Blanc</t>
  </si>
  <si>
    <t>3 Couleurs+1 Blanc+1 Silver</t>
  </si>
  <si>
    <t>3 Couleurs+1 Blanc+2 Silvers</t>
  </si>
  <si>
    <t>3 Couleurs+1 Blanc+3 Silvers</t>
  </si>
  <si>
    <t>3 Couleurs+1 Blanc+4 Silvers</t>
  </si>
  <si>
    <t>3 Couleurs+2 Silvers</t>
  </si>
  <si>
    <t>3 Couleurs+2 Blancs</t>
  </si>
  <si>
    <t>3 Couleurs+2 Blancs+1 Silver</t>
  </si>
  <si>
    <t>3 Couleurs+2 Blancs+2 Silvers</t>
  </si>
  <si>
    <t>3 Couleurs+2 Blancs+3 Silvers</t>
  </si>
  <si>
    <t>3 Couleurs+2 Blancs+4 Silvers</t>
  </si>
  <si>
    <t>3 Couleurs+3 Silvers</t>
  </si>
  <si>
    <t>3 Couleurs+4 Silvers</t>
  </si>
  <si>
    <t>3 Silvers</t>
  </si>
  <si>
    <t>4 Couleurs+1 Silver</t>
  </si>
  <si>
    <t>4 Couleurs+1 Blanc</t>
  </si>
  <si>
    <t>4 Couleurs+1 Blanc+1 Silver</t>
  </si>
  <si>
    <t>4 Couleurs+1 Blanc+2 Silvers</t>
  </si>
  <si>
    <t>4 Couleurs+1 Blanc+3 Silvers</t>
  </si>
  <si>
    <t>4 Couleurs+1 Blanc+4 Silvers</t>
  </si>
  <si>
    <t>4 Couleurs+2 Silvers</t>
  </si>
  <si>
    <t>4 Couleurs+2 Blancs</t>
  </si>
  <si>
    <t>4 Couleurs+2 Blancs+1 Silver</t>
  </si>
  <si>
    <t>4 Couleurs+2 Blancs+2 Silvers</t>
  </si>
  <si>
    <t>4 Couleurs+2 Blancs+3 Silvers</t>
  </si>
  <si>
    <t>4 Couleurs+2 Blancs+4 Silvers</t>
  </si>
  <si>
    <t>4 Couleurs+3 Silvers</t>
  </si>
  <si>
    <t>4 Couleurs+4 Silvers</t>
  </si>
  <si>
    <t>4 Silvers</t>
  </si>
  <si>
    <t>5 Couleurs</t>
  </si>
  <si>
    <t>5 Couleurs+1 Silver</t>
  </si>
  <si>
    <t>5 Couleurs+1 Blanc</t>
  </si>
  <si>
    <t>5 Couleurs+1 Blanc+1 Silver</t>
  </si>
  <si>
    <t>5 Couleurs+1 Blanc+2 Silvers</t>
  </si>
  <si>
    <t>5 Couleurs+1 Blanc+3 Silvers</t>
  </si>
  <si>
    <t>5 Couleurs+1 Blanc+4 Silvers</t>
  </si>
  <si>
    <t>5 Couleurs+2 Silvers</t>
  </si>
  <si>
    <t>5 Couleurs+2 Blancs</t>
  </si>
  <si>
    <t>5 Couleurs+2 Blancs+1 Silver</t>
  </si>
  <si>
    <t>5 Couleurs+2 Blancs+2 Silvers</t>
  </si>
  <si>
    <t>5 Couleurs+2 Blancs+3 Silvers</t>
  </si>
  <si>
    <t>5 Couleurs+3 Silvers</t>
  </si>
  <si>
    <t>5 Couleurs+4 Silvers</t>
  </si>
  <si>
    <t>6 Couleurs</t>
  </si>
  <si>
    <t>6 Couleurs+1 Silver</t>
  </si>
  <si>
    <t>6 Couleurs+1 Blanc</t>
  </si>
  <si>
    <t>6 Couleurs+1 Blanc+1 Silver</t>
  </si>
  <si>
    <t>6 Couleurs+1 Blanc+2 Silvers</t>
  </si>
  <si>
    <t>6 Couleurs+1 Blanc+3 Silvers</t>
  </si>
  <si>
    <t>6 Couleurs+2 Silvers</t>
  </si>
  <si>
    <t>6 Couleurs+2 Blancs</t>
  </si>
  <si>
    <t>6 Couleurs+2 Blancs+1 Silver</t>
  </si>
  <si>
    <t>6 Couleurs+2 Blancs+2 Silvers</t>
  </si>
  <si>
    <t>6 Couleurs+3 Silvers</t>
  </si>
  <si>
    <t>6 Couleurs+4 Silvers</t>
  </si>
  <si>
    <t>7 Couleurs</t>
  </si>
  <si>
    <t>7 Couleurs+1 Silver</t>
  </si>
  <si>
    <t>7 Couleurs+1 Blanc</t>
  </si>
  <si>
    <t>7 Couleurs+1 Blanc+1 Silver</t>
  </si>
  <si>
    <t>7 Couleurs+1 Blanc+2 Silvers</t>
  </si>
  <si>
    <t>7 Couleurs+2 Silvers</t>
  </si>
  <si>
    <t>7 Couleurs+2 Blancs</t>
  </si>
  <si>
    <t>7 Couleurs+2 Blancs+1 Silver</t>
  </si>
  <si>
    <t>7 Couleurs+3 Silvers</t>
  </si>
  <si>
    <t>8 Couleurs+1 Silver</t>
  </si>
  <si>
    <t>8 Couleurs+1 Blanc</t>
  </si>
  <si>
    <t>8 Couleurs+1 Blanc+1 Silver</t>
  </si>
  <si>
    <t>8 Couleurs+2 Silvers</t>
  </si>
  <si>
    <t>8 Couleurs+2 Blancs</t>
  </si>
  <si>
    <t>8 Couleurs+4 Blancs</t>
  </si>
  <si>
    <t>8 Couleurs+6 Blancs</t>
  </si>
  <si>
    <t>8 Couleurs</t>
  </si>
  <si>
    <t>9 Couleurs</t>
  </si>
  <si>
    <t>9 Couleurs+1 Blanc</t>
  </si>
  <si>
    <t>9 Couleurs+1 Silver</t>
  </si>
  <si>
    <t>9 Couleurs+2 Blancs</t>
  </si>
  <si>
    <t>MD CERM</t>
  </si>
  <si>
    <t>AELI - Noir+1 Silver</t>
  </si>
  <si>
    <t>AELI - Noir+1 Blanc+1 Silver</t>
  </si>
  <si>
    <t>AELI - Noir+1 Blanc+2 Silvers</t>
  </si>
  <si>
    <t>AELI - Noir+1 Blanc+3 Silvers</t>
  </si>
  <si>
    <t>AELI - Noir+1 Blanc+4 Silvers</t>
  </si>
  <si>
    <t>AELI - Noir+2 Silvers</t>
  </si>
  <si>
    <t>AELI - Noir+2 Blancs+1 Silver</t>
  </si>
  <si>
    <t>AELI - Noir+2 Blancs+2 Silvers</t>
  </si>
  <si>
    <t>AELI - Noir+2 Blancs+3 Silvers</t>
  </si>
  <si>
    <t>AELI - Noir+2 Blancs+4 Silvers</t>
  </si>
  <si>
    <t>AELI - Noir+3 Silvers</t>
  </si>
  <si>
    <t>AELI - Noir+4 Silvers</t>
  </si>
  <si>
    <t>AELI - 1 Silver</t>
  </si>
  <si>
    <t>AELI - 1 Blanc+1 Silver</t>
  </si>
  <si>
    <t>AELI - 1 Blanc+2 Silvers</t>
  </si>
  <si>
    <t>AELI - 1 Blanc+3 Silvers</t>
  </si>
  <si>
    <t>AELI - 1 Blanc+4 Silvers</t>
  </si>
  <si>
    <t>AELI - 2 Couleurs+1 Silver</t>
  </si>
  <si>
    <t>AELI - 2 Couleurs+1 Blanc+1 Silver</t>
  </si>
  <si>
    <t>AELI - 2 Couleurs+1 Blanc+2 Silvers</t>
  </si>
  <si>
    <t>AELI - 2 Couleurs+1 Blanc+3 Silvers</t>
  </si>
  <si>
    <t>AELI - 2 Couleurs+1 Blanc+4 Silvers</t>
  </si>
  <si>
    <t>AELI - 2 Couleurs+2 Silvers</t>
  </si>
  <si>
    <t>AELI - 2 Couleurs+2 Blancs+1 Silver</t>
  </si>
  <si>
    <t>AELI - 2 Couleurs+2 Blancs+2 Silvers</t>
  </si>
  <si>
    <t>AELI - 2 Couleurs+2 Blancs+3 Silvers</t>
  </si>
  <si>
    <t>AELI - 2 Couleurs+2 Blancs+4 Silvers</t>
  </si>
  <si>
    <t>AELI - 2 Couleurs+3 Silvers</t>
  </si>
  <si>
    <t>AELI - 2 Couleurs+4 Silvers</t>
  </si>
  <si>
    <t>AELI - 2 Silvers</t>
  </si>
  <si>
    <t>AELI - 2 Blancs+1 Silver</t>
  </si>
  <si>
    <t>AELI - 2 Blancs+2 Silvers</t>
  </si>
  <si>
    <t>AELI - 2 Blancs+3 Silvers</t>
  </si>
  <si>
    <t>AELI - 2 Blancs+4 Silvers</t>
  </si>
  <si>
    <t>AELI - 3 Couleurs+1 Silver</t>
  </si>
  <si>
    <t>AELI - 3 Couleurs+1 Blanc+1 Silver</t>
  </si>
  <si>
    <t>AELI - 3 Couleurs+1 Blanc+2 Silvers</t>
  </si>
  <si>
    <t>AELI - 3 Couleurs+1 Blanc+3 Silvers</t>
  </si>
  <si>
    <t>AELI - 3 Couleurs+1 Blanc+4 Silvers</t>
  </si>
  <si>
    <t>AELI - 3 Couleurs+2 Silvers</t>
  </si>
  <si>
    <t>AELI - 3 Couleurs+2 Blancs+1 Silver</t>
  </si>
  <si>
    <t>AELI - 3 Couleurs+2 Blancs+2 Silvers</t>
  </si>
  <si>
    <t>AELI - 3 Couleurs+2 Blancs+3 Silvers</t>
  </si>
  <si>
    <t>AELI - 3 Couleurs+2 Blancs+4 Silvers</t>
  </si>
  <si>
    <t>AELI - 3 Couleurs+3 Silvers</t>
  </si>
  <si>
    <t>AELI - 3 Couleurs+4 Silvers</t>
  </si>
  <si>
    <t>AELI - 3 Silvers</t>
  </si>
  <si>
    <t>AELI - 4 Couleurs+1 Silver</t>
  </si>
  <si>
    <t>AELI - 4 Couleurs+1 Blanc+1 Silver</t>
  </si>
  <si>
    <t>AELI - 4 Couleurs+1 Blanc+2 Silvers</t>
  </si>
  <si>
    <t>AELI - 4 Couleurs+1 Blanc+3 Silvers</t>
  </si>
  <si>
    <t>AELI - 4 Couleurs+1 Blanc+4 Silvers</t>
  </si>
  <si>
    <t>AELI - 4 Couleurs+2 Silvers</t>
  </si>
  <si>
    <t>AELI - 4 Couleurs+2 Blancs+1 Silver</t>
  </si>
  <si>
    <t>AELI - 4 Couleurs+2 Blancs+2 Silvers</t>
  </si>
  <si>
    <t>AELI - 4 Couleurs+2 Blancs+3 Silvers</t>
  </si>
  <si>
    <t>AELI - 4 Couleurs+2 Blancs+4 Silvers</t>
  </si>
  <si>
    <t>AELI - 4 Couleurs+3 Silvers</t>
  </si>
  <si>
    <t>AELI - 4 Couleurs+4 Silvers</t>
  </si>
  <si>
    <t>AELI - 4 Silvers</t>
  </si>
  <si>
    <t>AELI - 5 Couleurs+1 Silver</t>
  </si>
  <si>
    <t>AELI - 5 Couleurs+1 Blanc+1 Silver</t>
  </si>
  <si>
    <t>AELI - 5 Couleurs+1 Blanc+2 Silvers</t>
  </si>
  <si>
    <t>AELI - 5 Couleurs+1 Blanc+3 Silvers</t>
  </si>
  <si>
    <t>AELI - 5 Couleurs+1 Blanc+4 Silvers</t>
  </si>
  <si>
    <t>AELI - 5 Couleurs+2 Silvers</t>
  </si>
  <si>
    <t>AELI - 5 Couleurs+2 Blancs+1 Silver</t>
  </si>
  <si>
    <t>AELI - 5 Couleurs+2 Blancs+2 Silvers</t>
  </si>
  <si>
    <t>AELI - 5 Couleurs+2 Blancs+3 Silvers</t>
  </si>
  <si>
    <t>AELI - 5 Couleurs+3 Silvers</t>
  </si>
  <si>
    <t>AELI - 5 Couleurs+4 Silvers</t>
  </si>
  <si>
    <t>AELI - 6 Couleurs+1 Silver</t>
  </si>
  <si>
    <t>AELI - 6 Couleurs+1 Blanc+1 Silver</t>
  </si>
  <si>
    <t>AELI - 6 Couleurs+1 Blanc+2 Silvers</t>
  </si>
  <si>
    <t>AELI - 6 Couleurs+1 Blanc+3 Silvers</t>
  </si>
  <si>
    <t>AELI - 6 Couleurs+2 Silvers</t>
  </si>
  <si>
    <t>AELI - 6 Couleurs+2 Blancs+1 Silver</t>
  </si>
  <si>
    <t>AELI - 6 Couleurs+2 Blancs+2 Silvers</t>
  </si>
  <si>
    <t>AELI - 6 Couleurs+3 Silvers</t>
  </si>
  <si>
    <t>AELI - 6 Couleurs+4 Silvers</t>
  </si>
  <si>
    <t>AELI - 7 Couleurs+1 Silver</t>
  </si>
  <si>
    <t>AELI - 7 Couleurs+1 Blanc+1 Silver</t>
  </si>
  <si>
    <t>AELI - 7 Couleurs+1 Blanc+2 Silvers</t>
  </si>
  <si>
    <t>AELI - 7 Couleurs+2 Silvers</t>
  </si>
  <si>
    <t>AELI - 7 Couleurs+2 Blancs+1 Silver</t>
  </si>
  <si>
    <t>AELI - 7 Couleurs+3 Silvers</t>
  </si>
  <si>
    <t>AELI - 8 Couleurs+1 Silver</t>
  </si>
  <si>
    <t>AELI - 8 Couleurs+1 Blanc+1 Silver</t>
  </si>
  <si>
    <t>AELI - 8 Couleurs+2 Silvers</t>
  </si>
  <si>
    <t>Cartes</t>
  </si>
  <si>
    <t>Ni couleur ni vernis</t>
  </si>
  <si>
    <t>1S</t>
  </si>
  <si>
    <t>1 Couleur Sérigraphie</t>
  </si>
  <si>
    <t>1S+1VS</t>
  </si>
  <si>
    <t>1UF</t>
  </si>
  <si>
    <t>1 Couleur Flexo</t>
  </si>
  <si>
    <t>1UF+1S</t>
  </si>
  <si>
    <t>1 Couleur Flexo + 1 Couleur Sérigraphie</t>
  </si>
  <si>
    <t>1UF+1VF</t>
  </si>
  <si>
    <t>1UF+1VS</t>
  </si>
  <si>
    <t>1VF</t>
  </si>
  <si>
    <t>1VF+1S</t>
  </si>
  <si>
    <t>1VF+1VS</t>
  </si>
  <si>
    <t>1VS</t>
  </si>
  <si>
    <t>2UF</t>
  </si>
  <si>
    <t>2 Couleurs Flexo</t>
  </si>
  <si>
    <t>1S+1VF</t>
  </si>
  <si>
    <t>1S+2VF</t>
  </si>
  <si>
    <t>2VF</t>
  </si>
  <si>
    <t>Galaxie</t>
  </si>
  <si>
    <t>1UF+1S+1VS</t>
  </si>
  <si>
    <t>1UF+1VF+1S</t>
  </si>
  <si>
    <t>1UF+1VF+1S+1VS</t>
  </si>
  <si>
    <t>1UF+1VF+1VS</t>
  </si>
  <si>
    <t>1VF+1S+1VS</t>
  </si>
  <si>
    <t>2UF+1S</t>
  </si>
  <si>
    <t>2 Couleurs Flexo + 1 Couleur Sérigraphie</t>
  </si>
  <si>
    <t>2UF+1VS</t>
  </si>
  <si>
    <t>2VF+1S</t>
  </si>
  <si>
    <t>2VF+1VS</t>
  </si>
  <si>
    <t>Support d'impression</t>
  </si>
  <si>
    <t>Ref support</t>
  </si>
  <si>
    <t>Fournisseur</t>
  </si>
  <si>
    <t>Id</t>
  </si>
  <si>
    <t>Frontal&amp;Adhesif</t>
  </si>
  <si>
    <t>Prix</t>
  </si>
  <si>
    <t>Réf support</t>
  </si>
  <si>
    <t>Réf chez Fournisseur</t>
  </si>
  <si>
    <t>Type Matière</t>
  </si>
  <si>
    <t>Grammage</t>
  </si>
  <si>
    <t>Prix (Hors FG)</t>
  </si>
  <si>
    <t>805421</t>
  </si>
  <si>
    <t>MANTER</t>
  </si>
  <si>
    <t>Coton blanc</t>
  </si>
  <si>
    <t>806917</t>
  </si>
  <si>
    <t>FLM0812</t>
  </si>
  <si>
    <t>RITRAMA</t>
  </si>
  <si>
    <t>PP 17µ</t>
  </si>
  <si>
    <t>PP TC MATT TRANSPARENT SOFT TOUCH 17 / AP901 / WG62</t>
  </si>
  <si>
    <t>803101</t>
  </si>
  <si>
    <t>Alufin Mat MTS SILVER</t>
  </si>
  <si>
    <t>KURZ</t>
  </si>
  <si>
    <t>RUBAN A CHAUD</t>
  </si>
  <si>
    <t>Argent Mat</t>
  </si>
  <si>
    <t>806211</t>
  </si>
  <si>
    <t>PET</t>
  </si>
  <si>
    <t>803063</t>
  </si>
  <si>
    <t>Alufin MTS</t>
  </si>
  <si>
    <t>Argent Métalisé</t>
  </si>
  <si>
    <t>805347</t>
  </si>
  <si>
    <t>AVERY</t>
  </si>
  <si>
    <t>Permanent</t>
  </si>
  <si>
    <t>803102</t>
  </si>
  <si>
    <t>Alufin Soyeux MTS</t>
  </si>
  <si>
    <t>Argent Satiné</t>
  </si>
  <si>
    <t>807308</t>
  </si>
  <si>
    <t>ARCONVERT</t>
  </si>
  <si>
    <t>Coton extra blanc</t>
  </si>
  <si>
    <t>803075</t>
  </si>
  <si>
    <t>Luxor MTS 302</t>
  </si>
  <si>
    <t>Bleu</t>
  </si>
  <si>
    <t>806706</t>
  </si>
  <si>
    <t>UPM</t>
  </si>
  <si>
    <t>Couché Satiné</t>
  </si>
  <si>
    <t>Lavable</t>
  </si>
  <si>
    <t>804851</t>
  </si>
  <si>
    <t>Colorit METALLIC BRONZE RGB</t>
  </si>
  <si>
    <t>Bronze Métalisé</t>
  </si>
  <si>
    <t>809968</t>
  </si>
  <si>
    <t>803089</t>
  </si>
  <si>
    <t xml:space="preserve">Luxor MTS 397 </t>
  </si>
  <si>
    <t>Cuivre Clair</t>
  </si>
  <si>
    <t>800848</t>
  </si>
  <si>
    <t>Renforcé</t>
  </si>
  <si>
    <t>803091</t>
  </si>
  <si>
    <t>Luxor MTS 404</t>
  </si>
  <si>
    <t>Cuivre Mat</t>
  </si>
  <si>
    <t>806013</t>
  </si>
  <si>
    <t>803084</t>
  </si>
  <si>
    <t xml:space="preserve"> MTS 362</t>
  </si>
  <si>
    <t>808800</t>
  </si>
  <si>
    <t>Couché Chrome</t>
  </si>
  <si>
    <t>804849</t>
  </si>
  <si>
    <t>Colorit TRANS 812</t>
  </si>
  <si>
    <t>Noir Brillant</t>
  </si>
  <si>
    <t>805451</t>
  </si>
  <si>
    <t>803104</t>
  </si>
  <si>
    <t>Luxor MTS 429N</t>
  </si>
  <si>
    <t>Or Standard</t>
  </si>
  <si>
    <t>Or Mat</t>
  </si>
  <si>
    <t>806354</t>
  </si>
  <si>
    <t>803071</t>
  </si>
  <si>
    <t>Luxor MTS 338</t>
  </si>
  <si>
    <t>Or Jaune Pâle</t>
  </si>
  <si>
    <t>Or</t>
  </si>
  <si>
    <t>809516</t>
  </si>
  <si>
    <t>Couché mat</t>
  </si>
  <si>
    <t>805976</t>
  </si>
  <si>
    <t>Luxor MTH 429N</t>
  </si>
  <si>
    <t>802129</t>
  </si>
  <si>
    <t>803097</t>
  </si>
  <si>
    <t>Luxor MTS 425</t>
  </si>
  <si>
    <t>Or Mat Satiné</t>
  </si>
  <si>
    <t>803081</t>
  </si>
  <si>
    <t xml:space="preserve"> MTS 355</t>
  </si>
  <si>
    <t>Or Rosé</t>
  </si>
  <si>
    <t>Cuivre clair</t>
  </si>
  <si>
    <t>810552</t>
  </si>
  <si>
    <t>803088</t>
  </si>
  <si>
    <t>Luxor MTS 396</t>
  </si>
  <si>
    <t>Orange Brillant</t>
  </si>
  <si>
    <t>810489</t>
  </si>
  <si>
    <t>Frozen Orion Diamond</t>
  </si>
  <si>
    <t>803092</t>
  </si>
  <si>
    <t>Luxor MTS 432</t>
  </si>
  <si>
    <t>Rose Fuschia</t>
  </si>
  <si>
    <t>Rose Mat</t>
  </si>
  <si>
    <t>808778</t>
  </si>
  <si>
    <t>803076</t>
  </si>
  <si>
    <t>Luxor MTS 307</t>
  </si>
  <si>
    <t>Rouge</t>
  </si>
  <si>
    <t>805415</t>
  </si>
  <si>
    <t>Sirio Pearl</t>
  </si>
  <si>
    <t>803087</t>
  </si>
  <si>
    <t>Luxor MTS 392</t>
  </si>
  <si>
    <t>Rouge Orangé</t>
  </si>
  <si>
    <t>807868</t>
  </si>
  <si>
    <t>803079</t>
  </si>
  <si>
    <t>Luxor MTS 336</t>
  </si>
  <si>
    <t>Vert</t>
  </si>
  <si>
    <t>809997</t>
  </si>
  <si>
    <t>HGWINE P</t>
  </si>
  <si>
    <t>803956</t>
  </si>
  <si>
    <t>Luxor MTS 360</t>
  </si>
  <si>
    <t>Violet</t>
  </si>
  <si>
    <t>810149</t>
  </si>
  <si>
    <t>808217</t>
  </si>
  <si>
    <t>810778</t>
  </si>
  <si>
    <t>808271</t>
  </si>
  <si>
    <t>807962</t>
  </si>
  <si>
    <t>810132</t>
  </si>
  <si>
    <t>809625</t>
  </si>
  <si>
    <t>Velin Grain Crème</t>
  </si>
  <si>
    <t>805460</t>
  </si>
  <si>
    <t>Velin Grain Extra</t>
  </si>
  <si>
    <t>807901</t>
  </si>
  <si>
    <t>805476</t>
  </si>
  <si>
    <t>Freelife MERIDA</t>
  </si>
  <si>
    <t>805346</t>
  </si>
  <si>
    <t>Martelé blanc</t>
  </si>
  <si>
    <t>807054</t>
  </si>
  <si>
    <t>802521</t>
  </si>
  <si>
    <t>806235</t>
  </si>
  <si>
    <t>Métallisé Argent</t>
  </si>
  <si>
    <t>810736</t>
  </si>
  <si>
    <t>809366</t>
  </si>
  <si>
    <t>Velin Blanc</t>
  </si>
  <si>
    <t>809476</t>
  </si>
  <si>
    <t>810550</t>
  </si>
  <si>
    <t>810629</t>
  </si>
  <si>
    <t>810860</t>
  </si>
  <si>
    <t>810122</t>
  </si>
  <si>
    <t>Velin Crème</t>
  </si>
  <si>
    <t>805770</t>
  </si>
  <si>
    <t>806077</t>
  </si>
  <si>
    <t>Velin Extra Blanc</t>
  </si>
  <si>
    <t>802535</t>
  </si>
  <si>
    <t>PE 150 Blanc</t>
  </si>
  <si>
    <t>802536</t>
  </si>
  <si>
    <t>801818</t>
  </si>
  <si>
    <t>PE 85 Transparent</t>
  </si>
  <si>
    <t>809828</t>
  </si>
  <si>
    <t>PP 50 Blanc</t>
  </si>
  <si>
    <t>802398</t>
  </si>
  <si>
    <t>INTERCOAT</t>
  </si>
  <si>
    <t>805337</t>
  </si>
  <si>
    <t>PP 60 Transparent</t>
  </si>
  <si>
    <t>805549</t>
  </si>
  <si>
    <t>PP 60 Blanc</t>
  </si>
  <si>
    <t>805846</t>
  </si>
  <si>
    <t>801788</t>
  </si>
  <si>
    <t>801878</t>
  </si>
  <si>
    <t>802237</t>
  </si>
  <si>
    <t>810345</t>
  </si>
  <si>
    <t>Vergé blanc</t>
  </si>
  <si>
    <t>810334</t>
  </si>
  <si>
    <t>805354</t>
  </si>
  <si>
    <t>810379</t>
  </si>
  <si>
    <t>Vergé crème</t>
  </si>
  <si>
    <t>802559</t>
  </si>
  <si>
    <t>809559</t>
  </si>
  <si>
    <t>809272</t>
  </si>
  <si>
    <t>BD393</t>
  </si>
  <si>
    <t>AVERY_DENN</t>
  </si>
  <si>
    <t>xxx</t>
  </si>
  <si>
    <t xml:space="preserve">NONE / NONE / LINER PET23 IL LR  </t>
  </si>
  <si>
    <t>FRONTAL</t>
  </si>
  <si>
    <t>Coton Blanc</t>
  </si>
  <si>
    <t>Coton Extra Blanc</t>
  </si>
  <si>
    <t>Couché Mat</t>
  </si>
  <si>
    <t>Martelé Blanc</t>
  </si>
  <si>
    <t>Velin Extra Blanc PLUS</t>
  </si>
  <si>
    <t>Vergé Blanc</t>
  </si>
  <si>
    <t>Vergé Crème</t>
  </si>
  <si>
    <t>Total Hors Markup/FG</t>
  </si>
  <si>
    <t>Markup</t>
  </si>
  <si>
    <t>FG</t>
  </si>
  <si>
    <t>Total</t>
  </si>
  <si>
    <t>Markup Prod</t>
  </si>
  <si>
    <t>Frais Généraux Prod</t>
  </si>
  <si>
    <t>Markup Papier</t>
  </si>
  <si>
    <t>Frais Généraux MP</t>
  </si>
  <si>
    <t>TEST</t>
  </si>
  <si>
    <t>Mr lefrancois</t>
  </si>
  <si>
    <t>DEVIS 1223345</t>
  </si>
  <si>
    <t>Rue du bar du fond garage</t>
  </si>
  <si>
    <t>DEVIS HP — SEED DATA (importer dans Dataverse)</t>
  </si>
  <si>
    <t>▶ Site.csv</t>
  </si>
  <si>
    <t>Code</t>
  </si>
  <si>
    <t>Nom</t>
  </si>
  <si>
    <t>Devise</t>
  </si>
  <si>
    <t>CoeffChange</t>
  </si>
  <si>
    <t>LaizeMaxiDefaut</t>
  </si>
  <si>
    <t>Autajon Etiquettes</t>
  </si>
  <si>
    <t>EUR</t>
  </si>
  <si>
    <t>Autajon Etiquettes Suisse</t>
  </si>
  <si>
    <t>▶ ParametreGlobal.csv</t>
  </si>
  <si>
    <t>Cle</t>
  </si>
  <si>
    <t>Valeur</t>
  </si>
  <si>
    <t>Description</t>
  </si>
  <si>
    <t>FraisGeneraux</t>
  </si>
  <si>
    <t>FG sur coûts matière</t>
  </si>
  <si>
    <t>MargeDevis</t>
  </si>
  <si>
    <t>prixDevis = coutTotal / 0,80</t>
  </si>
  <si>
    <t>SurplusProduction</t>
  </si>
  <si>
    <t>TauxConditionnement</t>
  </si>
  <si>
    <t>× coût support</t>
  </si>
  <si>
    <t>ConditionnementMin</t>
  </si>
  <si>
    <t>min emballage</t>
  </si>
  <si>
    <t>TauxTransport</t>
  </si>
  <si>
    <t>FraisFixe</t>
  </si>
  <si>
    <t>forfait fixe</t>
  </si>
  <si>
    <t>mm entre étiquettes</t>
  </si>
  <si>
    <t>Rives</t>
  </si>
  <si>
    <t>mm marges latérales</t>
  </si>
  <si>
    <t>LaizeDecoupeMax</t>
  </si>
  <si>
    <t>mm</t>
  </si>
  <si>
    <t>▶ Outillage.csv</t>
  </si>
  <si>
    <t>Operation</t>
  </si>
  <si>
    <t>Note</t>
  </si>
  <si>
    <t>Decoupe</t>
  </si>
  <si>
    <t>Galbe</t>
  </si>
  <si>
    <t>ClicheFlexo</t>
  </si>
  <si>
    <t>renouvellement</t>
  </si>
  <si>
    <t>EcranSerigraphie</t>
  </si>
  <si>
    <t>▶ Consommable.csv</t>
  </si>
  <si>
    <t>Type</t>
  </si>
  <si>
    <t>PrixKg</t>
  </si>
  <si>
    <t>GrammeM2</t>
  </si>
  <si>
    <t>GrammeFixe</t>
  </si>
  <si>
    <t>TauxEncrage</t>
  </si>
  <si>
    <t>EncreFlexo</t>
  </si>
  <si>
    <t>EncreSeri</t>
  </si>
  <si>
    <t>VernisFlexo</t>
  </si>
  <si>
    <t>VernisSeri</t>
  </si>
  <si>
    <t>▶ Machine.csv</t>
  </si>
  <si>
    <t>LaizeMini</t>
  </si>
  <si>
    <t>LaizeMaxi</t>
  </si>
  <si>
    <t>TauxHoraire</t>
  </si>
  <si>
    <t>VitesseBase</t>
  </si>
  <si>
    <t>CalagePrimerMin</t>
  </si>
  <si>
    <t>HP6000</t>
  </si>
  <si>
    <t>▶ Pose.csv (développé maxi machine)</t>
  </si>
  <si>
    <t>DeveloppeMaxi</t>
  </si>
  <si>
    <t>▶ OperationFinitionInline.csv</t>
  </si>
  <si>
    <t>CalageExtra</t>
  </si>
  <si>
    <t>Gache</t>
  </si>
  <si>
    <t>VitesseMax</t>
  </si>
  <si>
    <t>▶ FilmPelliculage.csv</t>
  </si>
  <si>
    <t>Libelle</t>
  </si>
  <si>
    <t>PrixM2</t>
  </si>
  <si>
    <t>▶ Support.csv + Dorure.csv</t>
  </si>
  <si>
    <t>Source</t>
  </si>
  <si>
    <t>Action</t>
  </si>
  <si>
    <t>Support.csv (60 lignes)</t>
  </si>
  <si>
    <t>Exporter feuille 'Liste MP' → Tableau5 (B3:I65) → Enregistrer sous CSV</t>
  </si>
  <si>
    <t>Dorure.csv (20 lignes)</t>
  </si>
  <si>
    <t>Exporter feuille 'Liste MP' → Tableau7 (S3:Z24) → Enregistrer sous CSV</t>
  </si>
  <si>
    <t>ProfilCouleurHP (800+ lignes)</t>
  </si>
  <si>
    <t>Exporter feuille 'Code Couleur' rangs 1-816 → CSV</t>
  </si>
  <si>
    <t>ProfilCouleurFinition</t>
  </si>
  <si>
    <t>Exporter feuille 'Code Couleur' rangs 817-911 → CSV</t>
  </si>
  <si>
    <t>Exporter feuille 'Index' colonnes J:M → 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</si>
</sst>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\ &quot;€&quot;_-;\-* #,##0\ &quot;€&quot;_-;_-* &quot;-&quot;??\ &quot;€&quot;_-;_-@_-"/>
    <numFmt numFmtId="165" formatCode="0.000"/>
    <numFmt numFmtId="166" formatCode="_-* #,##0.0_-;\-* #,##0.0_-;_-* &quot;-&quot;??_-;_-@_-"/>
    <numFmt numFmtId="167" formatCode="_-* #,##0_-;\-* #,##0_-;_-* &quot;-&quot;??_-;_-@_-"/>
    <numFmt numFmtId="168" formatCode="0.0"/>
    <numFmt numFmtId="169" formatCode="_-* #,##0.0\ &quot;€&quot;_-;\-* #,##0.0\ &quot;€&quot;_-;_-* &quot;-&quot;??\ &quot;€&quot;_-;_-@_-"/>
    <numFmt numFmtId="170" formatCode="_-* #,##0.0\ &quot;€&quot;_-;\-* #,##0.0\ &quot;€&quot;_-;_-* &quot;-&quot;?\ &quot;€&quot;_-;_-@_-"/>
    <numFmt numFmtId="171" formatCode="_-* #,##0.0\ _€_-;\-* #,##0.0\ _€_-;_-* &quot;-&quot;?\ _€_-;_-@_-"/>
    <numFmt numFmtId="172" formatCode="0.0%"/>
    <numFmt numFmtId="173" formatCode="_-* #,##0.000\ _€_-;\-* #,##0.000\ _€_-;_-* &quot;-&quot;???\ _€_-;_-@_-"/>
    <numFmt numFmtId="174" formatCode="_-* #,##0.000\ _€_-;\-* #,##0.000\ _€_-;_-* &quot;-&quot;?\ _€_-;_-@_-"/>
    <numFmt numFmtId="175" formatCode="#,##0.00&quot; %&quot;"/>
    <numFmt numFmtId="176" formatCode="#,##0_ ;\-#,##0\ "/>
    <numFmt numFmtId="177" formatCode="_-* #,##0.00\ &quot;€&quot;_-;\-* #,##0.00\ &quot;€&quot;_-;_-* &quot;-&quot;?\ &quot;€&quot;_-;_-@_-"/>
    <numFmt numFmtId="178" formatCode="_-* #,##0.00\ _€_-;\-* #,##0.00\ _€_-;_-* &quot;-&quot;??\ _€_-;_-@_-"/>
    <numFmt numFmtId="179" formatCode="[$-F800]dddd\,\ mmmm\ dd\,\ yyyy"/>
    <numFmt numFmtId="180" formatCode="_-* #,##0.00000\ &quot;€&quot;_-;\-* #,##0.00000\ &quot;€&quot;_-;_-* &quot;-&quot;??\ &quot;€&quot;_-;_-@_-"/>
    <numFmt numFmtId="181" formatCode="#,##0\ &quot;€&quot;"/>
  </numFmts>
  <fonts count="57" x14ac:knownFonts="1"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i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9"/>
      <color rgb="FF000000"/>
      <name val="Calibri"/>
      <family val="2"/>
    </font>
    <font>
      <sz val="11"/>
      <name val="Calibri"/>
      <family val="2"/>
    </font>
    <font>
      <sz val="8"/>
      <color rgb="FF000000"/>
      <name val="Tahoma"/>
      <family val="2"/>
    </font>
    <font>
      <sz val="10"/>
      <color rgb="FFFF0000"/>
      <name val="Calibri"/>
      <family val="2"/>
    </font>
    <font>
      <sz val="10"/>
      <color theme="1"/>
      <name val="Calibri"/>
      <family val="2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9"/>
      <color rgb="FF00B0F0"/>
      <name val="Aptos Narrow"/>
      <family val="2"/>
      <scheme val="minor"/>
    </font>
    <font>
      <b/>
      <sz val="9"/>
      <color theme="9" tint="-0.249977111117893"/>
      <name val="Aptos Narrow"/>
      <family val="2"/>
      <scheme val="minor"/>
    </font>
    <font>
      <b/>
      <sz val="9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i/>
      <sz val="9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FF0000"/>
      <name val="Aptos Narrow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</font>
    <font>
      <sz val="11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u/>
      <sz val="11"/>
      <color theme="1"/>
      <name val="Calibri"/>
      <family val="2"/>
    </font>
    <font>
      <u/>
      <sz val="11"/>
      <color theme="1"/>
      <name val="Calibri"/>
      <family val="2"/>
    </font>
    <font>
      <sz val="8"/>
      <color theme="1"/>
      <name val="Calibri"/>
      <family val="2"/>
    </font>
    <font>
      <sz val="70"/>
      <color theme="0" tint="-0.249977111117893"/>
      <name val="Calibri"/>
      <family val="2"/>
    </font>
    <font>
      <sz val="11"/>
      <color rgb="FFFF0000"/>
      <name val="Calibri"/>
      <family val="2"/>
    </font>
    <font>
      <sz val="9"/>
      <color theme="0"/>
      <name val="Calibri"/>
      <family val="2"/>
    </font>
    <font>
      <i/>
      <sz val="11"/>
      <color theme="1"/>
      <name val="Calibri"/>
      <family val="2"/>
    </font>
    <font>
      <b/>
      <sz val="11"/>
      <color indexed="57"/>
      <name val="Calibri"/>
      <family val="2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Calibri"/>
      <family val="2"/>
    </font>
    <font>
      <u/>
      <sz val="11"/>
      <color theme="10"/>
      <name val="Calibri"/>
      <family val="2"/>
    </font>
    <font>
      <b/>
      <i/>
      <sz val="12"/>
      <color theme="1"/>
      <name val="Calibri"/>
      <family val="2"/>
    </font>
    <font>
      <sz val="9"/>
      <color rgb="FFFF0000"/>
      <name val="Calibri"/>
      <family val="2"/>
    </font>
    <font>
      <sz val="8"/>
      <name val="Tahoma"/>
      <family val="2"/>
    </font>
    <font>
      <i/>
      <sz val="11"/>
      <color theme="0" tint="-0.34998626667073579"/>
      <name val="Calibri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CC66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B0CBF0"/>
        <bgColor rgb="FFB0CBF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B0CBF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theme="0"/>
        <bgColor rgb="FFFFFFFF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rgb="FFFFFFFF"/>
      </patternFill>
    </fill>
    <fill>
      <patternFill patternType="solid">
        <fgColor rgb="FF44B3E1"/>
        <bgColor indexed="64"/>
      </patternFill>
    </fill>
    <fill>
      <patternFill patternType="solid">
        <fgColor rgb="FFD0D0D0"/>
        <bgColor indexed="64"/>
      </patternFill>
    </fill>
  </fills>
  <borders count="5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rgb="FFD7E4F2"/>
      </top>
      <bottom style="thin">
        <color rgb="FFD7E4F2"/>
      </bottom>
      <diagonal/>
    </border>
    <border>
      <left/>
      <right/>
      <top/>
      <bottom style="thin">
        <color rgb="FFA0A0A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D7E4F2"/>
      </bottom>
      <diagonal/>
    </border>
    <border>
      <left/>
      <right/>
      <top style="thin">
        <color rgb="FFD7E4F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theme="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rgb="FFD7E4F2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rgb="FFD7E4F2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9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  <xf numFmtId="0" fontId="8" fillId="0" borderId="0"/>
    <xf numFmtId="0" fontId="11" fillId="2" borderId="1" applyNumberFormat="0" applyFont="0" applyAlignment="0" applyProtection="0"/>
    <xf numFmtId="0" fontId="11" fillId="0" borderId="0"/>
    <xf numFmtId="0" fontId="11" fillId="0" borderId="0"/>
    <xf numFmtId="0" fontId="11" fillId="0" borderId="0"/>
    <xf numFmtId="43" fontId="2" fillId="0" borderId="0" applyFont="0" applyFill="0" applyBorder="0" applyAlignment="0" applyProtection="0"/>
    <xf numFmtId="0" fontId="19" fillId="0" borderId="0"/>
    <xf numFmtId="0" fontId="35" fillId="0" borderId="0"/>
    <xf numFmtId="0" fontId="35" fillId="0" borderId="0"/>
    <xf numFmtId="0" fontId="11" fillId="0" borderId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1" fillId="0" borderId="0"/>
    <xf numFmtId="43" fontId="8" fillId="0" borderId="0" applyFont="0" applyFill="0" applyBorder="0" applyAlignment="0" applyProtection="0"/>
    <xf numFmtId="0" fontId="50" fillId="0" borderId="0" applyNumberFormat="0" applyFill="0" applyBorder="0" applyAlignment="0" applyProtection="0"/>
  </cellStyleXfs>
  <cellXfs count="465">
    <xf numFmtId="0" fontId="0" fillId="0" borderId="0" xfId="0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right"/>
    </xf>
    <xf numFmtId="0" fontId="3" fillId="5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 wrapText="1"/>
    </xf>
    <xf numFmtId="0" fontId="7" fillId="11" borderId="8" xfId="0" applyFont="1" applyFill="1" applyBorder="1" applyAlignment="1">
      <alignment horizontal="center" vertical="center" wrapText="1"/>
    </xf>
    <xf numFmtId="0" fontId="7" fillId="11" borderId="8" xfId="0" applyFont="1" applyFill="1" applyBorder="1" applyAlignment="1">
      <alignment horizontal="center" vertical="center"/>
    </xf>
    <xf numFmtId="44" fontId="0" fillId="5" borderId="10" xfId="1" applyFont="1" applyFill="1" applyBorder="1"/>
    <xf numFmtId="0" fontId="0" fillId="0" borderId="0" xfId="0" applyAlignment="1">
      <alignment horizontal="center"/>
    </xf>
    <xf numFmtId="8" fontId="0" fillId="5" borderId="0" xfId="0" applyNumberFormat="1" applyFill="1"/>
    <xf numFmtId="3" fontId="0" fillId="0" borderId="0" xfId="0" applyNumberFormat="1"/>
    <xf numFmtId="0" fontId="12" fillId="14" borderId="12" xfId="6" applyFont="1" applyFill="1" applyBorder="1" applyAlignment="1">
      <alignment horizontal="left" vertical="top" wrapText="1"/>
    </xf>
    <xf numFmtId="0" fontId="12" fillId="12" borderId="12" xfId="6" applyFont="1" applyFill="1" applyBorder="1" applyAlignment="1">
      <alignment horizontal="left" vertical="top" wrapText="1"/>
    </xf>
    <xf numFmtId="0" fontId="14" fillId="0" borderId="0" xfId="0" applyFont="1"/>
    <xf numFmtId="2" fontId="14" fillId="0" borderId="0" xfId="0" applyNumberFormat="1" applyFont="1"/>
    <xf numFmtId="0" fontId="15" fillId="0" borderId="0" xfId="0" applyFont="1" applyAlignment="1">
      <alignment horizont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7" fillId="0" borderId="11" xfId="4" applyFont="1" applyBorder="1"/>
    <xf numFmtId="0" fontId="18" fillId="12" borderId="5" xfId="8" applyFont="1" applyFill="1" applyBorder="1" applyAlignment="1">
      <alignment horizontal="center" vertical="center" wrapText="1"/>
    </xf>
    <xf numFmtId="9" fontId="14" fillId="0" borderId="0" xfId="0" applyNumberFormat="1" applyFont="1"/>
    <xf numFmtId="0" fontId="18" fillId="12" borderId="13" xfId="8" applyFont="1" applyFill="1" applyBorder="1" applyAlignment="1">
      <alignment horizontal="left" vertical="top" wrapText="1"/>
    </xf>
    <xf numFmtId="0" fontId="18" fillId="12" borderId="13" xfId="8" applyFont="1" applyFill="1" applyBorder="1" applyAlignment="1">
      <alignment horizontal="right" vertical="top" wrapText="1"/>
    </xf>
    <xf numFmtId="0" fontId="18" fillId="13" borderId="14" xfId="8" applyFont="1" applyFill="1" applyBorder="1" applyAlignment="1">
      <alignment horizontal="left" vertical="top" wrapText="1"/>
    </xf>
    <xf numFmtId="2" fontId="18" fillId="13" borderId="14" xfId="8" applyNumberFormat="1" applyFont="1" applyFill="1" applyBorder="1" applyAlignment="1">
      <alignment horizontal="left" vertical="top" wrapText="1"/>
    </xf>
    <xf numFmtId="3" fontId="18" fillId="13" borderId="14" xfId="8" applyNumberFormat="1" applyFont="1" applyFill="1" applyBorder="1" applyAlignment="1">
      <alignment horizontal="right" vertical="top" wrapText="1"/>
    </xf>
    <xf numFmtId="9" fontId="18" fillId="13" borderId="14" xfId="2" applyFont="1" applyFill="1" applyBorder="1" applyAlignment="1" applyProtection="1">
      <alignment horizontal="right" vertical="top" wrapText="1"/>
    </xf>
    <xf numFmtId="9" fontId="14" fillId="0" borderId="0" xfId="2" applyFont="1"/>
    <xf numFmtId="0" fontId="20" fillId="5" borderId="0" xfId="10" quotePrefix="1" applyFont="1" applyFill="1" applyAlignment="1">
      <alignment horizontal="right"/>
    </xf>
    <xf numFmtId="0" fontId="21" fillId="7" borderId="2" xfId="10" applyFont="1" applyFill="1" applyBorder="1" applyAlignment="1">
      <alignment horizontal="center"/>
    </xf>
    <xf numFmtId="0" fontId="21" fillId="7" borderId="4" xfId="10" applyFont="1" applyFill="1" applyBorder="1" applyAlignment="1">
      <alignment horizontal="center"/>
    </xf>
    <xf numFmtId="0" fontId="19" fillId="5" borderId="0" xfId="10" applyFill="1" applyAlignment="1">
      <alignment horizontal="center"/>
    </xf>
    <xf numFmtId="0" fontId="21" fillId="5" borderId="0" xfId="10" applyFont="1" applyFill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9" fillId="16" borderId="2" xfId="10" applyFont="1" applyFill="1" applyBorder="1" applyAlignment="1">
      <alignment horizontal="center" vertical="center" wrapText="1"/>
    </xf>
    <xf numFmtId="0" fontId="9" fillId="5" borderId="4" xfId="1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 wrapText="1"/>
    </xf>
    <xf numFmtId="0" fontId="9" fillId="16" borderId="5" xfId="10" applyFont="1" applyFill="1" applyBorder="1" applyAlignment="1">
      <alignment horizontal="center" vertical="center" wrapText="1"/>
    </xf>
    <xf numFmtId="0" fontId="9" fillId="5" borderId="5" xfId="1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15" borderId="2" xfId="0" applyFont="1" applyFill="1" applyBorder="1" applyAlignment="1">
      <alignment horizontal="center" vertical="center" wrapText="1"/>
    </xf>
    <xf numFmtId="0" fontId="22" fillId="15" borderId="3" xfId="0" applyFont="1" applyFill="1" applyBorder="1" applyAlignment="1">
      <alignment horizontal="center" vertical="center" wrapText="1"/>
    </xf>
    <xf numFmtId="0" fontId="22" fillId="15" borderId="16" xfId="0" applyFont="1" applyFill="1" applyBorder="1" applyAlignment="1">
      <alignment horizontal="center" vertical="center" wrapText="1"/>
    </xf>
    <xf numFmtId="0" fontId="22" fillId="15" borderId="6" xfId="0" applyFont="1" applyFill="1" applyBorder="1" applyAlignment="1">
      <alignment horizontal="center" vertical="center" wrapText="1"/>
    </xf>
    <xf numFmtId="0" fontId="22" fillId="15" borderId="7" xfId="0" applyFont="1" applyFill="1" applyBorder="1" applyAlignment="1">
      <alignment horizontal="center" vertical="center" wrapText="1"/>
    </xf>
    <xf numFmtId="0" fontId="22" fillId="15" borderId="4" xfId="0" applyFont="1" applyFill="1" applyBorder="1" applyAlignment="1">
      <alignment horizontal="center" vertical="center" wrapText="1"/>
    </xf>
    <xf numFmtId="0" fontId="22" fillId="5" borderId="19" xfId="0" applyFont="1" applyFill="1" applyBorder="1" applyAlignment="1">
      <alignment horizontal="center" vertical="center" wrapText="1"/>
    </xf>
    <xf numFmtId="0" fontId="22" fillId="15" borderId="5" xfId="0" applyFont="1" applyFill="1" applyBorder="1" applyAlignment="1">
      <alignment horizontal="center" vertical="center" wrapText="1"/>
    </xf>
    <xf numFmtId="0" fontId="23" fillId="5" borderId="19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65" fontId="14" fillId="0" borderId="0" xfId="0" applyNumberFormat="1" applyFont="1"/>
    <xf numFmtId="3" fontId="12" fillId="12" borderId="12" xfId="6" applyNumberFormat="1" applyFont="1" applyFill="1" applyBorder="1" applyAlignment="1">
      <alignment horizontal="center" vertical="top" wrapText="1"/>
    </xf>
    <xf numFmtId="4" fontId="12" fillId="12" borderId="12" xfId="6" applyNumberFormat="1" applyFont="1" applyFill="1" applyBorder="1" applyAlignment="1">
      <alignment horizontal="center" vertical="top" wrapText="1"/>
    </xf>
    <xf numFmtId="44" fontId="12" fillId="12" borderId="12" xfId="1" applyFont="1" applyFill="1" applyBorder="1" applyAlignment="1" applyProtection="1">
      <alignment horizontal="center" vertical="top" wrapText="1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23" fillId="17" borderId="2" xfId="0" applyFont="1" applyFill="1" applyBorder="1" applyAlignment="1">
      <alignment horizontal="center" vertical="center" wrapText="1"/>
    </xf>
    <xf numFmtId="0" fontId="23" fillId="17" borderId="4" xfId="0" applyFont="1" applyFill="1" applyBorder="1" applyAlignment="1">
      <alignment horizontal="center" vertical="center" wrapText="1"/>
    </xf>
    <xf numFmtId="0" fontId="23" fillId="17" borderId="3" xfId="0" applyFont="1" applyFill="1" applyBorder="1" applyAlignment="1">
      <alignment horizontal="center" vertical="center" wrapText="1"/>
    </xf>
    <xf numFmtId="0" fontId="23" fillId="17" borderId="5" xfId="0" applyFont="1" applyFill="1" applyBorder="1" applyAlignment="1">
      <alignment horizontal="center" vertical="center" wrapText="1"/>
    </xf>
    <xf numFmtId="0" fontId="25" fillId="17" borderId="2" xfId="0" applyFont="1" applyFill="1" applyBorder="1" applyAlignment="1">
      <alignment horizontal="center" vertical="center" wrapText="1"/>
    </xf>
    <xf numFmtId="0" fontId="25" fillId="17" borderId="2" xfId="0" applyFont="1" applyFill="1" applyBorder="1" applyAlignment="1">
      <alignment horizontal="left" vertical="center" wrapText="1"/>
    </xf>
    <xf numFmtId="0" fontId="23" fillId="18" borderId="2" xfId="0" applyFont="1" applyFill="1" applyBorder="1" applyAlignment="1">
      <alignment horizontal="center" vertical="center" wrapText="1"/>
    </xf>
    <xf numFmtId="3" fontId="0" fillId="19" borderId="5" xfId="0" applyNumberFormat="1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3" fillId="7" borderId="15" xfId="0" applyFont="1" applyFill="1" applyBorder="1"/>
    <xf numFmtId="0" fontId="14" fillId="7" borderId="0" xfId="0" applyFont="1" applyFill="1"/>
    <xf numFmtId="168" fontId="0" fillId="2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0" borderId="2" xfId="0" applyFill="1" applyBorder="1" applyAlignment="1">
      <alignment horizontal="left"/>
    </xf>
    <xf numFmtId="169" fontId="0" fillId="20" borderId="3" xfId="1" applyNumberFormat="1" applyFont="1" applyFill="1" applyBorder="1" applyAlignment="1">
      <alignment horizontal="center"/>
    </xf>
    <xf numFmtId="169" fontId="0" fillId="20" borderId="4" xfId="1" applyNumberFormat="1" applyFont="1" applyFill="1" applyBorder="1" applyAlignment="1">
      <alignment horizontal="center"/>
    </xf>
    <xf numFmtId="3" fontId="0" fillId="20" borderId="2" xfId="0" applyNumberFormat="1" applyFill="1" applyBorder="1" applyAlignment="1">
      <alignment horizontal="center"/>
    </xf>
    <xf numFmtId="9" fontId="0" fillId="20" borderId="3" xfId="2" applyFont="1" applyFill="1" applyBorder="1" applyAlignment="1">
      <alignment horizontal="center"/>
    </xf>
    <xf numFmtId="166" fontId="0" fillId="20" borderId="3" xfId="9" applyNumberFormat="1" applyFont="1" applyFill="1" applyBorder="1" applyAlignment="1">
      <alignment horizontal="center"/>
    </xf>
    <xf numFmtId="167" fontId="0" fillId="20" borderId="3" xfId="9" applyNumberFormat="1" applyFont="1" applyFill="1" applyBorder="1" applyAlignment="1">
      <alignment horizontal="center"/>
    </xf>
    <xf numFmtId="167" fontId="0" fillId="20" borderId="4" xfId="9" applyNumberFormat="1" applyFont="1" applyFill="1" applyBorder="1" applyAlignment="1">
      <alignment horizontal="center"/>
    </xf>
    <xf numFmtId="2" fontId="0" fillId="20" borderId="17" xfId="0" applyNumberFormat="1" applyFill="1" applyBorder="1" applyAlignment="1">
      <alignment horizontal="center"/>
    </xf>
    <xf numFmtId="2" fontId="0" fillId="20" borderId="8" xfId="0" applyNumberFormat="1" applyFill="1" applyBorder="1" applyAlignment="1">
      <alignment horizontal="center"/>
    </xf>
    <xf numFmtId="164" fontId="0" fillId="20" borderId="3" xfId="1" applyNumberFormat="1" applyFont="1" applyFill="1" applyBorder="1" applyAlignment="1">
      <alignment horizontal="center"/>
    </xf>
    <xf numFmtId="164" fontId="0" fillId="20" borderId="5" xfId="1" applyNumberFormat="1" applyFont="1" applyFill="1" applyBorder="1" applyAlignment="1">
      <alignment horizontal="center"/>
    </xf>
    <xf numFmtId="171" fontId="0" fillId="20" borderId="17" xfId="0" applyNumberFormat="1" applyFill="1" applyBorder="1" applyAlignment="1">
      <alignment horizontal="center"/>
    </xf>
    <xf numFmtId="164" fontId="0" fillId="20" borderId="18" xfId="1" applyNumberFormat="1" applyFont="1" applyFill="1" applyBorder="1" applyAlignment="1">
      <alignment horizontal="center"/>
    </xf>
    <xf numFmtId="170" fontId="0" fillId="20" borderId="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3" fillId="17" borderId="17" xfId="0" applyFont="1" applyFill="1" applyBorder="1" applyAlignment="1">
      <alignment horizontal="center" vertical="center" wrapText="1"/>
    </xf>
    <xf numFmtId="0" fontId="23" fillId="17" borderId="8" xfId="0" applyFont="1" applyFill="1" applyBorder="1" applyAlignment="1">
      <alignment horizontal="center" vertical="center" wrapText="1"/>
    </xf>
    <xf numFmtId="0" fontId="23" fillId="17" borderId="18" xfId="0" applyFont="1" applyFill="1" applyBorder="1" applyAlignment="1">
      <alignment horizontal="center" vertical="center" wrapText="1"/>
    </xf>
    <xf numFmtId="0" fontId="23" fillId="17" borderId="20" xfId="0" applyFont="1" applyFill="1" applyBorder="1" applyAlignment="1">
      <alignment horizontal="center" vertical="center" wrapText="1"/>
    </xf>
    <xf numFmtId="0" fontId="31" fillId="0" borderId="0" xfId="0" applyFont="1"/>
    <xf numFmtId="2" fontId="31" fillId="0" borderId="0" xfId="0" applyNumberFormat="1" applyFont="1"/>
    <xf numFmtId="44" fontId="31" fillId="0" borderId="0" xfId="0" applyNumberFormat="1" applyFont="1"/>
    <xf numFmtId="44" fontId="32" fillId="0" borderId="0" xfId="0" applyNumberFormat="1" applyFont="1"/>
    <xf numFmtId="0" fontId="14" fillId="0" borderId="0" xfId="0" applyFont="1" applyAlignment="1">
      <alignment horizontal="center"/>
    </xf>
    <xf numFmtId="3" fontId="12" fillId="12" borderId="19" xfId="6" applyNumberFormat="1" applyFont="1" applyFill="1" applyBorder="1" applyAlignment="1">
      <alignment horizontal="center" vertical="top" wrapText="1"/>
    </xf>
    <xf numFmtId="44" fontId="0" fillId="20" borderId="2" xfId="0" applyNumberFormat="1" applyFill="1" applyBorder="1" applyAlignment="1">
      <alignment horizontal="center"/>
    </xf>
    <xf numFmtId="1" fontId="0" fillId="20" borderId="2" xfId="0" applyNumberFormat="1" applyFill="1" applyBorder="1" applyAlignment="1">
      <alignment horizontal="center"/>
    </xf>
    <xf numFmtId="164" fontId="0" fillId="20" borderId="4" xfId="1" applyNumberFormat="1" applyFont="1" applyFill="1" applyBorder="1" applyAlignment="1">
      <alignment horizontal="center"/>
    </xf>
    <xf numFmtId="44" fontId="0" fillId="0" borderId="0" xfId="0" applyNumberFormat="1"/>
    <xf numFmtId="169" fontId="0" fillId="20" borderId="3" xfId="0" applyNumberFormat="1" applyFill="1" applyBorder="1" applyAlignment="1">
      <alignment horizontal="center"/>
    </xf>
    <xf numFmtId="172" fontId="14" fillId="0" borderId="0" xfId="0" applyNumberFormat="1" applyFont="1"/>
    <xf numFmtId="9" fontId="0" fillId="0" borderId="0" xfId="0" applyNumberFormat="1"/>
    <xf numFmtId="173" fontId="0" fillId="0" borderId="0" xfId="0" applyNumberFormat="1"/>
    <xf numFmtId="44" fontId="0" fillId="0" borderId="0" xfId="1" applyFont="1"/>
    <xf numFmtId="0" fontId="0" fillId="0" borderId="5" xfId="0" applyBorder="1"/>
    <xf numFmtId="44" fontId="0" fillId="0" borderId="5" xfId="1" applyFont="1" applyBorder="1"/>
    <xf numFmtId="169" fontId="0" fillId="0" borderId="5" xfId="1" applyNumberFormat="1" applyFont="1" applyBorder="1"/>
    <xf numFmtId="0" fontId="33" fillId="19" borderId="5" xfId="0" applyFont="1" applyFill="1" applyBorder="1" applyAlignment="1">
      <alignment horizontal="right"/>
    </xf>
    <xf numFmtId="44" fontId="33" fillId="19" borderId="5" xfId="0" applyNumberFormat="1" applyFont="1" applyFill="1" applyBorder="1"/>
    <xf numFmtId="0" fontId="33" fillId="19" borderId="5" xfId="0" applyFont="1" applyFill="1" applyBorder="1"/>
    <xf numFmtId="44" fontId="33" fillId="19" borderId="5" xfId="1" applyFont="1" applyFill="1" applyBorder="1"/>
    <xf numFmtId="3" fontId="33" fillId="19" borderId="5" xfId="0" applyNumberFormat="1" applyFont="1" applyFill="1" applyBorder="1" applyAlignment="1">
      <alignment horizontal="center"/>
    </xf>
    <xf numFmtId="0" fontId="33" fillId="0" borderId="0" xfId="0" applyFont="1"/>
    <xf numFmtId="0" fontId="18" fillId="13" borderId="21" xfId="8" applyFont="1" applyFill="1" applyBorder="1" applyAlignment="1">
      <alignment horizontal="left" vertical="top" wrapText="1"/>
    </xf>
    <xf numFmtId="2" fontId="18" fillId="13" borderId="21" xfId="8" applyNumberFormat="1" applyFont="1" applyFill="1" applyBorder="1" applyAlignment="1">
      <alignment horizontal="left" vertical="top" wrapText="1"/>
    </xf>
    <xf numFmtId="3" fontId="18" fillId="13" borderId="21" xfId="8" applyNumberFormat="1" applyFont="1" applyFill="1" applyBorder="1" applyAlignment="1">
      <alignment horizontal="right" vertical="top" wrapText="1"/>
    </xf>
    <xf numFmtId="9" fontId="18" fillId="13" borderId="21" xfId="2" applyFont="1" applyFill="1" applyBorder="1" applyAlignment="1" applyProtection="1">
      <alignment horizontal="right" vertical="top" wrapText="1"/>
    </xf>
    <xf numFmtId="0" fontId="14" fillId="0" borderId="8" xfId="0" applyFont="1" applyBorder="1"/>
    <xf numFmtId="0" fontId="17" fillId="0" borderId="17" xfId="4" applyFont="1" applyBorder="1"/>
    <xf numFmtId="0" fontId="18" fillId="13" borderId="22" xfId="8" applyFont="1" applyFill="1" applyBorder="1" applyAlignment="1">
      <alignment horizontal="left" vertical="top" wrapText="1"/>
    </xf>
    <xf numFmtId="2" fontId="18" fillId="13" borderId="22" xfId="8" applyNumberFormat="1" applyFont="1" applyFill="1" applyBorder="1" applyAlignment="1">
      <alignment horizontal="left" vertical="top" wrapText="1"/>
    </xf>
    <xf numFmtId="3" fontId="18" fillId="13" borderId="22" xfId="8" applyNumberFormat="1" applyFont="1" applyFill="1" applyBorder="1" applyAlignment="1">
      <alignment horizontal="right" vertical="top" wrapText="1"/>
    </xf>
    <xf numFmtId="9" fontId="18" fillId="13" borderId="22" xfId="2" applyFont="1" applyFill="1" applyBorder="1" applyAlignment="1" applyProtection="1">
      <alignment horizontal="right" vertical="top" wrapText="1"/>
    </xf>
    <xf numFmtId="3" fontId="0" fillId="20" borderId="20" xfId="0" applyNumberFormat="1" applyFill="1" applyBorder="1" applyAlignment="1">
      <alignment horizontal="center"/>
    </xf>
    <xf numFmtId="3" fontId="0" fillId="20" borderId="17" xfId="0" applyNumberFormat="1" applyFill="1" applyBorder="1" applyAlignment="1">
      <alignment horizontal="center"/>
    </xf>
    <xf numFmtId="3" fontId="0" fillId="20" borderId="8" xfId="0" applyNumberFormat="1" applyFill="1" applyBorder="1" applyAlignment="1">
      <alignment horizontal="center"/>
    </xf>
    <xf numFmtId="3" fontId="0" fillId="20" borderId="18" xfId="0" applyNumberFormat="1" applyFill="1" applyBorder="1" applyAlignment="1">
      <alignment horizontal="center"/>
    </xf>
    <xf numFmtId="3" fontId="0" fillId="20" borderId="5" xfId="0" applyNumberFormat="1" applyFill="1" applyBorder="1" applyAlignment="1">
      <alignment horizontal="center"/>
    </xf>
    <xf numFmtId="3" fontId="0" fillId="20" borderId="3" xfId="0" applyNumberFormat="1" applyFill="1" applyBorder="1" applyAlignment="1">
      <alignment horizontal="center"/>
    </xf>
    <xf numFmtId="3" fontId="0" fillId="20" borderId="4" xfId="0" applyNumberFormat="1" applyFill="1" applyBorder="1" applyAlignment="1">
      <alignment horizontal="center"/>
    </xf>
    <xf numFmtId="176" fontId="0" fillId="20" borderId="17" xfId="0" applyNumberFormat="1" applyFill="1" applyBorder="1" applyAlignment="1">
      <alignment horizontal="center"/>
    </xf>
    <xf numFmtId="167" fontId="0" fillId="20" borderId="5" xfId="9" applyNumberFormat="1" applyFont="1" applyFill="1" applyBorder="1" applyAlignment="1">
      <alignment horizontal="center"/>
    </xf>
    <xf numFmtId="174" fontId="0" fillId="20" borderId="5" xfId="0" applyNumberFormat="1" applyFill="1" applyBorder="1" applyAlignment="1">
      <alignment horizontal="center"/>
    </xf>
    <xf numFmtId="174" fontId="0" fillId="20" borderId="20" xfId="0" applyNumberFormat="1" applyFill="1" applyBorder="1" applyAlignment="1">
      <alignment horizontal="center"/>
    </xf>
    <xf numFmtId="171" fontId="0" fillId="20" borderId="5" xfId="0" applyNumberFormat="1" applyFill="1" applyBorder="1" applyAlignment="1">
      <alignment horizontal="center"/>
    </xf>
    <xf numFmtId="171" fontId="0" fillId="20" borderId="20" xfId="0" applyNumberFormat="1" applyFill="1" applyBorder="1" applyAlignment="1">
      <alignment horizontal="center"/>
    </xf>
    <xf numFmtId="44" fontId="0" fillId="20" borderId="5" xfId="0" applyNumberFormat="1" applyFill="1" applyBorder="1" applyAlignment="1">
      <alignment horizontal="center"/>
    </xf>
    <xf numFmtId="164" fontId="0" fillId="20" borderId="5" xfId="0" applyNumberFormat="1" applyFill="1" applyBorder="1" applyAlignment="1">
      <alignment horizontal="center"/>
    </xf>
    <xf numFmtId="0" fontId="12" fillId="0" borderId="0" xfId="7" applyFont="1" applyAlignment="1">
      <alignment horizontal="left" vertical="top" wrapText="1"/>
    </xf>
    <xf numFmtId="3" fontId="0" fillId="19" borderId="5" xfId="0" applyNumberFormat="1" applyFill="1" applyBorder="1" applyAlignment="1">
      <alignment horizontal="right"/>
    </xf>
    <xf numFmtId="9" fontId="0" fillId="0" borderId="0" xfId="2" applyFont="1"/>
    <xf numFmtId="0" fontId="14" fillId="0" borderId="5" xfId="0" applyFont="1" applyBorder="1"/>
    <xf numFmtId="0" fontId="36" fillId="0" borderId="5" xfId="0" applyFont="1" applyBorder="1"/>
    <xf numFmtId="0" fontId="37" fillId="0" borderId="5" xfId="4" applyFont="1" applyBorder="1"/>
    <xf numFmtId="0" fontId="10" fillId="13" borderId="5" xfId="6" applyFont="1" applyFill="1" applyBorder="1" applyAlignment="1">
      <alignment horizontal="left" vertical="top" wrapText="1"/>
    </xf>
    <xf numFmtId="9" fontId="10" fillId="13" borderId="5" xfId="2" applyFont="1" applyFill="1" applyBorder="1" applyAlignment="1" applyProtection="1">
      <alignment horizontal="center" vertical="top" wrapText="1"/>
    </xf>
    <xf numFmtId="3" fontId="10" fillId="13" borderId="5" xfId="6" applyNumberFormat="1" applyFont="1" applyFill="1" applyBorder="1" applyAlignment="1">
      <alignment horizontal="center" vertical="top" wrapText="1"/>
    </xf>
    <xf numFmtId="4" fontId="10" fillId="13" borderId="5" xfId="6" applyNumberFormat="1" applyFont="1" applyFill="1" applyBorder="1" applyAlignment="1">
      <alignment horizontal="center" vertical="top" wrapText="1"/>
    </xf>
    <xf numFmtId="44" fontId="10" fillId="13" borderId="5" xfId="1" applyFont="1" applyFill="1" applyBorder="1" applyAlignment="1" applyProtection="1">
      <alignment horizontal="center" vertical="top" wrapText="1"/>
    </xf>
    <xf numFmtId="0" fontId="10" fillId="13" borderId="5" xfId="7" applyFont="1" applyFill="1" applyBorder="1" applyAlignment="1">
      <alignment horizontal="left" vertical="top" wrapText="1"/>
    </xf>
    <xf numFmtId="3" fontId="10" fillId="13" borderId="5" xfId="7" applyNumberFormat="1" applyFont="1" applyFill="1" applyBorder="1" applyAlignment="1">
      <alignment horizontal="center" vertical="top" wrapText="1"/>
    </xf>
    <xf numFmtId="4" fontId="10" fillId="13" borderId="5" xfId="7" applyNumberFormat="1" applyFont="1" applyFill="1" applyBorder="1" applyAlignment="1">
      <alignment horizontal="center" vertical="top" wrapText="1"/>
    </xf>
    <xf numFmtId="0" fontId="36" fillId="0" borderId="5" xfId="0" applyFont="1" applyBorder="1" applyAlignment="1">
      <alignment horizontal="center"/>
    </xf>
    <xf numFmtId="0" fontId="18" fillId="0" borderId="0" xfId="8" applyFont="1" applyAlignment="1">
      <alignment horizontal="left" vertical="top" wrapText="1"/>
    </xf>
    <xf numFmtId="167" fontId="18" fillId="0" borderId="0" xfId="9" applyNumberFormat="1" applyFont="1" applyFill="1" applyBorder="1" applyAlignment="1" applyProtection="1">
      <alignment horizontal="center" vertical="top" wrapText="1"/>
    </xf>
    <xf numFmtId="4" fontId="18" fillId="0" borderId="0" xfId="8" applyNumberFormat="1" applyFont="1" applyAlignment="1">
      <alignment horizontal="left" vertical="top" wrapText="1"/>
    </xf>
    <xf numFmtId="3" fontId="18" fillId="0" borderId="0" xfId="8" applyNumberFormat="1" applyFont="1" applyAlignment="1">
      <alignment horizontal="left" vertical="top" wrapText="1"/>
    </xf>
    <xf numFmtId="164" fontId="18" fillId="0" borderId="0" xfId="1" applyNumberFormat="1" applyFont="1" applyFill="1" applyBorder="1" applyAlignment="1" applyProtection="1">
      <alignment horizontal="right" vertical="top" wrapText="1"/>
    </xf>
    <xf numFmtId="44" fontId="0" fillId="0" borderId="0" xfId="0" applyNumberFormat="1" applyAlignment="1">
      <alignment horizontal="center"/>
    </xf>
    <xf numFmtId="9" fontId="0" fillId="5" borderId="5" xfId="2" applyFont="1" applyFill="1" applyBorder="1" applyAlignment="1" applyProtection="1">
      <alignment horizontal="center"/>
      <protection locked="0"/>
    </xf>
    <xf numFmtId="9" fontId="0" fillId="0" borderId="0" xfId="2" applyFont="1" applyAlignment="1">
      <alignment horizontal="center"/>
    </xf>
    <xf numFmtId="0" fontId="11" fillId="5" borderId="5" xfId="0" applyFont="1" applyFill="1" applyBorder="1" applyProtection="1">
      <protection locked="0"/>
    </xf>
    <xf numFmtId="0" fontId="11" fillId="0" borderId="5" xfId="0" applyFont="1" applyBorder="1" applyProtection="1">
      <protection locked="0"/>
    </xf>
    <xf numFmtId="0" fontId="11" fillId="0" borderId="0" xfId="0" applyFont="1" applyProtection="1">
      <protection locked="0"/>
    </xf>
    <xf numFmtId="0" fontId="11" fillId="6" borderId="5" xfId="0" applyFont="1" applyFill="1" applyBorder="1" applyProtection="1">
      <protection locked="0"/>
    </xf>
    <xf numFmtId="0" fontId="33" fillId="23" borderId="0" xfId="0" applyFont="1" applyFill="1"/>
    <xf numFmtId="0" fontId="14" fillId="0" borderId="5" xfId="0" applyFont="1" applyBorder="1" applyAlignment="1">
      <alignment horizontal="center"/>
    </xf>
    <xf numFmtId="164" fontId="14" fillId="0" borderId="5" xfId="1" applyNumberFormat="1" applyFont="1" applyBorder="1" applyAlignment="1">
      <alignment horizontal="center"/>
    </xf>
    <xf numFmtId="0" fontId="42" fillId="0" borderId="0" xfId="0" applyFont="1"/>
    <xf numFmtId="10" fontId="0" fillId="0" borderId="0" xfId="2" applyNumberFormat="1" applyFont="1"/>
    <xf numFmtId="0" fontId="40" fillId="5" borderId="0" xfId="0" applyFont="1" applyFill="1"/>
    <xf numFmtId="0" fontId="41" fillId="5" borderId="0" xfId="0" applyFont="1" applyFill="1"/>
    <xf numFmtId="0" fontId="0" fillId="5" borderId="0" xfId="0" quotePrefix="1" applyFill="1"/>
    <xf numFmtId="3" fontId="33" fillId="5" borderId="0" xfId="0" applyNumberFormat="1" applyFont="1" applyFill="1"/>
    <xf numFmtId="0" fontId="33" fillId="5" borderId="0" xfId="0" applyFont="1" applyFill="1"/>
    <xf numFmtId="44" fontId="33" fillId="5" borderId="0" xfId="0" applyNumberFormat="1" applyFont="1" applyFill="1"/>
    <xf numFmtId="0" fontId="33" fillId="5" borderId="0" xfId="0" applyFont="1" applyFill="1" applyAlignment="1">
      <alignment horizontal="right"/>
    </xf>
    <xf numFmtId="44" fontId="33" fillId="5" borderId="0" xfId="1" applyFont="1" applyFill="1"/>
    <xf numFmtId="14" fontId="33" fillId="5" borderId="0" xfId="0" applyNumberFormat="1" applyFont="1" applyFill="1" applyAlignment="1">
      <alignment horizontal="left"/>
    </xf>
    <xf numFmtId="0" fontId="0" fillId="5" borderId="16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11" xfId="0" applyFill="1" applyBorder="1"/>
    <xf numFmtId="0" fontId="0" fillId="5" borderId="23" xfId="0" applyFill="1" applyBorder="1"/>
    <xf numFmtId="0" fontId="12" fillId="0" borderId="0" xfId="12" applyFont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2" fillId="0" borderId="0" xfId="13" applyFont="1" applyAlignment="1">
      <alignment horizontal="left" vertical="top" wrapText="1"/>
    </xf>
    <xf numFmtId="4" fontId="0" fillId="20" borderId="20" xfId="0" applyNumberFormat="1" applyFill="1" applyBorder="1" applyAlignment="1">
      <alignment horizontal="center"/>
    </xf>
    <xf numFmtId="2" fontId="0" fillId="20" borderId="3" xfId="0" applyNumberFormat="1" applyFill="1" applyBorder="1" applyAlignment="1">
      <alignment horizontal="center"/>
    </xf>
    <xf numFmtId="0" fontId="36" fillId="15" borderId="5" xfId="0" applyFont="1" applyFill="1" applyBorder="1"/>
    <xf numFmtId="0" fontId="37" fillId="15" borderId="5" xfId="4" applyFont="1" applyFill="1" applyBorder="1"/>
    <xf numFmtId="0" fontId="10" fillId="24" borderId="5" xfId="7" applyFont="1" applyFill="1" applyBorder="1" applyAlignment="1">
      <alignment horizontal="left" vertical="top" wrapText="1"/>
    </xf>
    <xf numFmtId="9" fontId="10" fillId="24" borderId="5" xfId="2" applyFont="1" applyFill="1" applyBorder="1" applyAlignment="1" applyProtection="1">
      <alignment horizontal="center" vertical="top" wrapText="1"/>
    </xf>
    <xf numFmtId="3" fontId="10" fillId="24" borderId="5" xfId="7" applyNumberFormat="1" applyFont="1" applyFill="1" applyBorder="1" applyAlignment="1">
      <alignment horizontal="center" vertical="top" wrapText="1"/>
    </xf>
    <xf numFmtId="4" fontId="10" fillId="24" borderId="5" xfId="7" applyNumberFormat="1" applyFont="1" applyFill="1" applyBorder="1" applyAlignment="1">
      <alignment horizontal="center" vertical="top" wrapText="1"/>
    </xf>
    <xf numFmtId="44" fontId="10" fillId="24" borderId="5" xfId="1" applyFont="1" applyFill="1" applyBorder="1" applyAlignment="1" applyProtection="1">
      <alignment horizontal="center" vertical="top" wrapText="1"/>
    </xf>
    <xf numFmtId="0" fontId="36" fillId="15" borderId="5" xfId="0" applyFont="1" applyFill="1" applyBorder="1" applyAlignment="1">
      <alignment horizontal="center"/>
    </xf>
    <xf numFmtId="3" fontId="0" fillId="0" borderId="5" xfId="0" applyNumberFormat="1" applyBorder="1"/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center"/>
    </xf>
    <xf numFmtId="44" fontId="14" fillId="0" borderId="5" xfId="1" applyFont="1" applyBorder="1"/>
    <xf numFmtId="4" fontId="18" fillId="0" borderId="14" xfId="8" applyNumberFormat="1" applyFont="1" applyBorder="1" applyAlignment="1">
      <alignment horizontal="right" vertical="top" wrapText="1"/>
    </xf>
    <xf numFmtId="0" fontId="17" fillId="13" borderId="14" xfId="8" applyFont="1" applyFill="1" applyBorder="1" applyAlignment="1">
      <alignment horizontal="left" vertical="top" wrapText="1"/>
    </xf>
    <xf numFmtId="0" fontId="18" fillId="12" borderId="24" xfId="8" applyFont="1" applyFill="1" applyBorder="1" applyAlignment="1">
      <alignment horizontal="left" vertical="top" wrapText="1"/>
    </xf>
    <xf numFmtId="0" fontId="18" fillId="12" borderId="24" xfId="8" applyFont="1" applyFill="1" applyBorder="1" applyAlignment="1">
      <alignment horizontal="right" vertical="top" wrapText="1"/>
    </xf>
    <xf numFmtId="0" fontId="18" fillId="0" borderId="5" xfId="8" applyFont="1" applyBorder="1" applyAlignment="1">
      <alignment horizontal="left" vertical="top" wrapText="1"/>
    </xf>
    <xf numFmtId="167" fontId="18" fillId="0" borderId="5" xfId="9" applyNumberFormat="1" applyFont="1" applyFill="1" applyBorder="1" applyAlignment="1" applyProtection="1">
      <alignment horizontal="center" vertical="top" wrapText="1"/>
    </xf>
    <xf numFmtId="4" fontId="18" fillId="0" borderId="5" xfId="8" applyNumberFormat="1" applyFont="1" applyBorder="1" applyAlignment="1">
      <alignment horizontal="left" vertical="top" wrapText="1"/>
    </xf>
    <xf numFmtId="164" fontId="18" fillId="0" borderId="5" xfId="1" applyNumberFormat="1" applyFont="1" applyFill="1" applyBorder="1" applyAlignment="1" applyProtection="1">
      <alignment horizontal="right" vertical="top" wrapText="1"/>
    </xf>
    <xf numFmtId="9" fontId="14" fillId="0" borderId="5" xfId="2" applyFont="1" applyFill="1" applyBorder="1"/>
    <xf numFmtId="0" fontId="45" fillId="5" borderId="0" xfId="0" applyFont="1" applyFill="1" applyAlignment="1">
      <alignment horizontal="center"/>
    </xf>
    <xf numFmtId="0" fontId="12" fillId="0" borderId="0" xfId="0" applyFont="1" applyAlignment="1">
      <alignment horizontal="left" vertical="top" wrapText="1"/>
    </xf>
    <xf numFmtId="0" fontId="11" fillId="5" borderId="0" xfId="0" applyFont="1" applyFill="1" applyProtection="1">
      <protection locked="0"/>
    </xf>
    <xf numFmtId="0" fontId="46" fillId="5" borderId="0" xfId="0" applyFont="1" applyFill="1"/>
    <xf numFmtId="2" fontId="0" fillId="20" borderId="5" xfId="0" applyNumberFormat="1" applyFill="1" applyBorder="1" applyAlignment="1">
      <alignment horizontal="center"/>
    </xf>
    <xf numFmtId="3" fontId="10" fillId="25" borderId="5" xfId="7" applyNumberFormat="1" applyFont="1" applyFill="1" applyBorder="1" applyAlignment="1">
      <alignment horizontal="center" vertical="top" wrapText="1"/>
    </xf>
    <xf numFmtId="4" fontId="10" fillId="25" borderId="5" xfId="7" applyNumberFormat="1" applyFont="1" applyFill="1" applyBorder="1" applyAlignment="1">
      <alignment horizontal="center" vertical="top" wrapText="1"/>
    </xf>
    <xf numFmtId="177" fontId="0" fillId="20" borderId="5" xfId="0" applyNumberFormat="1" applyFill="1" applyBorder="1" applyAlignment="1">
      <alignment horizontal="center"/>
    </xf>
    <xf numFmtId="0" fontId="44" fillId="0" borderId="5" xfId="0" applyFont="1" applyBorder="1"/>
    <xf numFmtId="44" fontId="44" fillId="0" borderId="5" xfId="1" applyFont="1" applyBorder="1"/>
    <xf numFmtId="9" fontId="0" fillId="0" borderId="0" xfId="2" applyFont="1" applyAlignment="1">
      <alignment horizontal="left"/>
    </xf>
    <xf numFmtId="44" fontId="0" fillId="0" borderId="26" xfId="0" applyNumberFormat="1" applyBorder="1"/>
    <xf numFmtId="44" fontId="0" fillId="0" borderId="27" xfId="0" applyNumberFormat="1" applyBorder="1"/>
    <xf numFmtId="44" fontId="0" fillId="0" borderId="28" xfId="0" applyNumberFormat="1" applyBorder="1"/>
    <xf numFmtId="44" fontId="33" fillId="0" borderId="29" xfId="0" applyNumberFormat="1" applyFont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33" fillId="0" borderId="25" xfId="0" applyFont="1" applyBorder="1"/>
    <xf numFmtId="43" fontId="0" fillId="0" borderId="0" xfId="9" applyFont="1"/>
    <xf numFmtId="9" fontId="31" fillId="0" borderId="0" xfId="2" applyFont="1"/>
    <xf numFmtId="0" fontId="0" fillId="0" borderId="9" xfId="0" applyBorder="1"/>
    <xf numFmtId="0" fontId="11" fillId="5" borderId="36" xfId="0" applyFont="1" applyFill="1" applyBorder="1" applyProtection="1">
      <protection locked="0"/>
    </xf>
    <xf numFmtId="0" fontId="11" fillId="5" borderId="38" xfId="0" applyFont="1" applyFill="1" applyBorder="1" applyProtection="1">
      <protection locked="0"/>
    </xf>
    <xf numFmtId="0" fontId="11" fillId="6" borderId="36" xfId="0" applyFont="1" applyFill="1" applyBorder="1" applyProtection="1">
      <protection locked="0"/>
    </xf>
    <xf numFmtId="0" fontId="11" fillId="0" borderId="36" xfId="0" applyFont="1" applyBorder="1" applyProtection="1">
      <protection locked="0"/>
    </xf>
    <xf numFmtId="0" fontId="11" fillId="6" borderId="38" xfId="0" applyFont="1" applyFill="1" applyBorder="1" applyProtection="1">
      <protection locked="0"/>
    </xf>
    <xf numFmtId="0" fontId="11" fillId="5" borderId="40" xfId="0" applyFont="1" applyFill="1" applyBorder="1" applyProtection="1">
      <protection locked="0"/>
    </xf>
    <xf numFmtId="0" fontId="11" fillId="6" borderId="40" xfId="0" applyFont="1" applyFill="1" applyBorder="1" applyProtection="1">
      <protection locked="0"/>
    </xf>
    <xf numFmtId="0" fontId="11" fillId="5" borderId="34" xfId="0" applyFont="1" applyFill="1" applyBorder="1" applyProtection="1">
      <protection locked="0"/>
    </xf>
    <xf numFmtId="0" fontId="11" fillId="5" borderId="44" xfId="0" applyFont="1" applyFill="1" applyBorder="1" applyProtection="1">
      <protection locked="0"/>
    </xf>
    <xf numFmtId="0" fontId="17" fillId="26" borderId="46" xfId="4" applyFont="1" applyFill="1" applyBorder="1"/>
    <xf numFmtId="0" fontId="14" fillId="26" borderId="47" xfId="0" applyFont="1" applyFill="1" applyBorder="1"/>
    <xf numFmtId="165" fontId="14" fillId="26" borderId="47" xfId="0" applyNumberFormat="1" applyFont="1" applyFill="1" applyBorder="1"/>
    <xf numFmtId="0" fontId="16" fillId="26" borderId="47" xfId="0" applyFont="1" applyFill="1" applyBorder="1" applyAlignment="1">
      <alignment vertical="center" wrapText="1"/>
    </xf>
    <xf numFmtId="0" fontId="15" fillId="26" borderId="47" xfId="0" applyFont="1" applyFill="1" applyBorder="1" applyAlignment="1">
      <alignment horizontal="center"/>
    </xf>
    <xf numFmtId="0" fontId="14" fillId="26" borderId="29" xfId="0" applyFont="1" applyFill="1" applyBorder="1"/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left"/>
    </xf>
    <xf numFmtId="0" fontId="0" fillId="7" borderId="0" xfId="0" applyFill="1" applyAlignment="1">
      <alignment horizontal="left"/>
    </xf>
    <xf numFmtId="44" fontId="0" fillId="7" borderId="0" xfId="0" applyNumberFormat="1" applyFill="1"/>
    <xf numFmtId="0" fontId="0" fillId="7" borderId="0" xfId="0" quotePrefix="1" applyFill="1" applyAlignment="1">
      <alignment horizontal="center"/>
    </xf>
    <xf numFmtId="0" fontId="9" fillId="7" borderId="0" xfId="0" applyFont="1" applyFill="1" applyAlignment="1">
      <alignment horizontal="center"/>
    </xf>
    <xf numFmtId="44" fontId="0" fillId="20" borderId="3" xfId="1" applyFont="1" applyFill="1" applyBorder="1" applyAlignment="1">
      <alignment horizontal="center"/>
    </xf>
    <xf numFmtId="0" fontId="17" fillId="0" borderId="0" xfId="4" applyFont="1"/>
    <xf numFmtId="0" fontId="18" fillId="13" borderId="0" xfId="8" applyFont="1" applyFill="1" applyAlignment="1">
      <alignment horizontal="left" vertical="top" wrapText="1"/>
    </xf>
    <xf numFmtId="0" fontId="39" fillId="4" borderId="5" xfId="0" applyFont="1" applyFill="1" applyBorder="1" applyAlignment="1" applyProtection="1">
      <alignment horizontal="center"/>
      <protection locked="0"/>
    </xf>
    <xf numFmtId="164" fontId="0" fillId="20" borderId="3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0" fontId="11" fillId="6" borderId="34" xfId="0" applyFont="1" applyFill="1" applyBorder="1" applyProtection="1">
      <protection locked="0"/>
    </xf>
    <xf numFmtId="44" fontId="0" fillId="20" borderId="3" xfId="0" applyNumberFormat="1" applyFill="1" applyBorder="1" applyAlignment="1">
      <alignment horizontal="center"/>
    </xf>
    <xf numFmtId="2" fontId="0" fillId="20" borderId="18" xfId="0" applyNumberFormat="1" applyFill="1" applyBorder="1" applyAlignment="1">
      <alignment horizontal="center"/>
    </xf>
    <xf numFmtId="44" fontId="0" fillId="0" borderId="5" xfId="1" quotePrefix="1" applyFont="1" applyBorder="1"/>
    <xf numFmtId="0" fontId="0" fillId="0" borderId="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3" fontId="0" fillId="0" borderId="41" xfId="0" applyNumberFormat="1" applyBorder="1" applyAlignment="1" applyProtection="1">
      <alignment horizontal="center"/>
      <protection locked="0"/>
    </xf>
    <xf numFmtId="3" fontId="0" fillId="0" borderId="37" xfId="0" applyNumberFormat="1" applyBorder="1" applyAlignment="1" applyProtection="1">
      <alignment horizontal="center"/>
      <protection locked="0"/>
    </xf>
    <xf numFmtId="0" fontId="0" fillId="0" borderId="37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0" fillId="5" borderId="45" xfId="0" quotePrefix="1" applyFill="1" applyBorder="1" applyAlignment="1" applyProtection="1">
      <alignment horizontal="center"/>
      <protection locked="0"/>
    </xf>
    <xf numFmtId="0" fontId="0" fillId="5" borderId="37" xfId="0" quotePrefix="1" applyFill="1" applyBorder="1" applyAlignment="1" applyProtection="1">
      <alignment horizontal="center"/>
      <protection locked="0"/>
    </xf>
    <xf numFmtId="0" fontId="0" fillId="5" borderId="39" xfId="0" quotePrefix="1" applyFill="1" applyBorder="1" applyAlignment="1" applyProtection="1">
      <alignment horizontal="center"/>
      <protection locked="0"/>
    </xf>
    <xf numFmtId="0" fontId="0" fillId="5" borderId="5" xfId="0" quotePrefix="1" applyFill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3" fontId="0" fillId="5" borderId="5" xfId="0" applyNumberFormat="1" applyFill="1" applyBorder="1" applyAlignment="1" applyProtection="1">
      <alignment horizontal="center"/>
      <protection locked="0"/>
    </xf>
    <xf numFmtId="9" fontId="0" fillId="5" borderId="5" xfId="0" applyNumberFormat="1" applyFill="1" applyBorder="1" applyAlignment="1" applyProtection="1">
      <alignment horizontal="center"/>
      <protection locked="0"/>
    </xf>
    <xf numFmtId="0" fontId="11" fillId="10" borderId="5" xfId="0" applyFont="1" applyFill="1" applyBorder="1" applyProtection="1">
      <protection locked="0"/>
    </xf>
    <xf numFmtId="0" fontId="47" fillId="5" borderId="0" xfId="0" applyFont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15" borderId="5" xfId="0" applyFont="1" applyFill="1" applyBorder="1" applyAlignment="1" applyProtection="1">
      <alignment horizontal="center" vertical="center"/>
      <protection locked="0"/>
    </xf>
    <xf numFmtId="0" fontId="0" fillId="15" borderId="5" xfId="0" applyFill="1" applyBorder="1" applyAlignment="1" applyProtection="1">
      <alignment horizontal="center" vertical="center" wrapText="1"/>
      <protection locked="0"/>
    </xf>
    <xf numFmtId="0" fontId="0" fillId="15" borderId="5" xfId="0" applyFill="1" applyBorder="1" applyAlignment="1" applyProtection="1">
      <alignment horizontal="center" vertical="center"/>
      <protection locked="0"/>
    </xf>
    <xf numFmtId="0" fontId="14" fillId="27" borderId="0" xfId="0" applyFont="1" applyFill="1"/>
    <xf numFmtId="9" fontId="10" fillId="28" borderId="5" xfId="2" applyFont="1" applyFill="1" applyBorder="1" applyAlignment="1" applyProtection="1">
      <alignment horizontal="center" vertical="top" wrapText="1"/>
    </xf>
    <xf numFmtId="0" fontId="33" fillId="0" borderId="5" xfId="0" applyFont="1" applyBorder="1" applyAlignment="1">
      <alignment horizontal="left"/>
    </xf>
    <xf numFmtId="0" fontId="18" fillId="12" borderId="24" xfId="8" applyFont="1" applyFill="1" applyBorder="1" applyAlignment="1">
      <alignment horizontal="center" vertical="top" wrapText="1"/>
    </xf>
    <xf numFmtId="0" fontId="13" fillId="7" borderId="15" xfId="0" applyFont="1" applyFill="1" applyBorder="1" applyAlignment="1">
      <alignment horizontal="center"/>
    </xf>
    <xf numFmtId="0" fontId="13" fillId="0" borderId="0" xfId="0" applyFont="1"/>
    <xf numFmtId="0" fontId="13" fillId="26" borderId="47" xfId="0" applyFont="1" applyFill="1" applyBorder="1"/>
    <xf numFmtId="2" fontId="14" fillId="26" borderId="47" xfId="0" applyNumberFormat="1" applyFont="1" applyFill="1" applyBorder="1"/>
    <xf numFmtId="0" fontId="0" fillId="7" borderId="5" xfId="0" applyFill="1" applyBorder="1" applyAlignment="1">
      <alignment horizontal="center"/>
    </xf>
    <xf numFmtId="178" fontId="0" fillId="0" borderId="0" xfId="0" applyNumberFormat="1"/>
    <xf numFmtId="164" fontId="14" fillId="0" borderId="0" xfId="1" applyNumberFormat="1" applyFont="1" applyFill="1"/>
    <xf numFmtId="0" fontId="14" fillId="0" borderId="47" xfId="0" applyFont="1" applyBorder="1"/>
    <xf numFmtId="10" fontId="14" fillId="0" borderId="47" xfId="0" applyNumberFormat="1" applyFont="1" applyBorder="1"/>
    <xf numFmtId="1" fontId="14" fillId="0" borderId="47" xfId="0" applyNumberFormat="1" applyFont="1" applyBorder="1"/>
    <xf numFmtId="164" fontId="14" fillId="0" borderId="47" xfId="1" applyNumberFormat="1" applyFont="1" applyFill="1" applyBorder="1"/>
    <xf numFmtId="1" fontId="14" fillId="0" borderId="0" xfId="0" applyNumberFormat="1" applyFont="1"/>
    <xf numFmtId="4" fontId="18" fillId="0" borderId="22" xfId="8" applyNumberFormat="1" applyFont="1" applyBorder="1" applyAlignment="1">
      <alignment horizontal="right" vertical="top" wrapText="1"/>
    </xf>
    <xf numFmtId="4" fontId="18" fillId="0" borderId="21" xfId="8" applyNumberFormat="1" applyFont="1" applyBorder="1" applyAlignment="1">
      <alignment horizontal="right" vertical="top" wrapText="1"/>
    </xf>
    <xf numFmtId="3" fontId="18" fillId="0" borderId="5" xfId="8" applyNumberFormat="1" applyFont="1" applyBorder="1" applyAlignment="1">
      <alignment horizontal="left" vertical="top" wrapText="1"/>
    </xf>
    <xf numFmtId="0" fontId="14" fillId="0" borderId="6" xfId="0" applyFont="1" applyBorder="1"/>
    <xf numFmtId="0" fontId="17" fillId="0" borderId="16" xfId="4" applyFont="1" applyBorder="1"/>
    <xf numFmtId="0" fontId="17" fillId="13" borderId="50" xfId="8" applyFont="1" applyFill="1" applyBorder="1" applyAlignment="1">
      <alignment horizontal="left" vertical="top" wrapText="1"/>
    </xf>
    <xf numFmtId="0" fontId="18" fillId="13" borderId="50" xfId="8" quotePrefix="1" applyFont="1" applyFill="1" applyBorder="1" applyAlignment="1">
      <alignment horizontal="left" vertical="top" wrapText="1"/>
    </xf>
    <xf numFmtId="0" fontId="18" fillId="13" borderId="50" xfId="8" applyFont="1" applyFill="1" applyBorder="1" applyAlignment="1">
      <alignment horizontal="left" vertical="top" wrapText="1"/>
    </xf>
    <xf numFmtId="0" fontId="11" fillId="6" borderId="30" xfId="0" applyFont="1" applyFill="1" applyBorder="1" applyAlignment="1" applyProtection="1">
      <alignment vertical="center"/>
      <protection locked="0"/>
    </xf>
    <xf numFmtId="0" fontId="11" fillId="6" borderId="31" xfId="0" applyFont="1" applyFill="1" applyBorder="1" applyAlignment="1" applyProtection="1">
      <alignment vertical="center"/>
      <protection locked="0"/>
    </xf>
    <xf numFmtId="0" fontId="11" fillId="6" borderId="32" xfId="0" applyFont="1" applyFill="1" applyBorder="1" applyAlignment="1" applyProtection="1">
      <alignment vertical="center"/>
      <protection locked="0"/>
    </xf>
    <xf numFmtId="0" fontId="0" fillId="5" borderId="9" xfId="0" applyFill="1" applyBorder="1" applyAlignment="1">
      <alignment horizontal="left"/>
    </xf>
    <xf numFmtId="0" fontId="0" fillId="5" borderId="9" xfId="0" applyFill="1" applyBorder="1"/>
    <xf numFmtId="0" fontId="0" fillId="5" borderId="9" xfId="0" applyFill="1" applyBorder="1" applyAlignment="1">
      <alignment horizontal="center"/>
    </xf>
    <xf numFmtId="0" fontId="8" fillId="0" borderId="0" xfId="4"/>
    <xf numFmtId="0" fontId="8" fillId="0" borderId="0" xfId="4" applyAlignment="1">
      <alignment horizontal="left"/>
    </xf>
    <xf numFmtId="0" fontId="8" fillId="0" borderId="0" xfId="4" applyAlignment="1">
      <alignment horizontal="center"/>
    </xf>
    <xf numFmtId="0" fontId="9" fillId="5" borderId="0" xfId="4" applyFont="1" applyFill="1" applyAlignment="1">
      <alignment horizontal="center"/>
    </xf>
    <xf numFmtId="0" fontId="4" fillId="0" borderId="0" xfId="4" applyFont="1" applyAlignment="1">
      <alignment horizontal="center" vertical="center" wrapText="1"/>
    </xf>
    <xf numFmtId="44" fontId="4" fillId="0" borderId="0" xfId="15" applyFont="1" applyAlignment="1">
      <alignment horizontal="center" vertical="center" wrapText="1"/>
    </xf>
    <xf numFmtId="0" fontId="48" fillId="10" borderId="0" xfId="4" applyFont="1" applyFill="1" applyAlignment="1">
      <alignment horizontal="center" vertical="center" wrapText="1"/>
    </xf>
    <xf numFmtId="0" fontId="49" fillId="5" borderId="0" xfId="0" applyFont="1" applyFill="1"/>
    <xf numFmtId="44" fontId="0" fillId="5" borderId="0" xfId="0" applyNumberFormat="1" applyFill="1"/>
    <xf numFmtId="9" fontId="10" fillId="29" borderId="5" xfId="2" applyFont="1" applyFill="1" applyBorder="1" applyAlignment="1" applyProtection="1">
      <alignment horizontal="center" vertical="top" wrapText="1"/>
    </xf>
    <xf numFmtId="0" fontId="7" fillId="11" borderId="6" xfId="4" applyFont="1" applyFill="1" applyBorder="1" applyAlignment="1">
      <alignment horizontal="center" vertical="center" wrapText="1"/>
    </xf>
    <xf numFmtId="0" fontId="0" fillId="0" borderId="35" xfId="0" applyBorder="1" applyAlignment="1" applyProtection="1">
      <alignment horizontal="center" wrapText="1"/>
      <protection locked="0"/>
    </xf>
    <xf numFmtId="0" fontId="36" fillId="15" borderId="5" xfId="0" applyFont="1" applyFill="1" applyBorder="1" applyAlignment="1">
      <alignment wrapText="1"/>
    </xf>
    <xf numFmtId="0" fontId="36" fillId="0" borderId="5" xfId="0" applyFont="1" applyBorder="1" applyAlignment="1">
      <alignment wrapText="1"/>
    </xf>
    <xf numFmtId="49" fontId="11" fillId="0" borderId="5" xfId="0" applyNumberFormat="1" applyFont="1" applyBorder="1" applyAlignment="1" applyProtection="1">
      <alignment horizontal="center"/>
      <protection locked="0"/>
    </xf>
    <xf numFmtId="179" fontId="0" fillId="5" borderId="0" xfId="0" applyNumberFormat="1" applyFill="1"/>
    <xf numFmtId="0" fontId="0" fillId="5" borderId="41" xfId="0" applyFill="1" applyBorder="1" applyAlignment="1" applyProtection="1">
      <alignment horizontal="center"/>
      <protection locked="0"/>
    </xf>
    <xf numFmtId="0" fontId="0" fillId="5" borderId="37" xfId="0" applyFill="1" applyBorder="1" applyAlignment="1" applyProtection="1">
      <alignment horizontal="center"/>
      <protection locked="0"/>
    </xf>
    <xf numFmtId="0" fontId="0" fillId="0" borderId="51" xfId="0" applyBorder="1" applyAlignment="1" applyProtection="1">
      <alignment horizontal="center" vertical="center" wrapText="1"/>
      <protection locked="0"/>
    </xf>
    <xf numFmtId="0" fontId="0" fillId="0" borderId="52" xfId="0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5" borderId="41" xfId="0" applyFill="1" applyBorder="1" applyAlignment="1">
      <alignment horizontal="center"/>
    </xf>
    <xf numFmtId="0" fontId="11" fillId="0" borderId="5" xfId="0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9" fontId="0" fillId="30" borderId="5" xfId="2" applyFont="1" applyFill="1" applyBorder="1" applyAlignment="1" applyProtection="1">
      <alignment horizontal="center"/>
      <protection locked="0"/>
    </xf>
    <xf numFmtId="0" fontId="42" fillId="0" borderId="0" xfId="0" applyFont="1" applyAlignment="1">
      <alignment wrapText="1"/>
    </xf>
    <xf numFmtId="0" fontId="0" fillId="5" borderId="6" xfId="0" applyFill="1" applyBorder="1" applyAlignment="1">
      <alignment horizontal="center"/>
    </xf>
    <xf numFmtId="0" fontId="0" fillId="31" borderId="0" xfId="0" applyFill="1"/>
    <xf numFmtId="0" fontId="50" fillId="0" borderId="0" xfId="18"/>
    <xf numFmtId="0" fontId="44" fillId="5" borderId="0" xfId="0" applyFont="1" applyFill="1"/>
    <xf numFmtId="180" fontId="0" fillId="0" borderId="10" xfId="1" applyNumberFormat="1" applyFont="1" applyBorder="1"/>
    <xf numFmtId="0" fontId="0" fillId="0" borderId="0" xfId="0" quotePrefix="1"/>
    <xf numFmtId="181" fontId="0" fillId="5" borderId="5" xfId="1" applyNumberFormat="1" applyFont="1" applyFill="1" applyBorder="1" applyAlignment="1" applyProtection="1">
      <alignment horizontal="right"/>
      <protection locked="0"/>
    </xf>
    <xf numFmtId="181" fontId="0" fillId="0" borderId="5" xfId="1" applyNumberFormat="1" applyFont="1" applyBorder="1" applyAlignment="1" applyProtection="1">
      <alignment horizontal="right"/>
      <protection locked="0"/>
    </xf>
    <xf numFmtId="7" fontId="0" fillId="7" borderId="5" xfId="1" applyNumberFormat="1" applyFont="1" applyFill="1" applyBorder="1" applyAlignment="1" applyProtection="1">
      <alignment horizontal="right"/>
      <protection locked="0"/>
    </xf>
    <xf numFmtId="7" fontId="11" fillId="22" borderId="5" xfId="0" applyNumberFormat="1" applyFont="1" applyFill="1" applyBorder="1" applyAlignment="1" applyProtection="1">
      <alignment horizontal="right"/>
      <protection locked="0"/>
    </xf>
    <xf numFmtId="9" fontId="52" fillId="25" borderId="5" xfId="2" applyFont="1" applyFill="1" applyBorder="1" applyAlignment="1" applyProtection="1">
      <alignment horizontal="center" vertical="top" wrapText="1"/>
    </xf>
    <xf numFmtId="164" fontId="33" fillId="5" borderId="0" xfId="1" applyNumberFormat="1" applyFont="1" applyFill="1"/>
    <xf numFmtId="0" fontId="13" fillId="13" borderId="14" xfId="8" applyFont="1" applyFill="1" applyBorder="1" applyAlignment="1">
      <alignment horizontal="left" vertical="top" wrapText="1"/>
    </xf>
    <xf numFmtId="9" fontId="14" fillId="0" borderId="5" xfId="2" applyFont="1" applyBorder="1"/>
    <xf numFmtId="0" fontId="12" fillId="0" borderId="14" xfId="16" applyFont="1" applyBorder="1" applyAlignment="1">
      <alignment horizontal="left" vertical="top" wrapText="1"/>
    </xf>
    <xf numFmtId="0" fontId="12" fillId="0" borderId="53" xfId="16" applyFont="1" applyBorder="1" applyAlignment="1">
      <alignment horizontal="left" vertical="top" wrapText="1"/>
    </xf>
    <xf numFmtId="0" fontId="51" fillId="0" borderId="0" xfId="0" applyFont="1" applyAlignment="1">
      <alignment horizontal="center" vertical="top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/>
    </xf>
    <xf numFmtId="0" fontId="4" fillId="0" borderId="33" xfId="4" applyFont="1" applyBorder="1" applyAlignment="1">
      <alignment horizontal="center"/>
    </xf>
    <xf numFmtId="0" fontId="9" fillId="5" borderId="9" xfId="4" applyFont="1" applyFill="1" applyBorder="1" applyAlignment="1">
      <alignment horizontal="center"/>
    </xf>
    <xf numFmtId="0" fontId="9" fillId="0" borderId="9" xfId="4" applyFont="1" applyBorder="1"/>
    <xf numFmtId="0" fontId="14" fillId="8" borderId="0" xfId="0" applyFont="1" applyFill="1"/>
    <xf numFmtId="0" fontId="0" fillId="8" borderId="5" xfId="0" applyFill="1" applyBorder="1"/>
    <xf numFmtId="2" fontId="14" fillId="8" borderId="0" xfId="0" applyNumberFormat="1" applyFont="1" applyFill="1"/>
    <xf numFmtId="168" fontId="14" fillId="8" borderId="0" xfId="0" applyNumberFormat="1" applyFont="1" applyFill="1"/>
    <xf numFmtId="0" fontId="14" fillId="10" borderId="0" xfId="0" applyFont="1" applyFill="1"/>
    <xf numFmtId="3" fontId="18" fillId="32" borderId="50" xfId="8" applyNumberFormat="1" applyFont="1" applyFill="1" applyBorder="1" applyAlignment="1">
      <alignment horizontal="right" vertical="top" wrapText="1"/>
    </xf>
    <xf numFmtId="9" fontId="18" fillId="32" borderId="50" xfId="2" applyFont="1" applyFill="1" applyBorder="1" applyAlignment="1" applyProtection="1">
      <alignment horizontal="right" vertical="top" wrapText="1"/>
    </xf>
    <xf numFmtId="2" fontId="18" fillId="32" borderId="14" xfId="8" applyNumberFormat="1" applyFont="1" applyFill="1" applyBorder="1" applyAlignment="1">
      <alignment horizontal="left" vertical="top" wrapText="1"/>
    </xf>
    <xf numFmtId="3" fontId="18" fillId="32" borderId="14" xfId="8" applyNumberFormat="1" applyFont="1" applyFill="1" applyBorder="1" applyAlignment="1">
      <alignment horizontal="right" vertical="top" wrapText="1"/>
    </xf>
    <xf numFmtId="9" fontId="18" fillId="32" borderId="14" xfId="2" applyFont="1" applyFill="1" applyBorder="1" applyAlignment="1" applyProtection="1">
      <alignment horizontal="right" vertical="top" wrapText="1"/>
    </xf>
    <xf numFmtId="4" fontId="18" fillId="10" borderId="14" xfId="8" applyNumberFormat="1" applyFont="1" applyFill="1" applyBorder="1" applyAlignment="1">
      <alignment horizontal="right" vertical="top" wrapText="1"/>
    </xf>
    <xf numFmtId="3" fontId="10" fillId="28" borderId="5" xfId="7" applyNumberFormat="1" applyFont="1" applyFill="1" applyBorder="1" applyAlignment="1">
      <alignment horizontal="center" vertical="top" wrapText="1"/>
    </xf>
    <xf numFmtId="4" fontId="10" fillId="28" borderId="5" xfId="7" applyNumberFormat="1" applyFont="1" applyFill="1" applyBorder="1" applyAlignment="1">
      <alignment horizontal="center" vertical="top" wrapText="1"/>
    </xf>
    <xf numFmtId="3" fontId="10" fillId="32" borderId="5" xfId="7" applyNumberFormat="1" applyFont="1" applyFill="1" applyBorder="1" applyAlignment="1">
      <alignment horizontal="center" vertical="top" wrapText="1"/>
    </xf>
    <xf numFmtId="4" fontId="10" fillId="32" borderId="5" xfId="7" applyNumberFormat="1" applyFont="1" applyFill="1" applyBorder="1" applyAlignment="1">
      <alignment horizontal="center" vertical="top" wrapText="1"/>
    </xf>
    <xf numFmtId="2" fontId="18" fillId="32" borderId="50" xfId="8" applyNumberFormat="1" applyFont="1" applyFill="1" applyBorder="1" applyAlignment="1">
      <alignment horizontal="left" vertical="top" wrapText="1"/>
    </xf>
    <xf numFmtId="4" fontId="18" fillId="10" borderId="50" xfId="8" applyNumberFormat="1" applyFont="1" applyFill="1" applyBorder="1" applyAlignment="1">
      <alignment horizontal="right" vertical="top" wrapText="1"/>
    </xf>
    <xf numFmtId="2" fontId="18" fillId="32" borderId="22" xfId="8" applyNumberFormat="1" applyFont="1" applyFill="1" applyBorder="1" applyAlignment="1">
      <alignment horizontal="left" vertical="top" wrapText="1"/>
    </xf>
    <xf numFmtId="3" fontId="18" fillId="32" borderId="22" xfId="8" applyNumberFormat="1" applyFont="1" applyFill="1" applyBorder="1" applyAlignment="1">
      <alignment horizontal="right" vertical="top" wrapText="1"/>
    </xf>
    <xf numFmtId="9" fontId="18" fillId="32" borderId="22" xfId="2" applyFont="1" applyFill="1" applyBorder="1" applyAlignment="1" applyProtection="1">
      <alignment horizontal="right" vertical="top" wrapText="1"/>
    </xf>
    <xf numFmtId="4" fontId="18" fillId="10" borderId="22" xfId="8" applyNumberFormat="1" applyFont="1" applyFill="1" applyBorder="1" applyAlignment="1">
      <alignment horizontal="right" vertical="top" wrapText="1"/>
    </xf>
    <xf numFmtId="0" fontId="14" fillId="0" borderId="18" xfId="0" applyFont="1" applyBorder="1"/>
    <xf numFmtId="4" fontId="10" fillId="32" borderId="5" xfId="6" applyNumberFormat="1" applyFont="1" applyFill="1" applyBorder="1" applyAlignment="1">
      <alignment horizontal="center" vertical="top" wrapText="1"/>
    </xf>
    <xf numFmtId="0" fontId="4" fillId="0" borderId="33" xfId="4" applyFont="1" applyBorder="1"/>
    <xf numFmtId="0" fontId="1" fillId="0" borderId="9" xfId="4" applyFont="1" applyBorder="1"/>
    <xf numFmtId="44" fontId="1" fillId="0" borderId="10" xfId="15" applyFont="1" applyBorder="1"/>
    <xf numFmtId="0" fontId="0" fillId="0" borderId="55" xfId="0" applyBorder="1"/>
    <xf numFmtId="0" fontId="0" fillId="0" borderId="54" xfId="0" applyBorder="1"/>
    <xf numFmtId="0" fontId="0" fillId="0" borderId="56" xfId="0" applyBorder="1"/>
    <xf numFmtId="0" fontId="0" fillId="0" borderId="57" xfId="0" applyBorder="1"/>
    <xf numFmtId="0" fontId="11" fillId="0" borderId="0" xfId="0" applyFont="1"/>
    <xf numFmtId="0" fontId="12" fillId="0" borderId="0" xfId="16" applyFont="1" applyAlignment="1">
      <alignment horizontal="left" vertical="top" wrapText="1"/>
    </xf>
    <xf numFmtId="0" fontId="53" fillId="0" borderId="14" xfId="12" applyFont="1" applyBorder="1" applyAlignment="1">
      <alignment horizontal="left" vertical="top" wrapText="1"/>
    </xf>
    <xf numFmtId="0" fontId="1" fillId="0" borderId="0" xfId="4" quotePrefix="1" applyFont="1"/>
    <xf numFmtId="0" fontId="4" fillId="0" borderId="33" xfId="4" quotePrefix="1" applyFont="1" applyBorder="1"/>
    <xf numFmtId="4" fontId="54" fillId="5" borderId="0" xfId="0" applyNumberFormat="1" applyFont="1" applyFill="1"/>
    <xf numFmtId="4" fontId="54" fillId="5" borderId="0" xfId="0" applyNumberFormat="1" applyFont="1" applyFill="1" applyAlignment="1">
      <alignment horizontal="center" vertical="center"/>
    </xf>
    <xf numFmtId="0" fontId="0" fillId="0" borderId="33" xfId="0" quotePrefix="1" applyBorder="1"/>
    <xf numFmtId="0" fontId="1" fillId="0" borderId="33" xfId="0" quotePrefix="1" applyFont="1" applyBorder="1" applyAlignment="1">
      <alignment horizontal="center"/>
    </xf>
    <xf numFmtId="0" fontId="1" fillId="0" borderId="11" xfId="0" quotePrefix="1" applyFont="1" applyBorder="1" applyAlignment="1">
      <alignment horizontal="center"/>
    </xf>
    <xf numFmtId="0" fontId="12" fillId="13" borderId="14" xfId="11" applyFont="1" applyFill="1" applyBorder="1" applyAlignment="1">
      <alignment horizontal="left" vertical="top" wrapText="1"/>
    </xf>
    <xf numFmtId="3" fontId="12" fillId="13" borderId="14" xfId="11" applyNumberFormat="1" applyFont="1" applyFill="1" applyBorder="1" applyAlignment="1">
      <alignment horizontal="right" vertical="top" wrapText="1"/>
    </xf>
    <xf numFmtId="175" fontId="12" fillId="13" borderId="14" xfId="11" applyNumberFormat="1" applyFont="1" applyFill="1" applyBorder="1" applyAlignment="1">
      <alignment horizontal="right" vertical="top" wrapText="1"/>
    </xf>
    <xf numFmtId="4" fontId="12" fillId="13" borderId="14" xfId="11" applyNumberFormat="1" applyFont="1" applyFill="1" applyBorder="1" applyAlignment="1">
      <alignment horizontal="right" vertical="top" wrapText="1"/>
    </xf>
    <xf numFmtId="0" fontId="1" fillId="0" borderId="0" xfId="4" applyFont="1"/>
    <xf numFmtId="44" fontId="1" fillId="0" borderId="0" xfId="15" applyFont="1"/>
    <xf numFmtId="0" fontId="1" fillId="0" borderId="33" xfId="0" applyFont="1" applyBorder="1" applyAlignment="1">
      <alignment horizontal="center"/>
    </xf>
    <xf numFmtId="44" fontId="1" fillId="5" borderId="0" xfId="15" applyFont="1" applyFill="1"/>
    <xf numFmtId="44" fontId="1" fillId="5" borderId="10" xfId="15" applyFont="1" applyFill="1" applyBorder="1"/>
    <xf numFmtId="0" fontId="39" fillId="4" borderId="48" xfId="0" applyFont="1" applyFill="1" applyBorder="1" applyAlignment="1" applyProtection="1">
      <alignment horizontal="center"/>
      <protection locked="0"/>
    </xf>
    <xf numFmtId="0" fontId="39" fillId="4" borderId="43" xfId="0" applyFont="1" applyFill="1" applyBorder="1" applyAlignment="1" applyProtection="1">
      <alignment horizontal="center"/>
      <protection locked="0"/>
    </xf>
    <xf numFmtId="0" fontId="39" fillId="4" borderId="49" xfId="0" applyFont="1" applyFill="1" applyBorder="1" applyAlignment="1" applyProtection="1">
      <alignment horizontal="center"/>
      <protection locked="0"/>
    </xf>
    <xf numFmtId="0" fontId="39" fillId="4" borderId="42" xfId="0" applyFont="1" applyFill="1" applyBorder="1" applyAlignment="1" applyProtection="1">
      <alignment horizontal="center"/>
      <protection locked="0"/>
    </xf>
    <xf numFmtId="0" fontId="38" fillId="3" borderId="2" xfId="0" applyFont="1" applyFill="1" applyBorder="1" applyAlignment="1" applyProtection="1">
      <alignment horizontal="center"/>
      <protection locked="0"/>
    </xf>
    <xf numFmtId="0" fontId="38" fillId="3" borderId="3" xfId="0" applyFont="1" applyFill="1" applyBorder="1" applyAlignment="1" applyProtection="1">
      <alignment horizontal="center"/>
      <protection locked="0"/>
    </xf>
    <xf numFmtId="0" fontId="38" fillId="3" borderId="4" xfId="0" applyFont="1" applyFill="1" applyBorder="1" applyAlignment="1" applyProtection="1">
      <alignment horizontal="center"/>
      <protection locked="0"/>
    </xf>
    <xf numFmtId="0" fontId="39" fillId="4" borderId="5" xfId="0" applyFont="1" applyFill="1" applyBorder="1" applyAlignment="1" applyProtection="1">
      <alignment horizontal="center"/>
      <protection locked="0"/>
    </xf>
    <xf numFmtId="0" fontId="0" fillId="5" borderId="16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23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5" borderId="0" xfId="0" applyFill="1" applyAlignment="1">
      <alignment horizontal="left" vertical="top" wrapText="1"/>
    </xf>
    <xf numFmtId="0" fontId="43" fillId="5" borderId="0" xfId="0" applyFont="1" applyFill="1" applyAlignment="1">
      <alignment horizontal="center" textRotation="90" wrapText="1"/>
    </xf>
    <xf numFmtId="0" fontId="0" fillId="5" borderId="0" xfId="0" applyFill="1" applyAlignment="1">
      <alignment horizontal="left"/>
    </xf>
    <xf numFmtId="0" fontId="51" fillId="0" borderId="0" xfId="0" applyFont="1" applyAlignment="1">
      <alignment horizontal="center" vertical="top"/>
    </xf>
    <xf numFmtId="0" fontId="22" fillId="15" borderId="2" xfId="0" applyFont="1" applyFill="1" applyBorder="1" applyAlignment="1">
      <alignment horizontal="center" vertical="center" wrapText="1"/>
    </xf>
    <xf numFmtId="0" fontId="22" fillId="15" borderId="3" xfId="0" applyFont="1" applyFill="1" applyBorder="1" applyAlignment="1">
      <alignment horizontal="center" vertical="center" wrapText="1"/>
    </xf>
    <xf numFmtId="0" fontId="22" fillId="15" borderId="4" xfId="0" applyFont="1" applyFill="1" applyBorder="1" applyAlignment="1">
      <alignment horizontal="center" vertical="center" wrapText="1"/>
    </xf>
    <xf numFmtId="0" fontId="0" fillId="21" borderId="2" xfId="0" applyFill="1" applyBorder="1" applyAlignment="1">
      <alignment horizontal="center" vertical="center"/>
    </xf>
    <xf numFmtId="0" fontId="0" fillId="21" borderId="3" xfId="0" applyFill="1" applyBorder="1" applyAlignment="1">
      <alignment horizontal="center" vertical="center"/>
    </xf>
    <xf numFmtId="0" fontId="0" fillId="21" borderId="4" xfId="0" applyFill="1" applyBorder="1" applyAlignment="1">
      <alignment horizontal="center" vertical="center"/>
    </xf>
    <xf numFmtId="0" fontId="18" fillId="12" borderId="5" xfId="8" applyFont="1" applyFill="1" applyBorder="1" applyAlignment="1">
      <alignment horizontal="center" vertical="top" wrapText="1"/>
    </xf>
    <xf numFmtId="0" fontId="15" fillId="0" borderId="0" xfId="0" applyFont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9" borderId="4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10" borderId="7" xfId="0" applyFont="1" applyFill="1" applyBorder="1" applyAlignment="1">
      <alignment horizontal="center"/>
    </xf>
    <xf numFmtId="0" fontId="56" fillId="3" borderId="0" xfId="0" applyFont="1" applyFill="1"/>
    <xf numFmtId="0" fontId="33" fillId="33" borderId="0" xfId="0" applyFont="1" applyFill="1"/>
    <xf numFmtId="0" fontId="33" fillId="34" borderId="0" xfId="0" applyFont="1" applyFill="1"/>
  </cellXfs>
  <cellStyles count="19">
    <cellStyle name="Commentaire" xfId="5" xr:uid="{57780AE1-42A8-41A4-BA4F-7B3616EE0AED}"/>
    <cellStyle name="Lien hypertexte" xfId="18" builtinId="8"/>
    <cellStyle name="Milliers" xfId="9" builtinId="3"/>
    <cellStyle name="Milliers 2" xfId="17" xr:uid="{036988F9-BB33-4DAD-B54C-D71D007C9809}"/>
    <cellStyle name="Monétaire" xfId="1" builtinId="4"/>
    <cellStyle name="Monétaire 2" xfId="15" xr:uid="{318296A4-3A3A-410E-8297-519984DB30B3}"/>
    <cellStyle name="Normal" xfId="0" builtinId="0"/>
    <cellStyle name="Normal 11" xfId="3" xr:uid="{D74DB8E7-4DB0-4807-8797-0E24AF768B8D}"/>
    <cellStyle name="Normal 2" xfId="16" xr:uid="{7962BA4B-002E-4BF1-AFB5-493E01E0BC2F}"/>
    <cellStyle name="Normal 3 2" xfId="4" xr:uid="{C586DA06-DFC1-481E-A85C-96EAA3D2560E}"/>
    <cellStyle name="Normal 5" xfId="10" xr:uid="{39B63DCD-010B-4A87-A45E-79DA30347663}"/>
    <cellStyle name="Normal_Couleur HP" xfId="7" xr:uid="{BA115DFA-2AC3-4FF3-8160-43E4AD23FDAA}"/>
    <cellStyle name="Normal_Feuil4" xfId="6" xr:uid="{2AC52B05-F3AD-41AD-AB4C-C90FB15FF92F}"/>
    <cellStyle name="Normal_Index" xfId="13" xr:uid="{41C64568-715E-4B5D-9857-3E348EEB7A04}"/>
    <cellStyle name="Normal_Liste Commerciaux" xfId="12" xr:uid="{4ED32342-DF0C-4594-B5B3-2B234E37DFE7}"/>
    <cellStyle name="Normal_Paramètres Techniques" xfId="8" xr:uid="{42541159-FB6C-4F74-946F-B9669AD2A6D8}"/>
    <cellStyle name="Normal_Paramètres Techniques_1" xfId="11" xr:uid="{BF435556-E84B-40B5-81A4-1A34BAC0542F}"/>
    <cellStyle name="Pourcentage" xfId="2" builtinId="5"/>
    <cellStyle name="Pourcentage 2" xfId="14" xr:uid="{3FA06EB9-5A34-4398-A16B-0847FAC32299}"/>
  </cellStyles>
  <dxfs count="77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name val="Aptos Narrow"/>
        <family val="2"/>
        <scheme val="minor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0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* #,##0.00\ &quot;€&quot;_-;\-* #,##0.00\ &quot;€&quot;_-;_-* &quot;-&quot;??\ &quot;€&quot;_-;_-@_-"/>
      <fill>
        <patternFill patternType="solid">
          <fgColor indexed="64"/>
          <bgColor theme="0"/>
        </patternFill>
      </fill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numFmt numFmtId="0" formatCode="General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theme="5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theme="5" tint="0.79998168889431442"/>
          <bgColor auto="1"/>
        </patternFill>
      </fill>
    </dxf>
    <dxf>
      <border outline="0"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theme="5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numFmt numFmtId="0" formatCode="General"/>
      <fill>
        <patternFill patternType="none">
          <fgColor rgb="FFFFFFFF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numFmt numFmtId="0" formatCode="General"/>
      <fill>
        <patternFill patternType="none">
          <fgColor rgb="FFFFFFFF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numFmt numFmtId="0" formatCode="General"/>
      <fill>
        <patternFill patternType="none">
          <fgColor rgb="FFFFFFFF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scheme val="none"/>
      </font>
      <fill>
        <patternFill patternType="none">
          <fgColor rgb="FFFFFFFF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rgb="FFFFFFFF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numFmt numFmtId="182" formatCode="#,##0.00\ [$CHF]"/>
    </dxf>
    <dxf>
      <numFmt numFmtId="182" formatCode="#,##0.00\ [$CHF]"/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FFFF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00FFFF"/>
        </patternFill>
      </fill>
    </dxf>
    <dxf>
      <font>
        <color auto="1"/>
      </font>
      <fill>
        <patternFill>
          <bgColor rgb="FF00FFFF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FF0000"/>
      </font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00FFFF"/>
      <color rgb="FF47D3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022116225856394E-2"/>
          <c:y val="4.5461869349664626E-2"/>
          <c:w val="0.59840870554897452"/>
          <c:h val="0.9391692184310294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10-451B-893A-53CC6DF48BB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4D5-4B8A-A9C6-9CF1E52D8DB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4D5-4B8A-A9C6-9CF1E52D8DB4}"/>
              </c:ext>
            </c:extLst>
          </c:dPt>
          <c:cat>
            <c:strRef>
              <c:f>'Détail cout (2)'!$I$2:$I$4</c:f>
              <c:strCache>
                <c:ptCount val="3"/>
                <c:pt idx="0">
                  <c:v>Total Hors Markup/FG</c:v>
                </c:pt>
                <c:pt idx="1">
                  <c:v>Markup</c:v>
                </c:pt>
                <c:pt idx="2">
                  <c:v>FG</c:v>
                </c:pt>
              </c:strCache>
            </c:strRef>
          </c:cat>
          <c:val>
            <c:numRef>
              <c:f>'Détail cout (2)'!$J$2:$J$4</c:f>
              <c:numCache>
                <c:formatCode>_("€"* #,##0.00_);_("€"* \(#,##0.00\);_("€"*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5-4B8A-A9C6-9CF1E52D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147655215664418"/>
          <c:y val="0.38281167979002623"/>
          <c:w val="0.27713004900936056"/>
          <c:h val="0.218024781785997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10" Type="http://schemas.openxmlformats.org/officeDocument/2006/relationships/image" Target="../media/image14.png"/><Relationship Id="rId19" Type="http://schemas.openxmlformats.org/officeDocument/2006/relationships/image" Target="../media/image23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175260</xdr:rowOff>
        </xdr:from>
        <xdr:to>
          <xdr:col>4</xdr:col>
          <xdr:colOff>556260</xdr:colOff>
          <xdr:row>10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les données d'entrée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12143</xdr:colOff>
      <xdr:row>50</xdr:row>
      <xdr:rowOff>8832</xdr:rowOff>
    </xdr:from>
    <xdr:to>
      <xdr:col>16</xdr:col>
      <xdr:colOff>477457</xdr:colOff>
      <xdr:row>50</xdr:row>
      <xdr:rowOff>324597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269" y="8286329"/>
          <a:ext cx="3952552" cy="302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80681</xdr:rowOff>
        </xdr:from>
        <xdr:to>
          <xdr:col>2</xdr:col>
          <xdr:colOff>402172</xdr:colOff>
          <xdr:row>47</xdr:row>
          <xdr:rowOff>60286</xdr:rowOff>
        </xdr:to>
        <xdr:pic>
          <xdr:nvPicPr>
            <xdr:cNvPr id="4" name="Imag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H$51:$Q$51" spid="_x0000_s193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6947646"/>
              <a:ext cx="6275847" cy="70821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807720</xdr:colOff>
          <xdr:row>1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26670</xdr:colOff>
      <xdr:row>0</xdr:row>
      <xdr:rowOff>0</xdr:rowOff>
    </xdr:from>
    <xdr:to>
      <xdr:col>2</xdr:col>
      <xdr:colOff>325755</xdr:colOff>
      <xdr:row>5</xdr:row>
      <xdr:rowOff>20453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0"/>
          <a:ext cx="1525905" cy="9119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2746</xdr:colOff>
          <xdr:row>21</xdr:row>
          <xdr:rowOff>55245</xdr:rowOff>
        </xdr:from>
        <xdr:to>
          <xdr:col>8</xdr:col>
          <xdr:colOff>719026</xdr:colOff>
          <xdr:row>23</xdr:row>
          <xdr:rowOff>139065</xdr:rowOff>
        </xdr:to>
        <xdr:pic>
          <xdr:nvPicPr>
            <xdr:cNvPr id="4" name="Imag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Données Devis'!$H$51:$Q$51" spid="_x0000_s267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852626" y="3895725"/>
              <a:ext cx="3977640" cy="4495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17145</xdr:colOff>
      <xdr:row>51</xdr:row>
      <xdr:rowOff>0</xdr:rowOff>
    </xdr:from>
    <xdr:to>
      <xdr:col>8</xdr:col>
      <xdr:colOff>734786</xdr:colOff>
      <xdr:row>54</xdr:row>
      <xdr:rowOff>59055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145" y="9021536"/>
          <a:ext cx="6623141" cy="58973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Conformément à la Loi relative à la Consommation du 17 mars 2014 (dite « Loi Hamon »), les conditions générales de vente (CGV) du vendeur constituent le socle</a:t>
          </a:r>
        </a:p>
        <a:p>
          <a:pPr algn="ctr"/>
          <a:r>
            <a:rPr lang="fr-FR" sz="8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unique des négociations commerciales (article L.441-6 du code de commerce). Le client reconnaît être détenteur des droits de propriété intellectuelle sur les</a:t>
          </a:r>
        </a:p>
        <a:p>
          <a:pPr algn="ctr"/>
          <a:r>
            <a:rPr lang="fr-FR" sz="8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documents transmis. Les marchandises livrées resteront la propriété exclusive du vendeur jusqu’au paiement intégral de leur prix. En cas de contestation, le droit</a:t>
          </a:r>
        </a:p>
        <a:p>
          <a:pPr algn="ctr"/>
          <a:r>
            <a:rPr lang="fr-FR" sz="8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français sera applicable et le tribunal de commerce de Lyon sera seul compétent. Les CGV sont disponibles in extenso sur demande.</a:t>
          </a:r>
          <a:r>
            <a:rPr lang="fr-FR" sz="800"/>
            <a:t> </a:t>
          </a:r>
        </a:p>
      </xdr:txBody>
    </xdr:sp>
    <xdr:clientData/>
  </xdr:twoCellAnchor>
  <xdr:twoCellAnchor>
    <xdr:from>
      <xdr:col>0</xdr:col>
      <xdr:colOff>55245</xdr:colOff>
      <xdr:row>53</xdr:row>
      <xdr:rowOff>175259</xdr:rowOff>
    </xdr:from>
    <xdr:to>
      <xdr:col>8</xdr:col>
      <xdr:colOff>775607</xdr:colOff>
      <xdr:row>57</xdr:row>
      <xdr:rowOff>57150</xdr:rowOff>
    </xdr:to>
    <xdr:sp macro="" textlink="Index!B139">
      <xdr:nvSpPr>
        <xdr:cNvPr id="6" name="ZoneText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5245" y="9550580"/>
          <a:ext cx="6625862" cy="58946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8089FD8-D4D2-4A94-AC2B-D90D4422F27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SÄUBERLIN &amp; PFEIFFER S.A. - Chemin Sous-les-Routes 101 - CH - 1618 CHÂTEL-SAINT-DENIS
Tél. : +41 (0) 21 925 42 00 - courrier@saeuberlin.ch - www.autajon.com
CHE-102.141.942 TVA</a:t>
          </a:fld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17144</xdr:colOff>
      <xdr:row>8</xdr:row>
      <xdr:rowOff>182879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4984" cy="17849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5</xdr:col>
      <xdr:colOff>19050</xdr:colOff>
      <xdr:row>8</xdr:row>
      <xdr:rowOff>182879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51760" y="0"/>
          <a:ext cx="1786890" cy="178498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8</xdr:col>
      <xdr:colOff>19050</xdr:colOff>
      <xdr:row>8</xdr:row>
      <xdr:rowOff>182879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03520" y="0"/>
          <a:ext cx="1786890" cy="178498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10</xdr:col>
      <xdr:colOff>855345</xdr:colOff>
      <xdr:row>9</xdr:row>
      <xdr:rowOff>1905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55280" y="0"/>
          <a:ext cx="1767840" cy="180213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17</xdr:col>
      <xdr:colOff>15240</xdr:colOff>
      <xdr:row>8</xdr:row>
      <xdr:rowOff>180975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258800" y="0"/>
          <a:ext cx="1783080" cy="17830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855345</xdr:colOff>
      <xdr:row>20</xdr:row>
      <xdr:rowOff>180975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77440"/>
          <a:ext cx="1767840" cy="178308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</xdr:colOff>
      <xdr:row>12</xdr:row>
      <xdr:rowOff>0</xdr:rowOff>
    </xdr:from>
    <xdr:to>
      <xdr:col>5</xdr:col>
      <xdr:colOff>17144</xdr:colOff>
      <xdr:row>20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53664" y="2377440"/>
          <a:ext cx="1783080" cy="17830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1904</xdr:colOff>
      <xdr:row>11</xdr:row>
      <xdr:rowOff>188595</xdr:rowOff>
    </xdr:from>
    <xdr:to>
      <xdr:col>8</xdr:col>
      <xdr:colOff>19049</xdr:colOff>
      <xdr:row>20</xdr:row>
      <xdr:rowOff>188595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05424" y="2367915"/>
          <a:ext cx="1784985" cy="180022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13</xdr:col>
      <xdr:colOff>855345</xdr:colOff>
      <xdr:row>21</xdr:row>
      <xdr:rowOff>1905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607040" y="2377440"/>
          <a:ext cx="1767840" cy="180213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200024</xdr:rowOff>
    </xdr:from>
    <xdr:to>
      <xdr:col>16</xdr:col>
      <xdr:colOff>855345</xdr:colOff>
      <xdr:row>20</xdr:row>
      <xdr:rowOff>182879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258800" y="2379344"/>
          <a:ext cx="1767840" cy="178308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1904</xdr:colOff>
      <xdr:row>11</xdr:row>
      <xdr:rowOff>200024</xdr:rowOff>
    </xdr:from>
    <xdr:to>
      <xdr:col>20</xdr:col>
      <xdr:colOff>20954</xdr:colOff>
      <xdr:row>20</xdr:row>
      <xdr:rowOff>182879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/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12464" y="2379344"/>
          <a:ext cx="1786890" cy="178308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4</xdr:col>
      <xdr:colOff>855345</xdr:colOff>
      <xdr:row>32</xdr:row>
      <xdr:rowOff>180975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651760" y="4754880"/>
          <a:ext cx="1767840" cy="178308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7</xdr:col>
      <xdr:colOff>855345</xdr:colOff>
      <xdr:row>32</xdr:row>
      <xdr:rowOff>192405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/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303520" y="4754880"/>
          <a:ext cx="1767840" cy="179260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</xdr:colOff>
      <xdr:row>24</xdr:row>
      <xdr:rowOff>0</xdr:rowOff>
    </xdr:from>
    <xdr:to>
      <xdr:col>11</xdr:col>
      <xdr:colOff>9524</xdr:colOff>
      <xdr:row>32</xdr:row>
      <xdr:rowOff>180975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/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57184" y="4754880"/>
          <a:ext cx="1777365" cy="178308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13</xdr:col>
      <xdr:colOff>855345</xdr:colOff>
      <xdr:row>32</xdr:row>
      <xdr:rowOff>192405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/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607040" y="4754880"/>
          <a:ext cx="1767840" cy="179260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17</xdr:col>
      <xdr:colOff>9525</xdr:colOff>
      <xdr:row>32</xdr:row>
      <xdr:rowOff>192405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/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258800" y="4754880"/>
          <a:ext cx="1779270" cy="1792605"/>
        </a:xfrm>
        <a:prstGeom prst="rect">
          <a:avLst/>
        </a:prstGeom>
      </xdr:spPr>
    </xdr:pic>
    <xdr:clientData/>
  </xdr:twoCellAnchor>
  <xdr:twoCellAnchor editAs="oneCell">
    <xdr:from>
      <xdr:col>12</xdr:col>
      <xdr:colOff>1</xdr:colOff>
      <xdr:row>0</xdr:row>
      <xdr:rowOff>0</xdr:rowOff>
    </xdr:from>
    <xdr:to>
      <xdr:col>14</xdr:col>
      <xdr:colOff>5716</xdr:colOff>
      <xdr:row>9</xdr:row>
      <xdr:rowOff>17145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607041" y="0"/>
          <a:ext cx="1775460" cy="181356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</xdr:row>
      <xdr:rowOff>0</xdr:rowOff>
    </xdr:from>
    <xdr:to>
      <xdr:col>10</xdr:col>
      <xdr:colOff>855345</xdr:colOff>
      <xdr:row>21</xdr:row>
      <xdr:rowOff>1905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/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955280" y="2377440"/>
          <a:ext cx="1760220" cy="180213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20</xdr:col>
      <xdr:colOff>20954</xdr:colOff>
      <xdr:row>8</xdr:row>
      <xdr:rowOff>179070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/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5944850" y="0"/>
          <a:ext cx="1792604" cy="1779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2</xdr:col>
      <xdr:colOff>3809</xdr:colOff>
      <xdr:row>33</xdr:row>
      <xdr:rowOff>24765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/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4800600"/>
          <a:ext cx="1756409" cy="18249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26</xdr:row>
      <xdr:rowOff>83820</xdr:rowOff>
    </xdr:from>
    <xdr:to>
      <xdr:col>5</xdr:col>
      <xdr:colOff>53340</xdr:colOff>
      <xdr:row>32</xdr:row>
      <xdr:rowOff>91440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080" y="4838700"/>
          <a:ext cx="2796540" cy="1104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0</xdr:row>
      <xdr:rowOff>0</xdr:rowOff>
    </xdr:from>
    <xdr:to>
      <xdr:col>16</xdr:col>
      <xdr:colOff>457200</xdr:colOff>
      <xdr:row>16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utajononline.sharepoint.com/personal/fabien_mazille_autajon_com/Documents/Bureau/Devis%20HP%20final%20non%20prot&#233;g&#23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 Devis"/>
      <sheetName val="Résultat"/>
      <sheetName val="Lettre Devis"/>
      <sheetName val="Pantonier Dorures"/>
      <sheetName val="Index"/>
      <sheetName val="Pose"/>
      <sheetName val="Calcul"/>
      <sheetName val="Détail cout"/>
      <sheetName val="Paramètres Techniques"/>
      <sheetName val="Code Couleur"/>
      <sheetName val="Liste MP"/>
      <sheetName val="Feuil1"/>
      <sheetName val="Détail cout (2)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Site</v>
          </cell>
          <cell r="E1" t="str">
            <v>Site_Finition</v>
          </cell>
          <cell r="J1" t="str">
            <v>Site</v>
          </cell>
          <cell r="O1" t="str">
            <v>Couleur</v>
          </cell>
          <cell r="R1" t="str">
            <v>Pelliculage</v>
          </cell>
          <cell r="S1" t="str">
            <v>Site</v>
          </cell>
          <cell r="U1" t="str">
            <v>Numérotation</v>
          </cell>
          <cell r="V1" t="str">
            <v>Site</v>
          </cell>
          <cell r="X1" t="str">
            <v>Gaufrage</v>
          </cell>
          <cell r="Y1" t="str">
            <v>Site</v>
          </cell>
        </row>
        <row r="2">
          <cell r="A2" t="str">
            <v>AEME</v>
          </cell>
          <cell r="C2" t="str">
            <v>1 Couleur Sérigraphie</v>
          </cell>
          <cell r="E2" t="str">
            <v>AEEP</v>
          </cell>
          <cell r="J2" t="str">
            <v>AEME</v>
          </cell>
          <cell r="K2" t="str">
            <v>MICHELON Brigitte</v>
          </cell>
          <cell r="O2" t="str">
            <v xml:space="preserve">1 Couleur Flexo + 1 Couleur Sérigraphie + 1 Vernis Flexo </v>
          </cell>
          <cell r="P2" t="str">
            <v>Mat</v>
          </cell>
          <cell r="R2" t="str">
            <v>Non</v>
          </cell>
          <cell r="S2" t="str">
            <v>AEAT</v>
          </cell>
          <cell r="U2" t="str">
            <v>Non</v>
          </cell>
          <cell r="V2" t="str">
            <v>AEAT</v>
          </cell>
          <cell r="X2" t="str">
            <v>Non</v>
          </cell>
          <cell r="Y2" t="str">
            <v>AEAT</v>
          </cell>
        </row>
        <row r="3">
          <cell r="A3" t="str">
            <v>AEME</v>
          </cell>
          <cell r="E3" t="str">
            <v>AEEP</v>
          </cell>
          <cell r="F3" t="str">
            <v>Bobineuse</v>
          </cell>
          <cell r="J3" t="str">
            <v>AEME</v>
          </cell>
          <cell r="O3" t="str">
            <v xml:space="preserve">1 Couleur Flexo + 1 Couleur Sérigraphie + 1 Vernis Flexo </v>
          </cell>
          <cell r="R3" t="str">
            <v>Non</v>
          </cell>
          <cell r="S3" t="str">
            <v>AELO</v>
          </cell>
          <cell r="U3" t="str">
            <v>Oui</v>
          </cell>
          <cell r="V3" t="str">
            <v>AELO</v>
          </cell>
          <cell r="X3" t="str">
            <v>Non</v>
          </cell>
          <cell r="Y3" t="str">
            <v>AELO</v>
          </cell>
        </row>
        <row r="4">
          <cell r="A4" t="str">
            <v>AEME</v>
          </cell>
          <cell r="E4" t="str">
            <v>AEEP</v>
          </cell>
          <cell r="J4" t="str">
            <v>AEME</v>
          </cell>
          <cell r="O4" t="str">
            <v xml:space="preserve">1 Couleur Flexo + 1 Couleur Sérigraphie + 1 Vernis Flexo </v>
          </cell>
          <cell r="R4">
            <v>1</v>
          </cell>
          <cell r="S4" t="str">
            <v>AELO</v>
          </cell>
          <cell r="U4" t="str">
            <v>Non</v>
          </cell>
          <cell r="V4" t="str">
            <v>AELO</v>
          </cell>
          <cell r="X4">
            <v>1</v>
          </cell>
          <cell r="Y4" t="str">
            <v>AELO</v>
          </cell>
        </row>
        <row r="5">
          <cell r="A5" t="str">
            <v>AEME</v>
          </cell>
          <cell r="E5" t="str">
            <v>AEME</v>
          </cell>
          <cell r="J5" t="str">
            <v>AEME</v>
          </cell>
          <cell r="O5" t="str">
            <v>1 Couleur Flexo + 1 Couleur Sérigraphie + 1 Vernis Flexo + 1 Vernis Sérigraphie</v>
          </cell>
          <cell r="R5" t="str">
            <v>Non</v>
          </cell>
          <cell r="S5" t="str">
            <v>AEME</v>
          </cell>
          <cell r="U5" t="str">
            <v>Non</v>
          </cell>
          <cell r="V5" t="str">
            <v>AEME</v>
          </cell>
          <cell r="X5">
            <v>2</v>
          </cell>
          <cell r="Y5" t="str">
            <v>AELO</v>
          </cell>
        </row>
        <row r="6">
          <cell r="A6" t="str">
            <v>AEME</v>
          </cell>
          <cell r="E6" t="str">
            <v>AEME</v>
          </cell>
          <cell r="J6" t="str">
            <v>AEME</v>
          </cell>
          <cell r="O6" t="str">
            <v>1 Couleur Flexo + 1 Couleur Sérigraphie + 1 Vernis Flexo + 1 Vernis Sérigraphie</v>
          </cell>
          <cell r="R6" t="str">
            <v>Non</v>
          </cell>
          <cell r="S6" t="str">
            <v>AEEP</v>
          </cell>
          <cell r="U6" t="str">
            <v>Non</v>
          </cell>
          <cell r="V6" t="str">
            <v>AEEP</v>
          </cell>
          <cell r="X6" t="str">
            <v>Non</v>
          </cell>
          <cell r="Y6" t="str">
            <v>AEBO</v>
          </cell>
        </row>
        <row r="7">
          <cell r="A7" t="str">
            <v>AEME</v>
          </cell>
          <cell r="E7" t="str">
            <v>AEME</v>
          </cell>
          <cell r="J7" t="str">
            <v>AEME</v>
          </cell>
          <cell r="O7" t="str">
            <v>1 Couleur Flexo + 1 Couleur Sérigraphie + 1 Vernis Flexo + 1 Vernis Sérigraphie</v>
          </cell>
          <cell r="R7" t="str">
            <v>Non</v>
          </cell>
          <cell r="S7" t="str">
            <v>AEBO</v>
          </cell>
          <cell r="U7" t="str">
            <v>Non</v>
          </cell>
          <cell r="V7" t="str">
            <v>AEBO</v>
          </cell>
          <cell r="X7">
            <v>1</v>
          </cell>
          <cell r="Y7" t="str">
            <v>AEBO</v>
          </cell>
        </row>
        <row r="8">
          <cell r="A8" t="str">
            <v>AEME</v>
          </cell>
          <cell r="E8" t="str">
            <v>AELO</v>
          </cell>
          <cell r="J8" t="str">
            <v>AEME</v>
          </cell>
          <cell r="O8" t="str">
            <v>1 Couleur Flexo + 1 Couleur Sérigraphie + 1 Vernis Sérigraphie</v>
          </cell>
          <cell r="R8" t="str">
            <v>Non</v>
          </cell>
          <cell r="S8" t="str">
            <v>AELI</v>
          </cell>
          <cell r="U8" t="str">
            <v>Non</v>
          </cell>
          <cell r="V8" t="str">
            <v>AELI</v>
          </cell>
          <cell r="X8">
            <v>2</v>
          </cell>
          <cell r="Y8" t="str">
            <v>AEBO</v>
          </cell>
        </row>
        <row r="9">
          <cell r="A9" t="str">
            <v>AEME</v>
          </cell>
          <cell r="E9" t="str">
            <v>AELO</v>
          </cell>
          <cell r="J9" t="str">
            <v>AEAT</v>
          </cell>
          <cell r="O9" t="str">
            <v>1 Couleur Flexo + 1 Couleur Sérigraphie + 1 Vernis Sérigraphie</v>
          </cell>
          <cell r="X9" t="str">
            <v>Non</v>
          </cell>
          <cell r="Y9" t="str">
            <v>AEEP</v>
          </cell>
        </row>
        <row r="10">
          <cell r="A10" t="str">
            <v>AEEP</v>
          </cell>
          <cell r="E10" t="str">
            <v>AEBO</v>
          </cell>
          <cell r="J10" t="str">
            <v>AEAT</v>
          </cell>
          <cell r="O10" t="str">
            <v>1 Couleur Flexo + 1 Couleur Sérigraphie + 1 Vernis Sérigraphie</v>
          </cell>
          <cell r="X10">
            <v>1</v>
          </cell>
          <cell r="Y10" t="str">
            <v>AEEP</v>
          </cell>
        </row>
        <row r="11">
          <cell r="A11" t="str">
            <v>AEEP</v>
          </cell>
          <cell r="E11" t="str">
            <v>AEBO</v>
          </cell>
          <cell r="J11" t="str">
            <v>AEAT</v>
          </cell>
          <cell r="O11" t="str">
            <v>1 Couleur Flexo + 1 Vernis Flexo</v>
          </cell>
          <cell r="X11">
            <v>2</v>
          </cell>
          <cell r="Y11" t="str">
            <v>AEEP</v>
          </cell>
        </row>
        <row r="12">
          <cell r="A12" t="str">
            <v>AEEP</v>
          </cell>
          <cell r="E12" t="str">
            <v>AEAT</v>
          </cell>
          <cell r="J12" t="str">
            <v>AEAT</v>
          </cell>
          <cell r="O12" t="str">
            <v>1 Couleur Flexo + 1 Vernis Flexo</v>
          </cell>
          <cell r="X12" t="str">
            <v>Non</v>
          </cell>
          <cell r="Y12" t="str">
            <v>AEME</v>
          </cell>
        </row>
        <row r="13">
          <cell r="A13" t="str">
            <v>AEEP</v>
          </cell>
          <cell r="E13" t="str">
            <v>AEAT</v>
          </cell>
          <cell r="J13" t="str">
            <v>AEAT</v>
          </cell>
          <cell r="O13" t="str">
            <v>1 Couleur Flexo + 1 Vernis Flexo</v>
          </cell>
          <cell r="X13">
            <v>1</v>
          </cell>
          <cell r="Y13" t="str">
            <v>AEME</v>
          </cell>
        </row>
        <row r="14">
          <cell r="A14" t="str">
            <v>AEEP</v>
          </cell>
          <cell r="E14" t="str">
            <v>AEAT</v>
          </cell>
          <cell r="J14" t="str">
            <v>AEAT</v>
          </cell>
          <cell r="O14" t="str">
            <v>1 Couleur Flexo + 1 Vernis Flexo + 1 Vernis Sérigraphie</v>
          </cell>
          <cell r="X14">
            <v>2</v>
          </cell>
          <cell r="Y14" t="str">
            <v>AEME</v>
          </cell>
        </row>
        <row r="15">
          <cell r="A15" t="str">
            <v>AEEP</v>
          </cell>
          <cell r="E15" t="str">
            <v>AELI</v>
          </cell>
          <cell r="J15" t="str">
            <v>AEEP</v>
          </cell>
          <cell r="O15" t="str">
            <v>1 Couleur Flexo + 1 Vernis Flexo + 1 Vernis Sérigraphie</v>
          </cell>
          <cell r="X15" t="str">
            <v>Non</v>
          </cell>
          <cell r="Y15" t="str">
            <v>AELI</v>
          </cell>
        </row>
        <row r="16">
          <cell r="A16" t="str">
            <v>AEEP</v>
          </cell>
          <cell r="E16" t="str">
            <v>AELI</v>
          </cell>
          <cell r="J16" t="str">
            <v>AEEP</v>
          </cell>
          <cell r="O16" t="str">
            <v>1 Couleur Flexo + 1 Vernis Flexo + 1 Vernis Sérigraphie</v>
          </cell>
          <cell r="X16">
            <v>1</v>
          </cell>
          <cell r="Y16" t="str">
            <v>AELI</v>
          </cell>
        </row>
        <row r="17">
          <cell r="A17" t="str">
            <v>AEEP</v>
          </cell>
          <cell r="E17" t="str">
            <v>AELI</v>
          </cell>
          <cell r="J17" t="str">
            <v>AEEP</v>
          </cell>
          <cell r="O17" t="str">
            <v>1 Couleur Flexo + 1 Vernis Sérigraphie</v>
          </cell>
          <cell r="X17">
            <v>2</v>
          </cell>
          <cell r="Y17" t="str">
            <v>AELI</v>
          </cell>
        </row>
        <row r="18">
          <cell r="A18" t="str">
            <v>AEEP</v>
          </cell>
          <cell r="J18" t="str">
            <v>AEEP</v>
          </cell>
          <cell r="O18" t="str">
            <v>1 Couleur Flexo + 1 Vernis Sérigraphie</v>
          </cell>
        </row>
        <row r="19">
          <cell r="A19" t="str">
            <v>AEEP</v>
          </cell>
          <cell r="J19" t="str">
            <v>AEEP</v>
          </cell>
          <cell r="O19" t="str">
            <v>1 Couleur Flexo + 1 Vernis Sérigraphie</v>
          </cell>
        </row>
        <row r="20">
          <cell r="A20" t="str">
            <v>AEEP</v>
          </cell>
          <cell r="J20" t="str">
            <v>AEEP</v>
          </cell>
          <cell r="O20" t="str">
            <v>1 Couleur Sérigraphie + 1 Vernis Flexo</v>
          </cell>
        </row>
        <row r="21">
          <cell r="A21" t="str">
            <v>AEAT</v>
          </cell>
          <cell r="J21" t="str">
            <v>AELO</v>
          </cell>
          <cell r="O21" t="str">
            <v>1 Couleur Sérigraphie + 1 Vernis Flexo</v>
          </cell>
        </row>
        <row r="22">
          <cell r="A22" t="str">
            <v>AEAT</v>
          </cell>
          <cell r="J22" t="str">
            <v>AELO</v>
          </cell>
          <cell r="O22" t="str">
            <v>1 Couleur Sérigraphie + 1 Vernis Flexo</v>
          </cell>
        </row>
        <row r="23">
          <cell r="A23" t="str">
            <v>AEAT</v>
          </cell>
          <cell r="J23" t="str">
            <v>AELO</v>
          </cell>
          <cell r="O23" t="str">
            <v>1 Couleur Sérigraphie + 1 Vernis Flexo + 1 Vernis Sérigraphie</v>
          </cell>
        </row>
        <row r="24">
          <cell r="A24" t="str">
            <v>AELO</v>
          </cell>
          <cell r="J24" t="str">
            <v>AELO</v>
          </cell>
          <cell r="O24" t="str">
            <v>1 Couleur Sérigraphie + 1 Vernis Flexo + 1 Vernis Sérigraphie</v>
          </cell>
        </row>
        <row r="25">
          <cell r="A25" t="str">
            <v>AELO</v>
          </cell>
          <cell r="J25" t="str">
            <v>AELO</v>
          </cell>
          <cell r="O25" t="str">
            <v>1 Couleur Sérigraphie + 1 Vernis Flexo + 1 Vernis Sérigraphie</v>
          </cell>
        </row>
        <row r="26">
          <cell r="A26" t="str">
            <v>AELO</v>
          </cell>
          <cell r="J26" t="str">
            <v>AELO</v>
          </cell>
          <cell r="O26" t="str">
            <v>1 Couleur Sérigraphie + 1 Vernis Sérigraphie</v>
          </cell>
        </row>
        <row r="27">
          <cell r="A27" t="str">
            <v>AELO</v>
          </cell>
          <cell r="J27" t="str">
            <v>AELO</v>
          </cell>
          <cell r="O27" t="str">
            <v>1 Couleur Sérigraphie + 1 Vernis Sérigraphie</v>
          </cell>
        </row>
        <row r="28">
          <cell r="A28" t="str">
            <v>AELO</v>
          </cell>
          <cell r="J28" t="str">
            <v>AEBO</v>
          </cell>
          <cell r="O28" t="str">
            <v>1 Couleur Sérigraphie + 1 Vernis Sérigraphie</v>
          </cell>
        </row>
        <row r="29">
          <cell r="A29" t="str">
            <v>AELO</v>
          </cell>
          <cell r="J29" t="str">
            <v>AEBO</v>
          </cell>
          <cell r="O29" t="str">
            <v>1 Couleur Sérigraphie + 2 Vernis Flexo</v>
          </cell>
        </row>
        <row r="30">
          <cell r="A30" t="str">
            <v>AELO</v>
          </cell>
          <cell r="J30" t="str">
            <v>AEBO</v>
          </cell>
          <cell r="O30" t="str">
            <v>1 Couleur Sérigraphie + 2 Vernis Flexo</v>
          </cell>
        </row>
        <row r="31">
          <cell r="A31" t="str">
            <v>AELO</v>
          </cell>
          <cell r="J31" t="str">
            <v>AEBO</v>
          </cell>
          <cell r="O31" t="str">
            <v>1 Couleur Sérigraphie + 2 Vernis Flexo</v>
          </cell>
        </row>
        <row r="32">
          <cell r="A32" t="str">
            <v>AELO</v>
          </cell>
          <cell r="J32" t="str">
            <v>AEBO</v>
          </cell>
          <cell r="O32" t="str">
            <v>1 Vernis Flexo</v>
          </cell>
        </row>
        <row r="33">
          <cell r="A33" t="str">
            <v>AELO</v>
          </cell>
          <cell r="J33" t="str">
            <v>AEBO</v>
          </cell>
          <cell r="O33" t="str">
            <v>1 Vernis Flexo</v>
          </cell>
        </row>
        <row r="34">
          <cell r="A34" t="str">
            <v>AELO</v>
          </cell>
          <cell r="J34" t="str">
            <v>AELI</v>
          </cell>
          <cell r="O34" t="str">
            <v>1 Vernis Flexo</v>
          </cell>
        </row>
        <row r="35">
          <cell r="A35" t="str">
            <v>AELO</v>
          </cell>
          <cell r="J35" t="str">
            <v>AELI</v>
          </cell>
          <cell r="O35" t="str">
            <v>1 Vernis Flexo + 1 Vernis Sérigraphie</v>
          </cell>
        </row>
        <row r="36">
          <cell r="A36" t="str">
            <v>AELO</v>
          </cell>
          <cell r="J36" t="str">
            <v>AELI</v>
          </cell>
          <cell r="O36" t="str">
            <v>1 Vernis Flexo + 1 Vernis Sérigraphie</v>
          </cell>
        </row>
        <row r="37">
          <cell r="A37" t="str">
            <v>AELO</v>
          </cell>
          <cell r="O37" t="str">
            <v>1 Vernis Flexo + 1 Vernis Sérigraphie</v>
          </cell>
        </row>
        <row r="38">
          <cell r="A38" t="str">
            <v>AELO</v>
          </cell>
          <cell r="O38" t="str">
            <v>1 Vernis Sérigraphie</v>
          </cell>
        </row>
        <row r="39">
          <cell r="A39" t="str">
            <v>AELO</v>
          </cell>
          <cell r="O39" t="str">
            <v>1 Vernis Sérigraphie</v>
          </cell>
        </row>
        <row r="40">
          <cell r="A40" t="str">
            <v>AELO</v>
          </cell>
          <cell r="O40" t="str">
            <v>1 Vernis Sérigraphie</v>
          </cell>
        </row>
        <row r="41">
          <cell r="A41" t="str">
            <v>AELO</v>
          </cell>
          <cell r="O41" t="str">
            <v>2 Couleurs Flexo + 1 Vernis Sérigraphie</v>
          </cell>
        </row>
        <row r="42">
          <cell r="A42" t="str">
            <v>AELO</v>
          </cell>
          <cell r="O42" t="str">
            <v>2 Couleurs Flexo + 1 Vernis Sérigraphie</v>
          </cell>
        </row>
        <row r="43">
          <cell r="A43" t="str">
            <v>AELO</v>
          </cell>
          <cell r="O43" t="str">
            <v>2 Couleurs Flexo + 1 Vernis Sérigraphie</v>
          </cell>
        </row>
        <row r="44">
          <cell r="A44" t="str">
            <v>AELO</v>
          </cell>
          <cell r="O44" t="str">
            <v>2 Vernis Flexo</v>
          </cell>
        </row>
        <row r="45">
          <cell r="A45" t="str">
            <v>AELO</v>
          </cell>
          <cell r="O45" t="str">
            <v>2 Vernis Flexo</v>
          </cell>
        </row>
        <row r="46">
          <cell r="A46" t="str">
            <v>AEBO</v>
          </cell>
          <cell r="O46" t="str">
            <v>2 Vernis Flexo</v>
          </cell>
        </row>
        <row r="47">
          <cell r="A47" t="str">
            <v>AEBO</v>
          </cell>
          <cell r="O47" t="str">
            <v>2 Vernis Flexo + 1 Vernis Sérigraphie</v>
          </cell>
        </row>
        <row r="48">
          <cell r="A48" t="str">
            <v>AEBO</v>
          </cell>
          <cell r="O48" t="str">
            <v>2 Vernis Flexo + 1 Vernis Sérigraphie</v>
          </cell>
        </row>
        <row r="49">
          <cell r="A49" t="str">
            <v>AEBO</v>
          </cell>
          <cell r="O49" t="str">
            <v>2 Vernis Flexo + 1 Vernis Sérigraphie</v>
          </cell>
        </row>
        <row r="50">
          <cell r="A50" t="str">
            <v>AEBO</v>
          </cell>
        </row>
        <row r="51">
          <cell r="A51" t="str">
            <v>AEBO</v>
          </cell>
        </row>
        <row r="52">
          <cell r="A52" t="str">
            <v>AEBO</v>
          </cell>
        </row>
        <row r="53">
          <cell r="A53" t="str">
            <v>AEBO</v>
          </cell>
        </row>
        <row r="54">
          <cell r="A54" t="str">
            <v>AEBO</v>
          </cell>
        </row>
        <row r="55">
          <cell r="A55" t="str">
            <v>AEBO</v>
          </cell>
        </row>
        <row r="56">
          <cell r="A56" t="str">
            <v>AEBO</v>
          </cell>
        </row>
        <row r="57">
          <cell r="A57" t="str">
            <v>AEBO</v>
          </cell>
        </row>
        <row r="58">
          <cell r="A58" t="str">
            <v>AELI</v>
          </cell>
        </row>
        <row r="59">
          <cell r="A59" t="str">
            <v>AELI</v>
          </cell>
        </row>
        <row r="60">
          <cell r="A60" t="str">
            <v>AELI</v>
          </cell>
        </row>
        <row r="61">
          <cell r="A61" t="str">
            <v>AELI</v>
          </cell>
        </row>
        <row r="62">
          <cell r="A62" t="str">
            <v>AELI</v>
          </cell>
        </row>
        <row r="63">
          <cell r="A63" t="str">
            <v>AELI</v>
          </cell>
        </row>
        <row r="64">
          <cell r="A64" t="str">
            <v>AELI</v>
          </cell>
        </row>
        <row r="65">
          <cell r="A65" t="str">
            <v>AELI</v>
          </cell>
        </row>
        <row r="66">
          <cell r="A66" t="str">
            <v>AELI</v>
          </cell>
        </row>
        <row r="67">
          <cell r="A67" t="str">
            <v>AELI</v>
          </cell>
        </row>
        <row r="68">
          <cell r="A68" t="str">
            <v>AELI</v>
          </cell>
        </row>
        <row r="71">
          <cell r="A71" t="str">
            <v>AELI</v>
          </cell>
        </row>
        <row r="73">
          <cell r="A73" t="str">
            <v>AEME</v>
          </cell>
        </row>
        <row r="77">
          <cell r="A77" t="str">
            <v>AEBO</v>
          </cell>
        </row>
        <row r="81">
          <cell r="A81" t="str">
            <v>AELO</v>
          </cell>
        </row>
        <row r="85">
          <cell r="A85" t="str">
            <v>AEAT</v>
          </cell>
        </row>
        <row r="89">
          <cell r="A89" t="str">
            <v>AEEP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2">
          <cell r="A2" t="str">
            <v>AEAT</v>
          </cell>
          <cell r="D2" t="str">
            <v>Noir</v>
          </cell>
        </row>
        <row r="3">
          <cell r="A3" t="str">
            <v>AEAT</v>
          </cell>
        </row>
        <row r="4">
          <cell r="A4" t="str">
            <v>AEAT</v>
          </cell>
        </row>
        <row r="5">
          <cell r="A5" t="str">
            <v>AEAT</v>
          </cell>
        </row>
        <row r="6">
          <cell r="A6" t="str">
            <v>AEAT</v>
          </cell>
        </row>
        <row r="7">
          <cell r="A7" t="str">
            <v>AEAT</v>
          </cell>
        </row>
        <row r="8">
          <cell r="A8" t="str">
            <v>AEAT</v>
          </cell>
        </row>
        <row r="9">
          <cell r="A9" t="str">
            <v>AEAT</v>
          </cell>
        </row>
        <row r="10">
          <cell r="A10" t="str">
            <v>AEAT</v>
          </cell>
        </row>
        <row r="11">
          <cell r="A11" t="str">
            <v>AEAT</v>
          </cell>
        </row>
        <row r="12">
          <cell r="A12" t="str">
            <v>AEAT</v>
          </cell>
        </row>
        <row r="13">
          <cell r="A13" t="str">
            <v>AEAT</v>
          </cell>
        </row>
        <row r="14">
          <cell r="A14" t="str">
            <v>AEAT</v>
          </cell>
        </row>
        <row r="15">
          <cell r="A15" t="str">
            <v>AEAT</v>
          </cell>
        </row>
        <row r="16">
          <cell r="A16" t="str">
            <v>AEAT</v>
          </cell>
        </row>
        <row r="17">
          <cell r="A17" t="str">
            <v>AEAT</v>
          </cell>
        </row>
        <row r="18">
          <cell r="A18" t="str">
            <v>AEAT</v>
          </cell>
        </row>
        <row r="19">
          <cell r="A19" t="str">
            <v>AEAT</v>
          </cell>
        </row>
        <row r="20">
          <cell r="A20" t="str">
            <v>AEAT</v>
          </cell>
        </row>
        <row r="21">
          <cell r="A21" t="str">
            <v>AEAT</v>
          </cell>
        </row>
        <row r="22">
          <cell r="A22" t="str">
            <v>AEAT</v>
          </cell>
        </row>
        <row r="23">
          <cell r="A23" t="str">
            <v>AEAT</v>
          </cell>
        </row>
        <row r="24">
          <cell r="A24" t="str">
            <v>AEAT</v>
          </cell>
        </row>
        <row r="25">
          <cell r="A25" t="str">
            <v>AEAT</v>
          </cell>
        </row>
        <row r="26">
          <cell r="A26" t="str">
            <v>AEAT</v>
          </cell>
        </row>
        <row r="27">
          <cell r="A27" t="str">
            <v>AEAT</v>
          </cell>
        </row>
        <row r="28">
          <cell r="A28" t="str">
            <v>AEAT</v>
          </cell>
        </row>
        <row r="29">
          <cell r="A29" t="str">
            <v>AEAT</v>
          </cell>
        </row>
        <row r="30">
          <cell r="A30" t="str">
            <v>AEAT</v>
          </cell>
        </row>
        <row r="31">
          <cell r="A31" t="str">
            <v>AEAT</v>
          </cell>
        </row>
        <row r="32">
          <cell r="A32" t="str">
            <v>AEAT</v>
          </cell>
        </row>
        <row r="33">
          <cell r="A33" t="str">
            <v>AEAT</v>
          </cell>
        </row>
        <row r="34">
          <cell r="A34" t="str">
            <v>AEAT</v>
          </cell>
        </row>
        <row r="35">
          <cell r="A35" t="str">
            <v>AEAT</v>
          </cell>
        </row>
        <row r="36">
          <cell r="A36" t="str">
            <v>AEAT</v>
          </cell>
        </row>
        <row r="37">
          <cell r="A37" t="str">
            <v>AEAT</v>
          </cell>
        </row>
        <row r="38">
          <cell r="A38" t="str">
            <v>AEAT</v>
          </cell>
        </row>
        <row r="39">
          <cell r="A39" t="str">
            <v>AEAT</v>
          </cell>
        </row>
        <row r="40">
          <cell r="A40" t="str">
            <v>AEAT</v>
          </cell>
        </row>
        <row r="41">
          <cell r="A41" t="str">
            <v>AEAT</v>
          </cell>
        </row>
        <row r="42">
          <cell r="A42" t="str">
            <v>AEAT</v>
          </cell>
        </row>
        <row r="43">
          <cell r="A43" t="str">
            <v>AEAT</v>
          </cell>
        </row>
        <row r="44">
          <cell r="A44" t="str">
            <v>AEAT</v>
          </cell>
        </row>
        <row r="45">
          <cell r="A45" t="str">
            <v>AEAT</v>
          </cell>
        </row>
        <row r="46">
          <cell r="A46" t="str">
            <v>AEAT</v>
          </cell>
        </row>
        <row r="47">
          <cell r="A47" t="str">
            <v>AEAT</v>
          </cell>
        </row>
        <row r="48">
          <cell r="A48" t="str">
            <v>AEAT</v>
          </cell>
        </row>
        <row r="49">
          <cell r="A49" t="str">
            <v>AEAT</v>
          </cell>
        </row>
        <row r="50">
          <cell r="A50" t="str">
            <v>AEAT</v>
          </cell>
        </row>
        <row r="51">
          <cell r="A51" t="str">
            <v>AEAT</v>
          </cell>
        </row>
        <row r="52">
          <cell r="A52" t="str">
            <v>AEAT</v>
          </cell>
        </row>
        <row r="53">
          <cell r="A53" t="str">
            <v>AEAT</v>
          </cell>
        </row>
        <row r="54">
          <cell r="A54" t="str">
            <v>AEAT</v>
          </cell>
        </row>
        <row r="55">
          <cell r="A55" t="str">
            <v>AEAT</v>
          </cell>
        </row>
        <row r="56">
          <cell r="A56" t="str">
            <v>AEAT</v>
          </cell>
        </row>
        <row r="57">
          <cell r="A57" t="str">
            <v>AEAT</v>
          </cell>
        </row>
        <row r="58">
          <cell r="A58" t="str">
            <v>AEAT</v>
          </cell>
        </row>
        <row r="59">
          <cell r="A59" t="str">
            <v>AEAT</v>
          </cell>
        </row>
        <row r="60">
          <cell r="A60" t="str">
            <v>AEAT</v>
          </cell>
        </row>
        <row r="61">
          <cell r="A61" t="str">
            <v>AEAT</v>
          </cell>
        </row>
        <row r="62">
          <cell r="A62" t="str">
            <v>AEAT</v>
          </cell>
        </row>
        <row r="63">
          <cell r="A63" t="str">
            <v>AEAT</v>
          </cell>
        </row>
        <row r="64">
          <cell r="A64" t="str">
            <v>AEAT</v>
          </cell>
        </row>
        <row r="65">
          <cell r="A65" t="str">
            <v>AEAT</v>
          </cell>
        </row>
        <row r="66">
          <cell r="A66" t="str">
            <v>AEAT</v>
          </cell>
        </row>
        <row r="67">
          <cell r="A67" t="str">
            <v>AEAT</v>
          </cell>
        </row>
        <row r="68">
          <cell r="A68" t="str">
            <v>AEAT</v>
          </cell>
        </row>
        <row r="69">
          <cell r="A69" t="str">
            <v>AEAT</v>
          </cell>
        </row>
        <row r="70">
          <cell r="A70" t="str">
            <v>AEAT</v>
          </cell>
        </row>
        <row r="71">
          <cell r="A71" t="str">
            <v>AEAT</v>
          </cell>
        </row>
        <row r="72">
          <cell r="A72" t="str">
            <v>AEAT</v>
          </cell>
        </row>
        <row r="73">
          <cell r="A73" t="str">
            <v>AEAT</v>
          </cell>
        </row>
        <row r="74">
          <cell r="A74" t="str">
            <v>AEAT</v>
          </cell>
        </row>
        <row r="75">
          <cell r="A75" t="str">
            <v>AEAT</v>
          </cell>
        </row>
        <row r="76">
          <cell r="A76" t="str">
            <v>AEAT</v>
          </cell>
        </row>
        <row r="77">
          <cell r="A77" t="str">
            <v>AEAT</v>
          </cell>
        </row>
        <row r="78">
          <cell r="A78" t="str">
            <v>AEAT</v>
          </cell>
        </row>
        <row r="79">
          <cell r="A79" t="str">
            <v>AEAT</v>
          </cell>
        </row>
        <row r="80">
          <cell r="A80" t="str">
            <v>AEAT</v>
          </cell>
        </row>
        <row r="81">
          <cell r="A81" t="str">
            <v>AEAT</v>
          </cell>
        </row>
        <row r="82">
          <cell r="A82" t="str">
            <v>AEAT</v>
          </cell>
        </row>
        <row r="83">
          <cell r="A83" t="str">
            <v>AEAT</v>
          </cell>
        </row>
        <row r="84">
          <cell r="A84" t="str">
            <v>AEAT</v>
          </cell>
        </row>
        <row r="85">
          <cell r="A85" t="str">
            <v>AEAT</v>
          </cell>
        </row>
        <row r="86">
          <cell r="A86" t="str">
            <v>AEAT</v>
          </cell>
        </row>
        <row r="87">
          <cell r="A87" t="str">
            <v>AEAT</v>
          </cell>
        </row>
        <row r="88">
          <cell r="A88" t="str">
            <v>AEAT</v>
          </cell>
        </row>
        <row r="89">
          <cell r="A89" t="str">
            <v>AEAT</v>
          </cell>
        </row>
        <row r="90">
          <cell r="A90" t="str">
            <v>AEAT</v>
          </cell>
        </row>
        <row r="91">
          <cell r="A91" t="str">
            <v>AEAT</v>
          </cell>
        </row>
        <row r="92">
          <cell r="A92" t="str">
            <v>AEAT</v>
          </cell>
        </row>
        <row r="93">
          <cell r="A93" t="str">
            <v>AEAT</v>
          </cell>
        </row>
        <row r="94">
          <cell r="A94" t="str">
            <v>AEAT</v>
          </cell>
        </row>
        <row r="95">
          <cell r="A95" t="str">
            <v>AEAT</v>
          </cell>
        </row>
        <row r="96">
          <cell r="A96" t="str">
            <v>AEAT</v>
          </cell>
        </row>
        <row r="97">
          <cell r="A97" t="str">
            <v>AEAT</v>
          </cell>
        </row>
        <row r="98">
          <cell r="A98" t="str">
            <v>AEAT</v>
          </cell>
        </row>
        <row r="99">
          <cell r="A99" t="str">
            <v>AEAT</v>
          </cell>
        </row>
        <row r="100">
          <cell r="A100" t="str">
            <v>AEAT</v>
          </cell>
        </row>
        <row r="101">
          <cell r="A101" t="str">
            <v>AEAT</v>
          </cell>
        </row>
        <row r="102">
          <cell r="A102" t="str">
            <v>AEAT</v>
          </cell>
        </row>
        <row r="103">
          <cell r="A103" t="str">
            <v>AEAT</v>
          </cell>
        </row>
        <row r="104">
          <cell r="A104" t="str">
            <v>AEAT</v>
          </cell>
        </row>
        <row r="105">
          <cell r="A105" t="str">
            <v>AEAT</v>
          </cell>
        </row>
        <row r="106">
          <cell r="A106" t="str">
            <v>AEAT</v>
          </cell>
        </row>
        <row r="107">
          <cell r="A107" t="str">
            <v>AEAT</v>
          </cell>
        </row>
        <row r="108">
          <cell r="A108" t="str">
            <v>AEAT</v>
          </cell>
        </row>
        <row r="109">
          <cell r="A109" t="str">
            <v>AEAT</v>
          </cell>
        </row>
        <row r="110">
          <cell r="A110" t="str">
            <v>AEAT</v>
          </cell>
        </row>
        <row r="111">
          <cell r="A111" t="str">
            <v>AEAT</v>
          </cell>
        </row>
        <row r="112">
          <cell r="A112" t="str">
            <v>AEAT</v>
          </cell>
        </row>
        <row r="113">
          <cell r="A113" t="str">
            <v>AEAT</v>
          </cell>
        </row>
        <row r="114">
          <cell r="A114" t="str">
            <v>AEAT</v>
          </cell>
        </row>
        <row r="115">
          <cell r="A115" t="str">
            <v>AEAT</v>
          </cell>
        </row>
        <row r="116">
          <cell r="A116" t="str">
            <v>AEAT</v>
          </cell>
        </row>
        <row r="117">
          <cell r="A117" t="str">
            <v>AEAT</v>
          </cell>
        </row>
        <row r="118">
          <cell r="A118" t="str">
            <v>AEBO</v>
          </cell>
        </row>
        <row r="119">
          <cell r="A119" t="str">
            <v>AEBO</v>
          </cell>
        </row>
        <row r="120">
          <cell r="A120" t="str">
            <v>AEBO</v>
          </cell>
        </row>
        <row r="121">
          <cell r="A121" t="str">
            <v>AEBO</v>
          </cell>
        </row>
        <row r="122">
          <cell r="A122" t="str">
            <v>AEBO</v>
          </cell>
        </row>
        <row r="123">
          <cell r="A123" t="str">
            <v>AEBO</v>
          </cell>
        </row>
        <row r="124">
          <cell r="A124" t="str">
            <v>AEBO</v>
          </cell>
        </row>
        <row r="125">
          <cell r="A125" t="str">
            <v>AEBO</v>
          </cell>
        </row>
        <row r="126">
          <cell r="A126" t="str">
            <v>AEBO</v>
          </cell>
        </row>
        <row r="127">
          <cell r="A127" t="str">
            <v>AEBO</v>
          </cell>
        </row>
        <row r="128">
          <cell r="A128" t="str">
            <v>AEBO</v>
          </cell>
        </row>
        <row r="129">
          <cell r="A129" t="str">
            <v>AEBO</v>
          </cell>
        </row>
        <row r="130">
          <cell r="A130" t="str">
            <v>AEBO</v>
          </cell>
        </row>
        <row r="131">
          <cell r="A131" t="str">
            <v>AEBO</v>
          </cell>
        </row>
        <row r="132">
          <cell r="A132" t="str">
            <v>AEBO</v>
          </cell>
        </row>
        <row r="133">
          <cell r="A133" t="str">
            <v>AEBO</v>
          </cell>
        </row>
        <row r="134">
          <cell r="A134" t="str">
            <v>AEBO</v>
          </cell>
        </row>
        <row r="135">
          <cell r="A135" t="str">
            <v>AEBO</v>
          </cell>
        </row>
        <row r="136">
          <cell r="A136" t="str">
            <v>AEBO</v>
          </cell>
        </row>
        <row r="137">
          <cell r="A137" t="str">
            <v>AEBO</v>
          </cell>
        </row>
        <row r="138">
          <cell r="A138" t="str">
            <v>AEBO</v>
          </cell>
        </row>
        <row r="139">
          <cell r="A139" t="str">
            <v>AEBO</v>
          </cell>
        </row>
        <row r="140">
          <cell r="A140" t="str">
            <v>AEBO</v>
          </cell>
        </row>
        <row r="141">
          <cell r="A141" t="str">
            <v>AEBO</v>
          </cell>
        </row>
        <row r="142">
          <cell r="A142" t="str">
            <v>AEBO</v>
          </cell>
        </row>
        <row r="143">
          <cell r="A143" t="str">
            <v>AEBO</v>
          </cell>
        </row>
        <row r="144">
          <cell r="A144" t="str">
            <v>AEBO</v>
          </cell>
        </row>
        <row r="145">
          <cell r="A145" t="str">
            <v>AEBO</v>
          </cell>
        </row>
        <row r="146">
          <cell r="A146" t="str">
            <v>AEBO</v>
          </cell>
        </row>
        <row r="147">
          <cell r="A147" t="str">
            <v>AEBO</v>
          </cell>
        </row>
        <row r="148">
          <cell r="A148" t="str">
            <v>AEBO</v>
          </cell>
        </row>
        <row r="149">
          <cell r="A149" t="str">
            <v>AEBO</v>
          </cell>
        </row>
        <row r="150">
          <cell r="A150" t="str">
            <v>AEBO</v>
          </cell>
        </row>
        <row r="151">
          <cell r="A151" t="str">
            <v>AEBO</v>
          </cell>
        </row>
        <row r="152">
          <cell r="A152" t="str">
            <v>AEBO</v>
          </cell>
        </row>
        <row r="153">
          <cell r="A153" t="str">
            <v>AEBO</v>
          </cell>
        </row>
        <row r="154">
          <cell r="A154" t="str">
            <v>AEBO</v>
          </cell>
        </row>
        <row r="155">
          <cell r="A155" t="str">
            <v>AEBO</v>
          </cell>
        </row>
        <row r="156">
          <cell r="A156" t="str">
            <v>AEBO</v>
          </cell>
        </row>
        <row r="157">
          <cell r="A157" t="str">
            <v>AEBO</v>
          </cell>
        </row>
        <row r="158">
          <cell r="A158" t="str">
            <v>AEBO</v>
          </cell>
        </row>
        <row r="159">
          <cell r="A159" t="str">
            <v>AEBO</v>
          </cell>
        </row>
        <row r="160">
          <cell r="A160" t="str">
            <v>AEBO</v>
          </cell>
        </row>
        <row r="161">
          <cell r="A161" t="str">
            <v>AEBO</v>
          </cell>
        </row>
        <row r="162">
          <cell r="A162" t="str">
            <v>AEBO</v>
          </cell>
        </row>
        <row r="163">
          <cell r="A163" t="str">
            <v>AEBO</v>
          </cell>
        </row>
        <row r="164">
          <cell r="A164" t="str">
            <v>AEBO</v>
          </cell>
        </row>
        <row r="165">
          <cell r="A165" t="str">
            <v>AEBO</v>
          </cell>
        </row>
        <row r="166">
          <cell r="A166" t="str">
            <v>AEBO</v>
          </cell>
        </row>
        <row r="167">
          <cell r="A167" t="str">
            <v>AEBO</v>
          </cell>
        </row>
        <row r="168">
          <cell r="A168" t="str">
            <v>AEBO</v>
          </cell>
        </row>
        <row r="169">
          <cell r="A169" t="str">
            <v>AEBO</v>
          </cell>
        </row>
        <row r="170">
          <cell r="A170" t="str">
            <v>AEBO</v>
          </cell>
        </row>
        <row r="171">
          <cell r="A171" t="str">
            <v>AEBO</v>
          </cell>
        </row>
        <row r="172">
          <cell r="A172" t="str">
            <v>AEBO</v>
          </cell>
        </row>
        <row r="173">
          <cell r="A173" t="str">
            <v>AEBO</v>
          </cell>
        </row>
        <row r="174">
          <cell r="A174" t="str">
            <v>AEBO</v>
          </cell>
        </row>
        <row r="175">
          <cell r="A175" t="str">
            <v>AEBO</v>
          </cell>
        </row>
        <row r="176">
          <cell r="A176" t="str">
            <v>AEEP</v>
          </cell>
        </row>
        <row r="177">
          <cell r="A177" t="str">
            <v>AEEP</v>
          </cell>
        </row>
        <row r="178">
          <cell r="A178" t="str">
            <v>AEEP</v>
          </cell>
        </row>
        <row r="179">
          <cell r="A179" t="str">
            <v>AEEP</v>
          </cell>
        </row>
        <row r="180">
          <cell r="A180" t="str">
            <v>AEEP</v>
          </cell>
        </row>
        <row r="181">
          <cell r="A181" t="str">
            <v>AEEP</v>
          </cell>
        </row>
        <row r="182">
          <cell r="A182" t="str">
            <v>AEEP</v>
          </cell>
        </row>
        <row r="183">
          <cell r="A183" t="str">
            <v>AEEP</v>
          </cell>
        </row>
        <row r="184">
          <cell r="A184" t="str">
            <v>AEEP</v>
          </cell>
        </row>
        <row r="185">
          <cell r="A185" t="str">
            <v>AEEP</v>
          </cell>
        </row>
        <row r="186">
          <cell r="A186" t="str">
            <v>AEEP</v>
          </cell>
        </row>
        <row r="187">
          <cell r="A187" t="str">
            <v>AEEP</v>
          </cell>
        </row>
        <row r="188">
          <cell r="A188" t="str">
            <v>AEEP</v>
          </cell>
        </row>
        <row r="189">
          <cell r="A189" t="str">
            <v>AEEP</v>
          </cell>
        </row>
        <row r="190">
          <cell r="A190" t="str">
            <v>AEEP</v>
          </cell>
        </row>
        <row r="191">
          <cell r="A191" t="str">
            <v>AEEP</v>
          </cell>
        </row>
        <row r="192">
          <cell r="A192" t="str">
            <v>AEEP</v>
          </cell>
        </row>
        <row r="193">
          <cell r="A193" t="str">
            <v>AEEP</v>
          </cell>
        </row>
        <row r="194">
          <cell r="A194" t="str">
            <v>AEEP</v>
          </cell>
        </row>
        <row r="195">
          <cell r="A195" t="str">
            <v>AEEP</v>
          </cell>
        </row>
        <row r="196">
          <cell r="A196" t="str">
            <v>AEEP</v>
          </cell>
        </row>
        <row r="197">
          <cell r="A197" t="str">
            <v>AEEP</v>
          </cell>
        </row>
        <row r="198">
          <cell r="A198" t="str">
            <v>AEEP</v>
          </cell>
        </row>
        <row r="199">
          <cell r="A199" t="str">
            <v>AEEP</v>
          </cell>
        </row>
        <row r="200">
          <cell r="A200" t="str">
            <v>AEEP</v>
          </cell>
        </row>
        <row r="201">
          <cell r="A201" t="str">
            <v>AEEP</v>
          </cell>
        </row>
        <row r="202">
          <cell r="A202" t="str">
            <v>AEEP</v>
          </cell>
        </row>
        <row r="203">
          <cell r="A203" t="str">
            <v>AEEP</v>
          </cell>
        </row>
        <row r="204">
          <cell r="A204" t="str">
            <v>AEEP</v>
          </cell>
        </row>
        <row r="205">
          <cell r="A205" t="str">
            <v>AEEP</v>
          </cell>
        </row>
        <row r="206">
          <cell r="A206" t="str">
            <v>AEEP</v>
          </cell>
        </row>
        <row r="207">
          <cell r="A207" t="str">
            <v>AEEP</v>
          </cell>
        </row>
        <row r="208">
          <cell r="A208" t="str">
            <v>AEEP</v>
          </cell>
        </row>
        <row r="209">
          <cell r="A209" t="str">
            <v>AEEP</v>
          </cell>
        </row>
        <row r="210">
          <cell r="A210" t="str">
            <v>AEEP</v>
          </cell>
        </row>
        <row r="211">
          <cell r="A211" t="str">
            <v>AEEP</v>
          </cell>
        </row>
        <row r="212">
          <cell r="A212" t="str">
            <v>AEEP</v>
          </cell>
        </row>
        <row r="213">
          <cell r="A213" t="str">
            <v>AEEP</v>
          </cell>
        </row>
        <row r="214">
          <cell r="A214" t="str">
            <v>AEEP</v>
          </cell>
        </row>
        <row r="215">
          <cell r="A215" t="str">
            <v>AEEP</v>
          </cell>
        </row>
        <row r="216">
          <cell r="A216" t="str">
            <v>AEEP</v>
          </cell>
        </row>
        <row r="217">
          <cell r="A217" t="str">
            <v>AEEP</v>
          </cell>
        </row>
        <row r="218">
          <cell r="A218" t="str">
            <v>AEEP</v>
          </cell>
        </row>
        <row r="219">
          <cell r="A219" t="str">
            <v>AEEP</v>
          </cell>
        </row>
        <row r="220">
          <cell r="A220" t="str">
            <v>AEEP</v>
          </cell>
        </row>
        <row r="221">
          <cell r="A221" t="str">
            <v>AEEP</v>
          </cell>
        </row>
        <row r="222">
          <cell r="A222" t="str">
            <v>AEEP</v>
          </cell>
        </row>
        <row r="223">
          <cell r="A223" t="str">
            <v>AEEP</v>
          </cell>
        </row>
        <row r="224">
          <cell r="A224" t="str">
            <v>AEEP</v>
          </cell>
        </row>
        <row r="225">
          <cell r="A225" t="str">
            <v>AEEP</v>
          </cell>
        </row>
        <row r="226">
          <cell r="A226" t="str">
            <v>AEEP</v>
          </cell>
        </row>
        <row r="227">
          <cell r="A227" t="str">
            <v>AEEP</v>
          </cell>
        </row>
        <row r="228">
          <cell r="A228" t="str">
            <v>AEEP</v>
          </cell>
        </row>
        <row r="229">
          <cell r="A229" t="str">
            <v>AEEP</v>
          </cell>
        </row>
        <row r="230">
          <cell r="A230" t="str">
            <v>AEEP</v>
          </cell>
        </row>
        <row r="231">
          <cell r="A231" t="str">
            <v>AEEP</v>
          </cell>
        </row>
        <row r="232">
          <cell r="A232" t="str">
            <v>AEEP</v>
          </cell>
        </row>
        <row r="233">
          <cell r="A233" t="str">
            <v>AEEP</v>
          </cell>
        </row>
        <row r="234">
          <cell r="A234" t="str">
            <v>AEEP</v>
          </cell>
        </row>
        <row r="235">
          <cell r="A235" t="str">
            <v>AEEP</v>
          </cell>
        </row>
        <row r="236">
          <cell r="A236" t="str">
            <v>AEEP</v>
          </cell>
        </row>
        <row r="237">
          <cell r="A237" t="str">
            <v>AEEP</v>
          </cell>
        </row>
        <row r="238">
          <cell r="A238" t="str">
            <v>AEEP</v>
          </cell>
        </row>
        <row r="239">
          <cell r="A239" t="str">
            <v>AEEP</v>
          </cell>
        </row>
        <row r="240">
          <cell r="A240" t="str">
            <v>AEEP</v>
          </cell>
        </row>
        <row r="241">
          <cell r="A241" t="str">
            <v>AEEP</v>
          </cell>
        </row>
        <row r="242">
          <cell r="A242" t="str">
            <v>AEEP</v>
          </cell>
        </row>
        <row r="243">
          <cell r="A243" t="str">
            <v>AEEP</v>
          </cell>
        </row>
        <row r="244">
          <cell r="A244" t="str">
            <v>AEEP</v>
          </cell>
        </row>
        <row r="245">
          <cell r="A245" t="str">
            <v>AEEP</v>
          </cell>
        </row>
        <row r="246">
          <cell r="A246" t="str">
            <v>AEEP</v>
          </cell>
        </row>
        <row r="247">
          <cell r="A247" t="str">
            <v>AEEP</v>
          </cell>
        </row>
        <row r="248">
          <cell r="A248" t="str">
            <v>AEEP</v>
          </cell>
        </row>
        <row r="249">
          <cell r="A249" t="str">
            <v>AEEP</v>
          </cell>
        </row>
        <row r="250">
          <cell r="A250" t="str">
            <v>AEEP</v>
          </cell>
        </row>
        <row r="251">
          <cell r="A251" t="str">
            <v>AEEP</v>
          </cell>
        </row>
        <row r="252">
          <cell r="A252" t="str">
            <v>AEEP</v>
          </cell>
        </row>
        <row r="253">
          <cell r="A253" t="str">
            <v>AEEP</v>
          </cell>
        </row>
        <row r="254">
          <cell r="A254" t="str">
            <v>AEEP</v>
          </cell>
        </row>
        <row r="255">
          <cell r="A255" t="str">
            <v>AEEP</v>
          </cell>
        </row>
        <row r="256">
          <cell r="A256" t="str">
            <v>AELO</v>
          </cell>
        </row>
        <row r="257">
          <cell r="A257" t="str">
            <v>AELO</v>
          </cell>
        </row>
        <row r="258">
          <cell r="A258" t="str">
            <v>AELO</v>
          </cell>
        </row>
        <row r="259">
          <cell r="A259" t="str">
            <v>AELO</v>
          </cell>
        </row>
        <row r="260">
          <cell r="A260" t="str">
            <v>AELO</v>
          </cell>
        </row>
        <row r="261">
          <cell r="A261" t="str">
            <v>AELO</v>
          </cell>
        </row>
        <row r="262">
          <cell r="A262" t="str">
            <v>AELO</v>
          </cell>
        </row>
        <row r="263">
          <cell r="A263" t="str">
            <v>AELO</v>
          </cell>
        </row>
        <row r="264">
          <cell r="A264" t="str">
            <v>AELO</v>
          </cell>
        </row>
        <row r="265">
          <cell r="A265" t="str">
            <v>AELO</v>
          </cell>
        </row>
        <row r="266">
          <cell r="A266" t="str">
            <v>AELO</v>
          </cell>
        </row>
        <row r="267">
          <cell r="A267" t="str">
            <v>AELO</v>
          </cell>
        </row>
        <row r="268">
          <cell r="A268" t="str">
            <v>AELO</v>
          </cell>
        </row>
        <row r="269">
          <cell r="A269" t="str">
            <v>AELO</v>
          </cell>
        </row>
        <row r="270">
          <cell r="A270" t="str">
            <v>AELO</v>
          </cell>
        </row>
        <row r="271">
          <cell r="A271" t="str">
            <v>AELO</v>
          </cell>
        </row>
        <row r="272">
          <cell r="A272" t="str">
            <v>AELO</v>
          </cell>
        </row>
        <row r="273">
          <cell r="A273" t="str">
            <v>AELO</v>
          </cell>
        </row>
        <row r="274">
          <cell r="A274" t="str">
            <v>AELO</v>
          </cell>
        </row>
        <row r="275">
          <cell r="A275" t="str">
            <v>AELO</v>
          </cell>
        </row>
        <row r="276">
          <cell r="A276" t="str">
            <v>AELO</v>
          </cell>
        </row>
        <row r="277">
          <cell r="A277" t="str">
            <v>AELO</v>
          </cell>
        </row>
        <row r="278">
          <cell r="A278" t="str">
            <v>AELO</v>
          </cell>
        </row>
        <row r="279">
          <cell r="A279" t="str">
            <v>AELO</v>
          </cell>
        </row>
        <row r="280">
          <cell r="A280" t="str">
            <v>AELO</v>
          </cell>
        </row>
        <row r="281">
          <cell r="A281" t="str">
            <v>AELO</v>
          </cell>
        </row>
        <row r="282">
          <cell r="A282" t="str">
            <v>AELO</v>
          </cell>
        </row>
        <row r="283">
          <cell r="A283" t="str">
            <v>AELO</v>
          </cell>
        </row>
        <row r="284">
          <cell r="A284" t="str">
            <v>AELO</v>
          </cell>
        </row>
        <row r="285">
          <cell r="A285" t="str">
            <v>AELO</v>
          </cell>
        </row>
        <row r="286">
          <cell r="A286" t="str">
            <v>AELO</v>
          </cell>
        </row>
        <row r="287">
          <cell r="A287" t="str">
            <v>AELO</v>
          </cell>
        </row>
        <row r="288">
          <cell r="A288" t="str">
            <v>AELO</v>
          </cell>
        </row>
        <row r="289">
          <cell r="A289" t="str">
            <v>AELO</v>
          </cell>
        </row>
        <row r="290">
          <cell r="A290" t="str">
            <v>AELO</v>
          </cell>
        </row>
        <row r="291">
          <cell r="A291" t="str">
            <v>AELO</v>
          </cell>
        </row>
        <row r="292">
          <cell r="A292" t="str">
            <v>AELO</v>
          </cell>
        </row>
        <row r="293">
          <cell r="A293" t="str">
            <v>AELO</v>
          </cell>
        </row>
        <row r="294">
          <cell r="A294" t="str">
            <v>AELO</v>
          </cell>
        </row>
        <row r="295">
          <cell r="A295" t="str">
            <v>AELO</v>
          </cell>
        </row>
        <row r="296">
          <cell r="A296" t="str">
            <v>AELO</v>
          </cell>
        </row>
        <row r="297">
          <cell r="A297" t="str">
            <v>AELO</v>
          </cell>
        </row>
        <row r="298">
          <cell r="A298" t="str">
            <v>AELO</v>
          </cell>
        </row>
        <row r="299">
          <cell r="A299" t="str">
            <v>AELO</v>
          </cell>
        </row>
        <row r="300">
          <cell r="A300" t="str">
            <v>AELO</v>
          </cell>
        </row>
        <row r="301">
          <cell r="A301" t="str">
            <v>AELO</v>
          </cell>
        </row>
        <row r="302">
          <cell r="A302" t="str">
            <v>AELO</v>
          </cell>
        </row>
        <row r="303">
          <cell r="A303" t="str">
            <v>AELO</v>
          </cell>
        </row>
        <row r="304">
          <cell r="A304" t="str">
            <v>AELO</v>
          </cell>
        </row>
        <row r="305">
          <cell r="A305" t="str">
            <v>AELO</v>
          </cell>
        </row>
        <row r="306">
          <cell r="A306" t="str">
            <v>AELO</v>
          </cell>
        </row>
        <row r="307">
          <cell r="A307" t="str">
            <v>AELO</v>
          </cell>
        </row>
        <row r="308">
          <cell r="A308" t="str">
            <v>AELO</v>
          </cell>
        </row>
        <row r="309">
          <cell r="A309" t="str">
            <v>AELO</v>
          </cell>
        </row>
        <row r="310">
          <cell r="A310" t="str">
            <v>AELO</v>
          </cell>
        </row>
        <row r="311">
          <cell r="A311" t="str">
            <v>AELO</v>
          </cell>
        </row>
        <row r="312">
          <cell r="A312" t="str">
            <v>AELO</v>
          </cell>
        </row>
        <row r="313">
          <cell r="A313" t="str">
            <v>AELO</v>
          </cell>
        </row>
        <row r="314">
          <cell r="A314" t="str">
            <v>AELO</v>
          </cell>
        </row>
        <row r="315">
          <cell r="A315" t="str">
            <v>AELO</v>
          </cell>
        </row>
        <row r="316">
          <cell r="A316" t="str">
            <v>AELO</v>
          </cell>
        </row>
        <row r="317">
          <cell r="A317" t="str">
            <v>AELO</v>
          </cell>
        </row>
        <row r="318">
          <cell r="A318" t="str">
            <v>AELO</v>
          </cell>
        </row>
        <row r="319">
          <cell r="A319" t="str">
            <v>AELO</v>
          </cell>
        </row>
        <row r="320">
          <cell r="A320" t="str">
            <v>AELO</v>
          </cell>
        </row>
        <row r="321">
          <cell r="A321" t="str">
            <v>AELO</v>
          </cell>
        </row>
        <row r="322">
          <cell r="A322" t="str">
            <v>AELO</v>
          </cell>
        </row>
        <row r="323">
          <cell r="A323" t="str">
            <v>AELO</v>
          </cell>
        </row>
        <row r="324">
          <cell r="A324" t="str">
            <v>AELO</v>
          </cell>
        </row>
        <row r="325">
          <cell r="A325" t="str">
            <v>AELO</v>
          </cell>
        </row>
        <row r="326">
          <cell r="A326" t="str">
            <v>AELO</v>
          </cell>
        </row>
        <row r="327">
          <cell r="A327" t="str">
            <v>AELO</v>
          </cell>
        </row>
        <row r="328">
          <cell r="A328" t="str">
            <v>AELO</v>
          </cell>
        </row>
        <row r="329">
          <cell r="A329" t="str">
            <v>AELO</v>
          </cell>
        </row>
        <row r="330">
          <cell r="A330" t="str">
            <v>AELO</v>
          </cell>
        </row>
        <row r="331">
          <cell r="A331" t="str">
            <v>AELO</v>
          </cell>
        </row>
        <row r="332">
          <cell r="A332" t="str">
            <v>AELO</v>
          </cell>
        </row>
        <row r="333">
          <cell r="A333" t="str">
            <v>AELO</v>
          </cell>
        </row>
        <row r="334">
          <cell r="A334" t="str">
            <v>AELO</v>
          </cell>
        </row>
        <row r="335">
          <cell r="A335" t="str">
            <v>AELO</v>
          </cell>
        </row>
        <row r="336">
          <cell r="A336" t="str">
            <v>AELO</v>
          </cell>
        </row>
        <row r="337">
          <cell r="A337" t="str">
            <v>AELO</v>
          </cell>
        </row>
        <row r="338">
          <cell r="A338" t="str">
            <v>AELO</v>
          </cell>
        </row>
        <row r="339">
          <cell r="A339" t="str">
            <v>AELO</v>
          </cell>
        </row>
        <row r="340">
          <cell r="A340" t="str">
            <v>AELO</v>
          </cell>
        </row>
        <row r="341">
          <cell r="A341" t="str">
            <v>AELO</v>
          </cell>
        </row>
        <row r="342">
          <cell r="A342" t="str">
            <v>AELO</v>
          </cell>
        </row>
        <row r="343">
          <cell r="A343" t="str">
            <v>AELO</v>
          </cell>
        </row>
        <row r="344">
          <cell r="A344" t="str">
            <v>AELO</v>
          </cell>
        </row>
        <row r="345">
          <cell r="A345" t="str">
            <v>AELO</v>
          </cell>
        </row>
        <row r="346">
          <cell r="A346" t="str">
            <v>AELO</v>
          </cell>
        </row>
        <row r="347">
          <cell r="A347" t="str">
            <v>AELO</v>
          </cell>
        </row>
        <row r="348">
          <cell r="A348" t="str">
            <v>AELO</v>
          </cell>
        </row>
        <row r="349">
          <cell r="A349" t="str">
            <v>AELO</v>
          </cell>
        </row>
        <row r="350">
          <cell r="A350" t="str">
            <v>AELO</v>
          </cell>
        </row>
        <row r="351">
          <cell r="A351" t="str">
            <v>AELO</v>
          </cell>
        </row>
        <row r="352">
          <cell r="A352" t="str">
            <v>AELO</v>
          </cell>
        </row>
        <row r="353">
          <cell r="A353" t="str">
            <v>AELO</v>
          </cell>
        </row>
        <row r="354">
          <cell r="A354" t="str">
            <v>AELO</v>
          </cell>
        </row>
        <row r="355">
          <cell r="A355" t="str">
            <v>AELO</v>
          </cell>
        </row>
        <row r="356">
          <cell r="A356" t="str">
            <v>AELO</v>
          </cell>
        </row>
        <row r="357">
          <cell r="A357" t="str">
            <v>AELO</v>
          </cell>
        </row>
        <row r="358">
          <cell r="A358" t="str">
            <v>AELO</v>
          </cell>
        </row>
        <row r="359">
          <cell r="A359" t="str">
            <v>AELO</v>
          </cell>
        </row>
        <row r="360">
          <cell r="A360" t="str">
            <v>AELO</v>
          </cell>
        </row>
        <row r="361">
          <cell r="A361" t="str">
            <v>AELO</v>
          </cell>
        </row>
        <row r="362">
          <cell r="A362" t="str">
            <v>AELO</v>
          </cell>
        </row>
        <row r="363">
          <cell r="A363" t="str">
            <v>AELO</v>
          </cell>
        </row>
        <row r="364">
          <cell r="A364" t="str">
            <v>AELO</v>
          </cell>
        </row>
        <row r="365">
          <cell r="A365" t="str">
            <v>AELO</v>
          </cell>
        </row>
        <row r="366">
          <cell r="A366" t="str">
            <v>AELO</v>
          </cell>
        </row>
        <row r="367">
          <cell r="A367" t="str">
            <v>AELO</v>
          </cell>
        </row>
        <row r="368">
          <cell r="A368" t="str">
            <v>AELO</v>
          </cell>
        </row>
        <row r="369">
          <cell r="A369" t="str">
            <v>AELO</v>
          </cell>
        </row>
        <row r="370">
          <cell r="A370" t="str">
            <v>AELO</v>
          </cell>
        </row>
        <row r="371">
          <cell r="A371" t="str">
            <v>AELO</v>
          </cell>
        </row>
        <row r="372">
          <cell r="A372" t="str">
            <v>AELO</v>
          </cell>
        </row>
        <row r="373">
          <cell r="A373" t="str">
            <v>AELO</v>
          </cell>
        </row>
        <row r="374">
          <cell r="A374" t="str">
            <v>AELO</v>
          </cell>
        </row>
        <row r="375">
          <cell r="A375" t="str">
            <v>AEME</v>
          </cell>
        </row>
        <row r="376">
          <cell r="A376" t="str">
            <v>AEME</v>
          </cell>
        </row>
        <row r="377">
          <cell r="A377" t="str">
            <v>AEME</v>
          </cell>
        </row>
        <row r="378">
          <cell r="A378" t="str">
            <v>AEME</v>
          </cell>
        </row>
        <row r="379">
          <cell r="A379" t="str">
            <v>AEME</v>
          </cell>
        </row>
        <row r="380">
          <cell r="A380" t="str">
            <v>AEME</v>
          </cell>
        </row>
        <row r="381">
          <cell r="A381" t="str">
            <v>AEME</v>
          </cell>
        </row>
        <row r="382">
          <cell r="A382" t="str">
            <v>AEME</v>
          </cell>
        </row>
        <row r="383">
          <cell r="A383" t="str">
            <v>AEME</v>
          </cell>
        </row>
        <row r="384">
          <cell r="A384" t="str">
            <v>AEME</v>
          </cell>
        </row>
        <row r="385">
          <cell r="A385" t="str">
            <v>AEME</v>
          </cell>
        </row>
        <row r="386">
          <cell r="A386" t="str">
            <v>AEME</v>
          </cell>
        </row>
        <row r="387">
          <cell r="A387" t="str">
            <v>AEME</v>
          </cell>
        </row>
        <row r="388">
          <cell r="A388" t="str">
            <v>AEME</v>
          </cell>
        </row>
        <row r="389">
          <cell r="A389" t="str">
            <v>AEME</v>
          </cell>
        </row>
        <row r="390">
          <cell r="A390" t="str">
            <v>AEME</v>
          </cell>
        </row>
        <row r="391">
          <cell r="A391" t="str">
            <v>AEME</v>
          </cell>
        </row>
        <row r="392">
          <cell r="A392" t="str">
            <v>AEME</v>
          </cell>
        </row>
        <row r="393">
          <cell r="A393" t="str">
            <v>AEME</v>
          </cell>
        </row>
        <row r="394">
          <cell r="A394" t="str">
            <v>AEME</v>
          </cell>
        </row>
        <row r="395">
          <cell r="A395" t="str">
            <v>AEME</v>
          </cell>
        </row>
        <row r="396">
          <cell r="A396" t="str">
            <v>AEME</v>
          </cell>
        </row>
        <row r="397">
          <cell r="A397" t="str">
            <v>AEME</v>
          </cell>
        </row>
        <row r="398">
          <cell r="A398" t="str">
            <v>AEME</v>
          </cell>
        </row>
        <row r="399">
          <cell r="A399" t="str">
            <v>AEME</v>
          </cell>
        </row>
        <row r="400">
          <cell r="A400" t="str">
            <v>AEME</v>
          </cell>
        </row>
        <row r="401">
          <cell r="A401" t="str">
            <v>AEME</v>
          </cell>
        </row>
        <row r="402">
          <cell r="A402" t="str">
            <v>AEME</v>
          </cell>
        </row>
        <row r="403">
          <cell r="A403" t="str">
            <v>MD CERM</v>
          </cell>
        </row>
        <row r="404">
          <cell r="A404" t="str">
            <v>MD CERM</v>
          </cell>
        </row>
        <row r="405">
          <cell r="A405" t="str">
            <v>MD CERM</v>
          </cell>
        </row>
        <row r="406">
          <cell r="A406" t="str">
            <v>MD CERM</v>
          </cell>
        </row>
        <row r="407">
          <cell r="A407" t="str">
            <v>MD CERM</v>
          </cell>
        </row>
        <row r="408">
          <cell r="A408" t="str">
            <v>MD CERM</v>
          </cell>
        </row>
        <row r="409">
          <cell r="A409" t="str">
            <v>MD CERM</v>
          </cell>
        </row>
        <row r="410">
          <cell r="A410" t="str">
            <v>MD CERM</v>
          </cell>
        </row>
        <row r="411">
          <cell r="A411" t="str">
            <v>MD CERM</v>
          </cell>
        </row>
        <row r="412">
          <cell r="A412" t="str">
            <v>MD CERM</v>
          </cell>
        </row>
        <row r="413">
          <cell r="A413" t="str">
            <v>MD CERM</v>
          </cell>
        </row>
        <row r="414">
          <cell r="A414" t="str">
            <v>MD CERM</v>
          </cell>
        </row>
        <row r="415">
          <cell r="A415" t="str">
            <v>MD CERM</v>
          </cell>
        </row>
        <row r="416">
          <cell r="A416" t="str">
            <v>MD CERM</v>
          </cell>
        </row>
        <row r="417">
          <cell r="A417" t="str">
            <v>MD CERM</v>
          </cell>
        </row>
        <row r="418">
          <cell r="A418" t="str">
            <v>MD CERM</v>
          </cell>
        </row>
        <row r="419">
          <cell r="A419" t="str">
            <v>MD CERM</v>
          </cell>
        </row>
        <row r="420">
          <cell r="A420" t="str">
            <v>MD CERM</v>
          </cell>
        </row>
        <row r="421">
          <cell r="A421" t="str">
            <v>MD CERM</v>
          </cell>
        </row>
        <row r="422">
          <cell r="A422" t="str">
            <v>MD CERM</v>
          </cell>
        </row>
        <row r="423">
          <cell r="A423" t="str">
            <v>MD CERM</v>
          </cell>
        </row>
        <row r="424">
          <cell r="A424" t="str">
            <v>MD CERM</v>
          </cell>
        </row>
        <row r="425">
          <cell r="A425" t="str">
            <v>MD CERM</v>
          </cell>
        </row>
        <row r="426">
          <cell r="A426" t="str">
            <v>MD CERM</v>
          </cell>
        </row>
        <row r="427">
          <cell r="A427" t="str">
            <v>MD CERM</v>
          </cell>
        </row>
        <row r="428">
          <cell r="A428" t="str">
            <v>MD CERM</v>
          </cell>
        </row>
        <row r="429">
          <cell r="A429" t="str">
            <v>MD CERM</v>
          </cell>
        </row>
        <row r="430">
          <cell r="A430" t="str">
            <v>MD CERM</v>
          </cell>
        </row>
        <row r="431">
          <cell r="A431" t="str">
            <v>MD CERM</v>
          </cell>
        </row>
        <row r="432">
          <cell r="A432" t="str">
            <v>MD CERM</v>
          </cell>
        </row>
        <row r="433">
          <cell r="A433" t="str">
            <v>MD CERM</v>
          </cell>
        </row>
        <row r="434">
          <cell r="A434" t="str">
            <v>MD CERM</v>
          </cell>
        </row>
        <row r="435">
          <cell r="A435" t="str">
            <v>MD CERM</v>
          </cell>
        </row>
        <row r="436">
          <cell r="A436" t="str">
            <v>MD CERM</v>
          </cell>
        </row>
        <row r="437">
          <cell r="A437" t="str">
            <v>MD CERM</v>
          </cell>
        </row>
        <row r="438">
          <cell r="A438" t="str">
            <v>MD CERM</v>
          </cell>
        </row>
        <row r="439">
          <cell r="A439" t="str">
            <v>MD CERM</v>
          </cell>
        </row>
        <row r="440">
          <cell r="A440" t="str">
            <v>MD CERM</v>
          </cell>
        </row>
        <row r="441">
          <cell r="A441" t="str">
            <v>MD CERM</v>
          </cell>
        </row>
        <row r="442">
          <cell r="A442" t="str">
            <v>MD CERM</v>
          </cell>
        </row>
        <row r="443">
          <cell r="A443" t="str">
            <v>MD CERM</v>
          </cell>
        </row>
        <row r="444">
          <cell r="A444" t="str">
            <v>MD CERM</v>
          </cell>
        </row>
        <row r="445">
          <cell r="A445" t="str">
            <v>MD CERM</v>
          </cell>
        </row>
        <row r="446">
          <cell r="A446" t="str">
            <v>MD CERM</v>
          </cell>
        </row>
        <row r="447">
          <cell r="A447" t="str">
            <v>MD CERM</v>
          </cell>
        </row>
        <row r="448">
          <cell r="A448" t="str">
            <v>MD CERM</v>
          </cell>
        </row>
        <row r="449">
          <cell r="A449" t="str">
            <v>MD CERM</v>
          </cell>
        </row>
        <row r="450">
          <cell r="A450" t="str">
            <v>MD CERM</v>
          </cell>
        </row>
        <row r="451">
          <cell r="A451" t="str">
            <v>MD CERM</v>
          </cell>
        </row>
        <row r="452">
          <cell r="A452" t="str">
            <v>MD CERM</v>
          </cell>
        </row>
        <row r="453">
          <cell r="A453" t="str">
            <v>MD CERM</v>
          </cell>
        </row>
        <row r="454">
          <cell r="A454" t="str">
            <v>MD CERM</v>
          </cell>
        </row>
        <row r="455">
          <cell r="A455" t="str">
            <v>MD CERM</v>
          </cell>
        </row>
        <row r="456">
          <cell r="A456" t="str">
            <v>MD CERM</v>
          </cell>
        </row>
        <row r="457">
          <cell r="A457" t="str">
            <v>MD CERM</v>
          </cell>
        </row>
        <row r="458">
          <cell r="A458" t="str">
            <v>MD CERM</v>
          </cell>
        </row>
        <row r="459">
          <cell r="A459" t="str">
            <v>MD CERM</v>
          </cell>
        </row>
        <row r="460">
          <cell r="A460" t="str">
            <v>MD CERM</v>
          </cell>
        </row>
        <row r="461">
          <cell r="A461" t="str">
            <v>MD CERM</v>
          </cell>
        </row>
        <row r="462">
          <cell r="A462" t="str">
            <v>MD CERM</v>
          </cell>
        </row>
        <row r="463">
          <cell r="A463" t="str">
            <v>MD CERM</v>
          </cell>
        </row>
        <row r="464">
          <cell r="A464" t="str">
            <v>MD CERM</v>
          </cell>
        </row>
        <row r="465">
          <cell r="A465" t="str">
            <v>MD CERM</v>
          </cell>
        </row>
        <row r="466">
          <cell r="A466" t="str">
            <v>MD CERM</v>
          </cell>
        </row>
        <row r="467">
          <cell r="A467" t="str">
            <v>MD CERM</v>
          </cell>
        </row>
        <row r="468">
          <cell r="A468" t="str">
            <v>MD CERM</v>
          </cell>
        </row>
        <row r="469">
          <cell r="A469" t="str">
            <v>MD CERM</v>
          </cell>
        </row>
        <row r="470">
          <cell r="A470" t="str">
            <v>MD CERM</v>
          </cell>
        </row>
        <row r="471">
          <cell r="A471" t="str">
            <v>MD CERM</v>
          </cell>
        </row>
        <row r="472">
          <cell r="A472" t="str">
            <v>MD CERM</v>
          </cell>
        </row>
        <row r="473">
          <cell r="A473" t="str">
            <v>MD CERM</v>
          </cell>
        </row>
        <row r="474">
          <cell r="A474" t="str">
            <v>MD CERM</v>
          </cell>
        </row>
        <row r="475">
          <cell r="A475" t="str">
            <v>MD CERM</v>
          </cell>
        </row>
        <row r="476">
          <cell r="A476" t="str">
            <v>MD CERM</v>
          </cell>
        </row>
        <row r="477">
          <cell r="A477" t="str">
            <v>MD CERM</v>
          </cell>
        </row>
        <row r="478">
          <cell r="A478" t="str">
            <v>MD CERM</v>
          </cell>
        </row>
        <row r="479">
          <cell r="A479" t="str">
            <v>MD CERM</v>
          </cell>
        </row>
        <row r="480">
          <cell r="A480" t="str">
            <v>MD CERM</v>
          </cell>
        </row>
        <row r="481">
          <cell r="A481" t="str">
            <v>MD CERM</v>
          </cell>
        </row>
        <row r="482">
          <cell r="A482" t="str">
            <v>MD CERM</v>
          </cell>
        </row>
        <row r="483">
          <cell r="A483" t="str">
            <v>MD CERM</v>
          </cell>
        </row>
        <row r="484">
          <cell r="A484" t="str">
            <v>MD CERM</v>
          </cell>
        </row>
        <row r="485">
          <cell r="A485" t="str">
            <v>MD CERM</v>
          </cell>
        </row>
        <row r="486">
          <cell r="A486" t="str">
            <v>MD CERM</v>
          </cell>
        </row>
        <row r="487">
          <cell r="A487" t="str">
            <v>MD CERM</v>
          </cell>
        </row>
        <row r="488">
          <cell r="A488" t="str">
            <v>MD CERM</v>
          </cell>
        </row>
        <row r="489">
          <cell r="A489" t="str">
            <v>MD CERM</v>
          </cell>
        </row>
        <row r="490">
          <cell r="A490" t="str">
            <v>MD CERM</v>
          </cell>
        </row>
        <row r="491">
          <cell r="A491" t="str">
            <v>MD CERM</v>
          </cell>
        </row>
        <row r="492">
          <cell r="A492" t="str">
            <v>MD CERM</v>
          </cell>
        </row>
        <row r="493">
          <cell r="A493" t="str">
            <v>MD CERM</v>
          </cell>
        </row>
        <row r="494">
          <cell r="A494" t="str">
            <v>MD CERM</v>
          </cell>
        </row>
        <row r="495">
          <cell r="A495" t="str">
            <v>MD CERM</v>
          </cell>
        </row>
        <row r="496">
          <cell r="A496" t="str">
            <v>MD CERM</v>
          </cell>
        </row>
        <row r="497">
          <cell r="A497" t="str">
            <v>MD CERM</v>
          </cell>
        </row>
        <row r="498">
          <cell r="A498" t="str">
            <v>MD CERM</v>
          </cell>
        </row>
        <row r="499">
          <cell r="A499" t="str">
            <v>MD CERM</v>
          </cell>
        </row>
        <row r="500">
          <cell r="A500" t="str">
            <v>MD CERM</v>
          </cell>
        </row>
        <row r="501">
          <cell r="A501" t="str">
            <v>MD CERM</v>
          </cell>
        </row>
        <row r="502">
          <cell r="A502" t="str">
            <v>MD CERM</v>
          </cell>
        </row>
        <row r="503">
          <cell r="A503" t="str">
            <v>MD CERM</v>
          </cell>
        </row>
        <row r="504">
          <cell r="A504" t="str">
            <v>MD CERM</v>
          </cell>
        </row>
        <row r="505">
          <cell r="A505" t="str">
            <v>MD CERM</v>
          </cell>
        </row>
        <row r="506">
          <cell r="A506" t="str">
            <v>MD CERM</v>
          </cell>
        </row>
        <row r="507">
          <cell r="A507" t="str">
            <v>MD CERM</v>
          </cell>
        </row>
        <row r="508">
          <cell r="A508" t="str">
            <v>MD CERM</v>
          </cell>
        </row>
        <row r="509">
          <cell r="A509" t="str">
            <v>MD CERM</v>
          </cell>
        </row>
        <row r="510">
          <cell r="A510" t="str">
            <v>MD CERM</v>
          </cell>
        </row>
        <row r="511">
          <cell r="A511" t="str">
            <v>MD CERM</v>
          </cell>
        </row>
        <row r="512">
          <cell r="A512" t="str">
            <v>MD CERM</v>
          </cell>
        </row>
        <row r="513">
          <cell r="A513" t="str">
            <v>MD CERM</v>
          </cell>
        </row>
        <row r="514">
          <cell r="A514" t="str">
            <v>MD CERM</v>
          </cell>
        </row>
        <row r="515">
          <cell r="A515" t="str">
            <v>MD CERM</v>
          </cell>
        </row>
        <row r="516">
          <cell r="A516" t="str">
            <v>MD CERM</v>
          </cell>
        </row>
        <row r="517">
          <cell r="A517" t="str">
            <v>MD CERM</v>
          </cell>
        </row>
        <row r="518">
          <cell r="A518" t="str">
            <v>MD CERM</v>
          </cell>
        </row>
        <row r="519">
          <cell r="A519" t="str">
            <v>MD CERM</v>
          </cell>
        </row>
        <row r="520">
          <cell r="A520" t="str">
            <v>MD CERM</v>
          </cell>
        </row>
        <row r="521">
          <cell r="A521" t="str">
            <v>MD CERM</v>
          </cell>
        </row>
        <row r="522">
          <cell r="A522" t="str">
            <v>MD CERM</v>
          </cell>
        </row>
        <row r="523">
          <cell r="A523" t="str">
            <v>MD CERM</v>
          </cell>
        </row>
        <row r="524">
          <cell r="A524" t="str">
            <v>AELI</v>
          </cell>
        </row>
        <row r="525">
          <cell r="A525" t="str">
            <v>AELI</v>
          </cell>
        </row>
        <row r="526">
          <cell r="A526" t="str">
            <v>AELI</v>
          </cell>
        </row>
        <row r="527">
          <cell r="A527" t="str">
            <v>AELI</v>
          </cell>
        </row>
        <row r="528">
          <cell r="A528" t="str">
            <v>AELI</v>
          </cell>
        </row>
        <row r="529">
          <cell r="A529" t="str">
            <v>AELI</v>
          </cell>
        </row>
        <row r="530">
          <cell r="A530" t="str">
            <v>AELI</v>
          </cell>
        </row>
        <row r="531">
          <cell r="A531" t="str">
            <v>AELI</v>
          </cell>
        </row>
        <row r="532">
          <cell r="A532" t="str">
            <v>AELI</v>
          </cell>
        </row>
        <row r="533">
          <cell r="A533" t="str">
            <v>AELI</v>
          </cell>
        </row>
        <row r="534">
          <cell r="A534" t="str">
            <v>AELI</v>
          </cell>
        </row>
        <row r="535">
          <cell r="A535" t="str">
            <v>AELI</v>
          </cell>
        </row>
        <row r="536">
          <cell r="A536" t="str">
            <v>AELI</v>
          </cell>
        </row>
        <row r="537">
          <cell r="A537" t="str">
            <v>AELI</v>
          </cell>
        </row>
        <row r="538">
          <cell r="A538" t="str">
            <v>AELI</v>
          </cell>
        </row>
        <row r="539">
          <cell r="A539" t="str">
            <v>AELI</v>
          </cell>
        </row>
        <row r="540">
          <cell r="A540" t="str">
            <v>AELI</v>
          </cell>
        </row>
        <row r="541">
          <cell r="A541" t="str">
            <v>AELI</v>
          </cell>
        </row>
        <row r="542">
          <cell r="A542" t="str">
            <v>AELI</v>
          </cell>
        </row>
        <row r="543">
          <cell r="A543" t="str">
            <v>AELI</v>
          </cell>
        </row>
        <row r="544">
          <cell r="A544" t="str">
            <v>AELI</v>
          </cell>
        </row>
        <row r="545">
          <cell r="A545" t="str">
            <v>AELI</v>
          </cell>
        </row>
        <row r="546">
          <cell r="A546" t="str">
            <v>AELI</v>
          </cell>
        </row>
        <row r="547">
          <cell r="A547" t="str">
            <v>AELI</v>
          </cell>
        </row>
        <row r="548">
          <cell r="A548" t="str">
            <v>AELI</v>
          </cell>
        </row>
        <row r="549">
          <cell r="A549" t="str">
            <v>AELI</v>
          </cell>
        </row>
        <row r="550">
          <cell r="A550" t="str">
            <v>AELI</v>
          </cell>
        </row>
        <row r="551">
          <cell r="A551" t="str">
            <v>AELI</v>
          </cell>
        </row>
        <row r="552">
          <cell r="A552" t="str">
            <v>AELI</v>
          </cell>
        </row>
        <row r="553">
          <cell r="A553" t="str">
            <v>AELI</v>
          </cell>
        </row>
        <row r="554">
          <cell r="A554" t="str">
            <v>AELI</v>
          </cell>
        </row>
        <row r="555">
          <cell r="A555" t="str">
            <v>AELI</v>
          </cell>
        </row>
        <row r="556">
          <cell r="A556" t="str">
            <v>AELI</v>
          </cell>
        </row>
        <row r="557">
          <cell r="A557" t="str">
            <v>AELI</v>
          </cell>
        </row>
        <row r="558">
          <cell r="A558" t="str">
            <v>AELI</v>
          </cell>
        </row>
        <row r="559">
          <cell r="A559" t="str">
            <v>AELI</v>
          </cell>
        </row>
        <row r="560">
          <cell r="A560" t="str">
            <v>AELI</v>
          </cell>
        </row>
        <row r="561">
          <cell r="A561" t="str">
            <v>AELI</v>
          </cell>
        </row>
        <row r="562">
          <cell r="A562" t="str">
            <v>AELI</v>
          </cell>
        </row>
        <row r="563">
          <cell r="A563" t="str">
            <v>AELI</v>
          </cell>
        </row>
        <row r="564">
          <cell r="A564" t="str">
            <v>AELI</v>
          </cell>
        </row>
        <row r="565">
          <cell r="A565" t="str">
            <v>AELI</v>
          </cell>
        </row>
        <row r="566">
          <cell r="A566" t="str">
            <v>AELI</v>
          </cell>
        </row>
        <row r="567">
          <cell r="A567" t="str">
            <v>AELI</v>
          </cell>
        </row>
        <row r="568">
          <cell r="A568" t="str">
            <v>AELI</v>
          </cell>
        </row>
        <row r="569">
          <cell r="A569" t="str">
            <v>AELI</v>
          </cell>
        </row>
        <row r="570">
          <cell r="A570" t="str">
            <v>AELI</v>
          </cell>
        </row>
        <row r="571">
          <cell r="A571" t="str">
            <v>AELI</v>
          </cell>
        </row>
        <row r="572">
          <cell r="A572" t="str">
            <v>AELI</v>
          </cell>
        </row>
        <row r="573">
          <cell r="A573" t="str">
            <v>AELI</v>
          </cell>
        </row>
        <row r="574">
          <cell r="A574" t="str">
            <v>AELI</v>
          </cell>
        </row>
        <row r="575">
          <cell r="A575" t="str">
            <v>AELI</v>
          </cell>
        </row>
        <row r="576">
          <cell r="A576" t="str">
            <v>AELI</v>
          </cell>
        </row>
        <row r="577">
          <cell r="A577" t="str">
            <v>AELI</v>
          </cell>
        </row>
        <row r="578">
          <cell r="A578" t="str">
            <v>AELI</v>
          </cell>
        </row>
        <row r="579">
          <cell r="A579" t="str">
            <v>AELI</v>
          </cell>
        </row>
        <row r="580">
          <cell r="A580" t="str">
            <v>AELI</v>
          </cell>
        </row>
        <row r="581">
          <cell r="A581" t="str">
            <v>AELI</v>
          </cell>
        </row>
        <row r="582">
          <cell r="A582" t="str">
            <v>AELI</v>
          </cell>
        </row>
        <row r="583">
          <cell r="A583" t="str">
            <v>AELI</v>
          </cell>
        </row>
        <row r="584">
          <cell r="A584" t="str">
            <v>AELI</v>
          </cell>
        </row>
        <row r="585">
          <cell r="A585" t="str">
            <v>AELI</v>
          </cell>
        </row>
        <row r="586">
          <cell r="A586" t="str">
            <v>AELI</v>
          </cell>
        </row>
        <row r="587">
          <cell r="A587" t="str">
            <v>AELI</v>
          </cell>
        </row>
        <row r="588">
          <cell r="A588" t="str">
            <v>AELI</v>
          </cell>
        </row>
        <row r="589">
          <cell r="A589" t="str">
            <v>AELI</v>
          </cell>
        </row>
        <row r="590">
          <cell r="A590" t="str">
            <v>AELI</v>
          </cell>
        </row>
        <row r="591">
          <cell r="A591" t="str">
            <v>AELI</v>
          </cell>
        </row>
        <row r="592">
          <cell r="A592" t="str">
            <v>AELI</v>
          </cell>
        </row>
        <row r="593">
          <cell r="A593" t="str">
            <v>AELI</v>
          </cell>
        </row>
        <row r="594">
          <cell r="A594" t="str">
            <v>AELI</v>
          </cell>
        </row>
        <row r="595">
          <cell r="A595" t="str">
            <v>AELI</v>
          </cell>
        </row>
        <row r="596">
          <cell r="A596" t="str">
            <v>AELI</v>
          </cell>
        </row>
        <row r="597">
          <cell r="A597" t="str">
            <v>AELI</v>
          </cell>
        </row>
        <row r="598">
          <cell r="A598" t="str">
            <v>AELI</v>
          </cell>
        </row>
        <row r="599">
          <cell r="A599" t="str">
            <v>AELI</v>
          </cell>
        </row>
        <row r="600">
          <cell r="A600" t="str">
            <v>AELI</v>
          </cell>
        </row>
        <row r="601">
          <cell r="A601" t="str">
            <v>AELI</v>
          </cell>
        </row>
        <row r="602">
          <cell r="A602" t="str">
            <v>AELI</v>
          </cell>
        </row>
        <row r="603">
          <cell r="A603" t="str">
            <v>AELI</v>
          </cell>
        </row>
        <row r="604">
          <cell r="A604" t="str">
            <v>AELI</v>
          </cell>
        </row>
        <row r="605">
          <cell r="A605" t="str">
            <v>AELI</v>
          </cell>
        </row>
        <row r="606">
          <cell r="A606" t="str">
            <v>AELI</v>
          </cell>
        </row>
        <row r="607">
          <cell r="A607" t="str">
            <v>AELI</v>
          </cell>
        </row>
        <row r="608">
          <cell r="A608" t="str">
            <v>AELI</v>
          </cell>
        </row>
        <row r="609">
          <cell r="A609" t="str">
            <v>AELI</v>
          </cell>
        </row>
        <row r="610">
          <cell r="A610" t="str">
            <v>AELI</v>
          </cell>
        </row>
        <row r="611">
          <cell r="A611" t="str">
            <v>AELI</v>
          </cell>
        </row>
        <row r="612">
          <cell r="A612" t="str">
            <v>AELI</v>
          </cell>
        </row>
        <row r="613">
          <cell r="A613" t="str">
            <v>AELI</v>
          </cell>
        </row>
        <row r="614">
          <cell r="A614" t="str">
            <v>AELI</v>
          </cell>
        </row>
        <row r="615">
          <cell r="A615" t="str">
            <v>AELI</v>
          </cell>
        </row>
        <row r="616">
          <cell r="A616" t="str">
            <v>AELI</v>
          </cell>
        </row>
        <row r="617">
          <cell r="A617" t="str">
            <v>AELI</v>
          </cell>
        </row>
        <row r="618">
          <cell r="A618" t="str">
            <v>AELI</v>
          </cell>
        </row>
        <row r="619">
          <cell r="A619" t="str">
            <v>AELI</v>
          </cell>
        </row>
        <row r="620">
          <cell r="A620" t="str">
            <v>AELI</v>
          </cell>
        </row>
        <row r="621">
          <cell r="A621" t="str">
            <v>AELI</v>
          </cell>
        </row>
        <row r="622">
          <cell r="A622" t="str">
            <v>AELI</v>
          </cell>
        </row>
        <row r="623">
          <cell r="A623" t="str">
            <v>AELI</v>
          </cell>
        </row>
        <row r="624">
          <cell r="A624" t="str">
            <v>AELI</v>
          </cell>
        </row>
        <row r="625">
          <cell r="A625" t="str">
            <v>AELI</v>
          </cell>
        </row>
        <row r="626">
          <cell r="A626" t="str">
            <v>AELI</v>
          </cell>
        </row>
        <row r="627">
          <cell r="A627" t="str">
            <v>AELI</v>
          </cell>
        </row>
        <row r="628">
          <cell r="A628" t="str">
            <v>AELI</v>
          </cell>
        </row>
        <row r="629">
          <cell r="A629" t="str">
            <v>AELI</v>
          </cell>
        </row>
        <row r="630">
          <cell r="A630" t="str">
            <v>AELI</v>
          </cell>
        </row>
        <row r="631">
          <cell r="A631" t="str">
            <v>AELI</v>
          </cell>
        </row>
        <row r="632">
          <cell r="A632" t="str">
            <v>AELI</v>
          </cell>
        </row>
        <row r="633">
          <cell r="A633" t="str">
            <v>AELI</v>
          </cell>
        </row>
        <row r="634">
          <cell r="A634" t="str">
            <v>AELI</v>
          </cell>
        </row>
        <row r="635">
          <cell r="A635" t="str">
            <v>AELI</v>
          </cell>
        </row>
        <row r="636">
          <cell r="A636" t="str">
            <v>AELI</v>
          </cell>
        </row>
        <row r="637">
          <cell r="A637" t="str">
            <v>AELI</v>
          </cell>
        </row>
        <row r="638">
          <cell r="A638" t="str">
            <v>AELI</v>
          </cell>
        </row>
        <row r="639">
          <cell r="A639" t="str">
            <v>AELI</v>
          </cell>
        </row>
        <row r="640">
          <cell r="A640" t="str">
            <v>AELI</v>
          </cell>
        </row>
      </sheetData>
      <sheetData sheetId="10">
        <row r="4">
          <cell r="E4" t="str">
            <v>Coton blanc</v>
          </cell>
          <cell r="F4" t="str">
            <v>Permanent</v>
          </cell>
          <cell r="G4" t="str">
            <v>Coton blancPermanent</v>
          </cell>
          <cell r="H4" t="str">
            <v>Glassine</v>
          </cell>
          <cell r="W4" t="str">
            <v>Argent Mat</v>
          </cell>
        </row>
        <row r="5">
          <cell r="E5" t="str">
            <v>Coton blanc</v>
          </cell>
          <cell r="F5" t="str">
            <v>Permanent</v>
          </cell>
          <cell r="G5" t="str">
            <v>Coton blancPermanent</v>
          </cell>
          <cell r="H5" t="str">
            <v>PET</v>
          </cell>
          <cell r="W5" t="str">
            <v>Argent Métalisé</v>
          </cell>
        </row>
        <row r="6">
          <cell r="E6" t="str">
            <v>Coton extra blanc</v>
          </cell>
          <cell r="F6" t="str">
            <v>Permanent</v>
          </cell>
          <cell r="G6" t="str">
            <v>Coton extra blancPermanent</v>
          </cell>
          <cell r="H6" t="str">
            <v>Glassine</v>
          </cell>
          <cell r="W6" t="str">
            <v>Argent Satiné</v>
          </cell>
        </row>
        <row r="7">
          <cell r="E7" t="str">
            <v>Couché Satiné</v>
          </cell>
          <cell r="F7" t="str">
            <v>Lavable</v>
          </cell>
          <cell r="G7" t="str">
            <v>Couché SatinéLavable</v>
          </cell>
          <cell r="H7" t="str">
            <v>Glassine</v>
          </cell>
          <cell r="W7" t="str">
            <v>Bleu</v>
          </cell>
        </row>
        <row r="8">
          <cell r="E8" t="str">
            <v>Couché Satiné</v>
          </cell>
          <cell r="F8" t="str">
            <v>Permanent</v>
          </cell>
          <cell r="G8" t="str">
            <v>Couché SatinéPermanent</v>
          </cell>
          <cell r="H8" t="str">
            <v>PET</v>
          </cell>
          <cell r="W8" t="str">
            <v>Bronze Métalisé</v>
          </cell>
        </row>
        <row r="9">
          <cell r="E9" t="str">
            <v>Couché Satiné</v>
          </cell>
          <cell r="F9" t="str">
            <v>Renforcé</v>
          </cell>
          <cell r="G9" t="str">
            <v>Couché SatinéRenforcé</v>
          </cell>
          <cell r="H9" t="str">
            <v>Glassine</v>
          </cell>
          <cell r="W9" t="str">
            <v>Cuivre Clair</v>
          </cell>
        </row>
        <row r="10">
          <cell r="E10" t="str">
            <v>Couché Satiné</v>
          </cell>
          <cell r="F10" t="str">
            <v>Permanent</v>
          </cell>
          <cell r="G10" t="str">
            <v>Couché SatinéPermanent</v>
          </cell>
          <cell r="H10" t="str">
            <v>Glassine</v>
          </cell>
          <cell r="W10" t="str">
            <v>Cuivre Mat</v>
          </cell>
        </row>
        <row r="11">
          <cell r="E11" t="str">
            <v>Couché Chrome</v>
          </cell>
          <cell r="F11" t="str">
            <v>Lavable</v>
          </cell>
          <cell r="G11" t="str">
            <v>Couché ChromeLavable</v>
          </cell>
          <cell r="H11" t="str">
            <v>Glassine</v>
          </cell>
          <cell r="W11" t="str">
            <v>Noir</v>
          </cell>
        </row>
        <row r="12">
          <cell r="E12" t="str">
            <v>Couché Chrome</v>
          </cell>
          <cell r="F12" t="str">
            <v>Permanent</v>
          </cell>
          <cell r="G12" t="str">
            <v>Couché ChromePermanent</v>
          </cell>
          <cell r="H12" t="str">
            <v>Glassine</v>
          </cell>
          <cell r="W12" t="str">
            <v>Noir Brillant</v>
          </cell>
        </row>
        <row r="13">
          <cell r="E13" t="str">
            <v>Couché Chrome</v>
          </cell>
          <cell r="F13" t="str">
            <v>Permanent</v>
          </cell>
          <cell r="G13" t="str">
            <v>Couché ChromePermanent</v>
          </cell>
          <cell r="H13" t="str">
            <v>PET</v>
          </cell>
          <cell r="W13" t="str">
            <v>Or Jaune Pâle</v>
          </cell>
        </row>
        <row r="14">
          <cell r="E14" t="str">
            <v>Couché mat</v>
          </cell>
          <cell r="F14" t="str">
            <v>Lavable</v>
          </cell>
          <cell r="G14" t="str">
            <v>Couché matLavable</v>
          </cell>
          <cell r="H14" t="str">
            <v>PET</v>
          </cell>
          <cell r="W14" t="str">
            <v>Or Standard</v>
          </cell>
        </row>
        <row r="15">
          <cell r="E15" t="str">
            <v>Couché mat</v>
          </cell>
          <cell r="F15" t="str">
            <v>Permanent</v>
          </cell>
          <cell r="G15" t="str">
            <v>Couché matPermanent</v>
          </cell>
          <cell r="H15" t="str">
            <v>Glassine</v>
          </cell>
          <cell r="W15" t="str">
            <v>Or Mat</v>
          </cell>
        </row>
        <row r="16">
          <cell r="E16" t="str">
            <v>Couché mat</v>
          </cell>
          <cell r="F16" t="str">
            <v>Permanent</v>
          </cell>
          <cell r="G16" t="str">
            <v>Couché matPermanent</v>
          </cell>
          <cell r="H16" t="str">
            <v>PET</v>
          </cell>
          <cell r="W16" t="str">
            <v>Or Mat Satiné</v>
          </cell>
        </row>
        <row r="17">
          <cell r="E17" t="str">
            <v>Couché mat</v>
          </cell>
          <cell r="F17" t="str">
            <v>Renforcé</v>
          </cell>
          <cell r="G17" t="str">
            <v>Couché matRenforcé</v>
          </cell>
          <cell r="H17" t="str">
            <v>Glassine</v>
          </cell>
          <cell r="W17" t="str">
            <v>Or Rosé</v>
          </cell>
        </row>
        <row r="18">
          <cell r="E18" t="str">
            <v>Frozen Orion Diamond</v>
          </cell>
          <cell r="F18" t="str">
            <v>Lavable</v>
          </cell>
          <cell r="G18" t="str">
            <v>Frozen Orion DiamondLavable</v>
          </cell>
          <cell r="H18" t="str">
            <v>Glassine</v>
          </cell>
          <cell r="W18" t="str">
            <v>Orange Brillant</v>
          </cell>
        </row>
        <row r="19">
          <cell r="E19" t="str">
            <v>Frozen Orion Diamond</v>
          </cell>
          <cell r="F19" t="str">
            <v>Permanent</v>
          </cell>
          <cell r="G19" t="str">
            <v>Frozen Orion DiamondPermanent</v>
          </cell>
          <cell r="H19" t="str">
            <v>Glassine</v>
          </cell>
          <cell r="W19" t="str">
            <v>Rose Fuschia</v>
          </cell>
        </row>
        <row r="20">
          <cell r="E20" t="str">
            <v>Sirio Pearl</v>
          </cell>
          <cell r="F20" t="str">
            <v>Permanent</v>
          </cell>
          <cell r="G20" t="str">
            <v>Sirio PearlPermanent</v>
          </cell>
          <cell r="H20" t="str">
            <v>Glassine</v>
          </cell>
          <cell r="W20" t="str">
            <v>Rouge</v>
          </cell>
        </row>
        <row r="21">
          <cell r="E21" t="str">
            <v>Sirio Pearl</v>
          </cell>
          <cell r="F21" t="str">
            <v>Permanent</v>
          </cell>
          <cell r="G21" t="str">
            <v>Sirio PearlPermanent</v>
          </cell>
          <cell r="H21" t="str">
            <v>PET</v>
          </cell>
          <cell r="W21" t="str">
            <v>Rouge Orangé</v>
          </cell>
        </row>
        <row r="22">
          <cell r="E22" t="str">
            <v>HGWINE P</v>
          </cell>
          <cell r="F22" t="str">
            <v>Permanent</v>
          </cell>
          <cell r="G22" t="str">
            <v>HGWINE PPermanent</v>
          </cell>
          <cell r="H22" t="str">
            <v>Glassine</v>
          </cell>
          <cell r="W22" t="str">
            <v>Vert</v>
          </cell>
        </row>
        <row r="23">
          <cell r="E23" t="str">
            <v>HGWINE P</v>
          </cell>
          <cell r="F23" t="str">
            <v>Permanent</v>
          </cell>
          <cell r="G23" t="str">
            <v>HGWINE PPermanent</v>
          </cell>
          <cell r="H23" t="str">
            <v>PET</v>
          </cell>
          <cell r="W23" t="str">
            <v>Violet</v>
          </cell>
        </row>
        <row r="24">
          <cell r="E24" t="str">
            <v>Velin Grain</v>
          </cell>
          <cell r="F24" t="str">
            <v>Lavable</v>
          </cell>
          <cell r="G24" t="str">
            <v>Velin GrainLavable</v>
          </cell>
          <cell r="H24" t="str">
            <v>Glassine</v>
          </cell>
        </row>
        <row r="25">
          <cell r="E25" t="str">
            <v>Velin Grain</v>
          </cell>
          <cell r="F25" t="str">
            <v>Lavable</v>
          </cell>
          <cell r="G25" t="str">
            <v>Velin GrainLavable</v>
          </cell>
          <cell r="H25" t="str">
            <v>PET</v>
          </cell>
        </row>
        <row r="26">
          <cell r="E26" t="str">
            <v>Velin Grain</v>
          </cell>
          <cell r="F26" t="str">
            <v>Permanent</v>
          </cell>
          <cell r="G26" t="str">
            <v>Velin GrainPermanent</v>
          </cell>
          <cell r="H26" t="str">
            <v>Glassine</v>
          </cell>
        </row>
        <row r="27">
          <cell r="E27" t="str">
            <v>Velin Grain</v>
          </cell>
          <cell r="F27" t="str">
            <v>Permanent</v>
          </cell>
          <cell r="G27" t="str">
            <v>Velin GrainPermanent</v>
          </cell>
          <cell r="H27" t="str">
            <v>PET</v>
          </cell>
        </row>
        <row r="28">
          <cell r="E28" t="str">
            <v>Velin Grain</v>
          </cell>
          <cell r="F28" t="str">
            <v>Renforcé</v>
          </cell>
          <cell r="G28" t="str">
            <v>Velin GrainRenforcé</v>
          </cell>
          <cell r="H28" t="str">
            <v>Glassine</v>
          </cell>
        </row>
        <row r="29">
          <cell r="E29" t="str">
            <v>Velin Grain Crème</v>
          </cell>
          <cell r="F29" t="str">
            <v>Permanent</v>
          </cell>
          <cell r="G29" t="str">
            <v>Velin Grain CrèmePermanent</v>
          </cell>
          <cell r="H29" t="str">
            <v>Glassine</v>
          </cell>
        </row>
        <row r="30">
          <cell r="E30" t="str">
            <v>Velin Grain Extra</v>
          </cell>
          <cell r="F30" t="str">
            <v>Permanent</v>
          </cell>
          <cell r="G30" t="str">
            <v>Velin Grain ExtraPermanent</v>
          </cell>
          <cell r="H30" t="str">
            <v>Glassine</v>
          </cell>
        </row>
        <row r="31">
          <cell r="E31" t="str">
            <v>Velin Grain Extra</v>
          </cell>
          <cell r="F31" t="str">
            <v>Permanent</v>
          </cell>
          <cell r="G31" t="str">
            <v>Velin Grain ExtraPermanent</v>
          </cell>
          <cell r="H31" t="str">
            <v>PET</v>
          </cell>
        </row>
        <row r="32">
          <cell r="E32" t="str">
            <v>Freelife MERIDA</v>
          </cell>
          <cell r="F32" t="str">
            <v>Permanent</v>
          </cell>
          <cell r="G32" t="str">
            <v>Freelife MERIDAPermanent</v>
          </cell>
          <cell r="H32" t="str">
            <v>Glassine</v>
          </cell>
        </row>
        <row r="33">
          <cell r="E33" t="str">
            <v>Martelé blanc</v>
          </cell>
          <cell r="F33" t="str">
            <v>Permanent</v>
          </cell>
          <cell r="G33" t="str">
            <v>Martelé blancPermanent</v>
          </cell>
          <cell r="H33" t="str">
            <v>Glassine</v>
          </cell>
        </row>
        <row r="34">
          <cell r="E34" t="str">
            <v>Martelé blanc</v>
          </cell>
          <cell r="F34" t="str">
            <v>Permanent</v>
          </cell>
          <cell r="G34" t="str">
            <v>Martelé blancPermanent</v>
          </cell>
          <cell r="H34" t="str">
            <v>PET</v>
          </cell>
        </row>
        <row r="35">
          <cell r="E35" t="str">
            <v>Martelé blanc</v>
          </cell>
          <cell r="F35" t="str">
            <v>Renforcé</v>
          </cell>
          <cell r="G35" t="str">
            <v>Martelé blancRenforcé</v>
          </cell>
          <cell r="H35" t="str">
            <v>Glassine</v>
          </cell>
        </row>
        <row r="36">
          <cell r="E36" t="str">
            <v>Métallisé Argent</v>
          </cell>
          <cell r="F36" t="str">
            <v>Permanent</v>
          </cell>
          <cell r="G36" t="str">
            <v>Métallisé ArgentPermanent</v>
          </cell>
          <cell r="H36" t="str">
            <v>Glassine</v>
          </cell>
        </row>
        <row r="37">
          <cell r="E37" t="str">
            <v>Métallisé Argent</v>
          </cell>
          <cell r="F37" t="str">
            <v>Renforcé</v>
          </cell>
          <cell r="G37" t="str">
            <v>Métallisé ArgentRenforcé</v>
          </cell>
          <cell r="H37" t="str">
            <v>Glassine</v>
          </cell>
        </row>
        <row r="38">
          <cell r="E38" t="str">
            <v>Velin Blanc</v>
          </cell>
          <cell r="F38" t="str">
            <v>Lavable</v>
          </cell>
          <cell r="G38" t="str">
            <v>Velin BlancLavable</v>
          </cell>
          <cell r="H38" t="str">
            <v>Glassine</v>
          </cell>
        </row>
        <row r="39">
          <cell r="E39" t="str">
            <v>Velin Blanc</v>
          </cell>
          <cell r="F39" t="str">
            <v>Lavable</v>
          </cell>
          <cell r="G39" t="str">
            <v>Velin BlancLavable</v>
          </cell>
          <cell r="H39" t="str">
            <v>PET</v>
          </cell>
        </row>
        <row r="40">
          <cell r="E40" t="str">
            <v>Velin Blanc</v>
          </cell>
          <cell r="F40" t="str">
            <v>Permanent</v>
          </cell>
          <cell r="G40" t="str">
            <v>Velin BlancPermanent</v>
          </cell>
          <cell r="H40" t="str">
            <v>Glassine</v>
          </cell>
        </row>
        <row r="41">
          <cell r="E41" t="str">
            <v>Velin Blanc</v>
          </cell>
          <cell r="F41" t="str">
            <v>Permanent</v>
          </cell>
          <cell r="G41" t="str">
            <v>Velin BlancPermanent</v>
          </cell>
          <cell r="H41" t="str">
            <v>PET</v>
          </cell>
        </row>
        <row r="42">
          <cell r="E42" t="str">
            <v>Velin Crème</v>
          </cell>
          <cell r="F42" t="str">
            <v>Lavable</v>
          </cell>
          <cell r="G42" t="str">
            <v>Velin CrèmeLavable</v>
          </cell>
          <cell r="H42" t="str">
            <v>Glassine</v>
          </cell>
        </row>
        <row r="43">
          <cell r="E43" t="str">
            <v>Velin Crème</v>
          </cell>
          <cell r="F43" t="str">
            <v>Permanent</v>
          </cell>
          <cell r="G43" t="str">
            <v>Velin CrèmePermanent</v>
          </cell>
          <cell r="H43" t="str">
            <v>Glassine</v>
          </cell>
        </row>
        <row r="44">
          <cell r="E44" t="str">
            <v>Velin Extra Blanc</v>
          </cell>
          <cell r="F44" t="str">
            <v>Permanent</v>
          </cell>
          <cell r="G44" t="str">
            <v>Velin Extra BlancPermanent</v>
          </cell>
          <cell r="H44" t="str">
            <v>Glassine</v>
          </cell>
        </row>
        <row r="45">
          <cell r="E45" t="str">
            <v>PE 150 Blanc</v>
          </cell>
          <cell r="F45" t="str">
            <v>Permanent</v>
          </cell>
          <cell r="G45" t="str">
            <v>PE 150 BlancPermanent</v>
          </cell>
          <cell r="H45" t="str">
            <v>Glassine</v>
          </cell>
        </row>
        <row r="46">
          <cell r="E46" t="str">
            <v>PE 150 Blanc</v>
          </cell>
          <cell r="F46" t="str">
            <v>Renforcé</v>
          </cell>
          <cell r="G46" t="str">
            <v>PE 150 BlancRenforcé</v>
          </cell>
          <cell r="H46" t="str">
            <v>Glassine</v>
          </cell>
        </row>
        <row r="47">
          <cell r="E47" t="str">
            <v>PE 85 Transparent</v>
          </cell>
          <cell r="F47" t="str">
            <v>Permanent</v>
          </cell>
          <cell r="G47" t="str">
            <v>PE 85 TransparentPermanent</v>
          </cell>
          <cell r="H47" t="str">
            <v>Glassine</v>
          </cell>
        </row>
        <row r="48">
          <cell r="E48" t="str">
            <v>PP 50 Blanc</v>
          </cell>
          <cell r="F48" t="str">
            <v>Lavable</v>
          </cell>
          <cell r="G48" t="str">
            <v>PP 50 BlancLavable</v>
          </cell>
          <cell r="H48" t="str">
            <v>Glassine</v>
          </cell>
        </row>
        <row r="49">
          <cell r="E49" t="str">
            <v>PP 50 Blanc</v>
          </cell>
          <cell r="F49" t="str">
            <v>Permanent</v>
          </cell>
          <cell r="G49" t="str">
            <v>PP 50 BlancPermanent</v>
          </cell>
          <cell r="H49" t="str">
            <v>Glassine</v>
          </cell>
        </row>
        <row r="50">
          <cell r="E50" t="str">
            <v>PP 60 Transparent</v>
          </cell>
          <cell r="F50" t="str">
            <v>Permanent</v>
          </cell>
          <cell r="G50" t="str">
            <v>PP 60 TransparentPermanent</v>
          </cell>
          <cell r="H50" t="str">
            <v>Glassine</v>
          </cell>
        </row>
        <row r="51">
          <cell r="E51" t="str">
            <v>PP 60 Blanc</v>
          </cell>
          <cell r="F51" t="str">
            <v>Permanent</v>
          </cell>
          <cell r="G51" t="str">
            <v>PP 60 BlancPermanent</v>
          </cell>
          <cell r="H51" t="str">
            <v>Glassine</v>
          </cell>
        </row>
        <row r="52">
          <cell r="E52" t="str">
            <v>PP 60 Transparent</v>
          </cell>
          <cell r="F52" t="str">
            <v>Permanent</v>
          </cell>
          <cell r="G52" t="str">
            <v>PP 60 TransparentPermanent</v>
          </cell>
          <cell r="H52" t="str">
            <v>PET</v>
          </cell>
        </row>
        <row r="53">
          <cell r="E53" t="str">
            <v>PP 60 Transparent</v>
          </cell>
          <cell r="F53" t="str">
            <v>Renforcé</v>
          </cell>
          <cell r="G53" t="str">
            <v>PP 60 TransparentRenforcé</v>
          </cell>
          <cell r="H53" t="str">
            <v>Glassine</v>
          </cell>
        </row>
        <row r="54">
          <cell r="E54" t="str">
            <v>PP 60 Blanc</v>
          </cell>
          <cell r="F54" t="str">
            <v>Renforcé</v>
          </cell>
          <cell r="G54" t="str">
            <v>PP 60 BlancRenforcé</v>
          </cell>
          <cell r="H54" t="str">
            <v>Glassine</v>
          </cell>
        </row>
        <row r="55">
          <cell r="E55" t="str">
            <v>PP 60 Transparent</v>
          </cell>
          <cell r="F55" t="str">
            <v>Renforcé</v>
          </cell>
          <cell r="G55" t="str">
            <v>PP 60 TransparentRenforcé</v>
          </cell>
          <cell r="H55" t="str">
            <v>PET</v>
          </cell>
        </row>
        <row r="56">
          <cell r="E56" t="str">
            <v>Vergé blanc</v>
          </cell>
          <cell r="F56" t="str">
            <v>Lavable</v>
          </cell>
          <cell r="G56" t="str">
            <v>Vergé blancLavable</v>
          </cell>
          <cell r="H56" t="str">
            <v>Glassine</v>
          </cell>
        </row>
        <row r="57">
          <cell r="E57" t="str">
            <v>Vergé blanc</v>
          </cell>
          <cell r="F57" t="str">
            <v>Lavable</v>
          </cell>
          <cell r="G57" t="str">
            <v>Vergé blancLavable</v>
          </cell>
          <cell r="H57" t="str">
            <v>PET</v>
          </cell>
        </row>
        <row r="58">
          <cell r="E58" t="str">
            <v>Vergé blanc</v>
          </cell>
          <cell r="F58" t="str">
            <v>Permanent</v>
          </cell>
          <cell r="G58" t="str">
            <v>Vergé blancPermanent</v>
          </cell>
          <cell r="H58" t="str">
            <v>Glassine</v>
          </cell>
        </row>
        <row r="59">
          <cell r="E59" t="str">
            <v>Vergé crème</v>
          </cell>
          <cell r="F59" t="str">
            <v>Permanent</v>
          </cell>
          <cell r="G59" t="str">
            <v>Vergé crèmePermanent</v>
          </cell>
          <cell r="H59" t="str">
            <v>Glassine</v>
          </cell>
        </row>
        <row r="60">
          <cell r="E60" t="str">
            <v>Vergé crème</v>
          </cell>
          <cell r="F60" t="str">
            <v>Renforcé</v>
          </cell>
          <cell r="G60" t="str">
            <v>Vergé crèmeRenforcé</v>
          </cell>
          <cell r="H60" t="str">
            <v>Glassine</v>
          </cell>
        </row>
        <row r="62">
          <cell r="G62" t="str">
            <v/>
          </cell>
        </row>
        <row r="63">
          <cell r="G63" t="str">
            <v/>
          </cell>
        </row>
        <row r="64">
          <cell r="E64" t="str">
            <v>xxx</v>
          </cell>
          <cell r="F64" t="str">
            <v xml:space="preserve">NONE / NONE / LINER PET23 IL LR  </v>
          </cell>
          <cell r="G64" t="str">
            <v xml:space="preserve">xxxNONE / NONE / LINER PET23 IL LR  </v>
          </cell>
          <cell r="H64" t="str">
            <v>xxx</v>
          </cell>
        </row>
      </sheetData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F8C0B1-45EE-480C-AF7B-F30972A53F9E}" name="Tableau2" displayName="Tableau2" ref="A1:C96" totalsRowShown="0">
  <autoFilter ref="A1:C96" xr:uid="{B7F8C0B1-45EE-480C-AF7B-F30972A53F9E}"/>
  <tableColumns count="3">
    <tableColumn id="1" xr3:uid="{F1A98F70-E543-439E-97AB-6456634F3C0F}" name="Site" dataDxfId="59">
      <calculatedColumnFormula>'Code Couleur'!A817</calculatedColumnFormula>
    </tableColumn>
    <tableColumn id="2" xr3:uid="{2C50B7FA-F7BC-41FA-B36F-4E3671D4B35F}" name="Code couleur" dataDxfId="58">
      <calculatedColumnFormula>'Code Couleur'!D817</calculatedColumnFormula>
    </tableColumn>
    <tableColumn id="3" xr3:uid="{C27845CF-9976-4E3E-B47E-A7C2AD8EDA31}" name="Libellé" dataDxfId="57">
      <calculatedColumnFormula>'Code Couleur'!O817</calculatedColumnFormula>
    </tableColumn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FFC2BC-0B5B-474C-9CDF-5A626E3A2E8F}" name="Tableau8" displayName="Tableau8" ref="E1:F24" totalsRowShown="0" headerRowDxfId="56" dataDxfId="55">
  <autoFilter ref="E1:F24" xr:uid="{E2FFC2BC-0B5B-474C-9CDF-5A626E3A2E8F}"/>
  <tableColumns count="2">
    <tableColumn id="1" xr3:uid="{304E4849-0975-4F0B-B719-D6F773C0D835}" name="Site_Finition" dataDxfId="54"/>
    <tableColumn id="2" xr3:uid="{FE52E02A-73AD-4659-A087-F39F6C905F9D}" name="Finition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0CA01AE-E0FE-4557-8ED8-BFB01D2B9E34}" name="Tableau9" displayName="Tableau9" ref="J1:M47" totalsRowShown="0" dataDxfId="52">
  <autoFilter ref="J1:M47" xr:uid="{A0CA01AE-E0FE-4557-8ED8-BFB01D2B9E34}"/>
  <sortState xmlns:xlrd2="http://schemas.microsoft.com/office/spreadsheetml/2017/richdata2" ref="J2:M49">
    <sortCondition ref="J1:J49"/>
  </sortState>
  <tableColumns count="4">
    <tableColumn id="1" xr3:uid="{FEA032E7-BBCC-4EAB-8DE6-D9C175C72174}" name="Site" dataDxfId="51"/>
    <tableColumn id="2" xr3:uid="{7ED7CA00-F5A4-4E81-855E-A7BF4758B792}" name="Commercial" dataDxfId="50"/>
    <tableColumn id="3" xr3:uid="{14ADCF2D-03E3-47F2-9864-1DA37131F02F}" name="Tel" dataDxfId="49"/>
    <tableColumn id="4" xr3:uid="{524EA1A7-C568-4C8D-8E9A-DCD25C8E3672}" name="Adresse Mail" data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6AAF78D-F856-4947-AAAF-99F64D1BC6C6}" name="Tableau10" displayName="Tableau10" ref="O1:P65" totalsRowShown="0" dataDxfId="47" tableBorderDxfId="46">
  <autoFilter ref="O1:P65" xr:uid="{66AAF78D-F856-4947-AAAF-99F64D1BC6C6}"/>
  <sortState xmlns:xlrd2="http://schemas.microsoft.com/office/spreadsheetml/2017/richdata2" ref="O2:P65">
    <sortCondition ref="O1:O65"/>
  </sortState>
  <tableColumns count="2">
    <tableColumn id="1" xr3:uid="{7249140A-6722-46BA-BE87-75F652437B03}" name="Couleur" dataDxfId="45"/>
    <tableColumn id="2" xr3:uid="{B1893980-A2F6-4214-A42A-56ABFA0E8445}" name="Type_Verni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418C1D-A3EB-41C4-B408-C04392500FB5}" name="Tableau11" displayName="Tableau11" ref="R1:S9" totalsRowShown="0">
  <autoFilter ref="R1:S9" xr:uid="{16418C1D-A3EB-41C4-B408-C04392500FB5}"/>
  <tableColumns count="2">
    <tableColumn id="1" xr3:uid="{AFB7C288-992E-4AB2-B514-9C1C687D7889}" name="Pelliculage"/>
    <tableColumn id="2" xr3:uid="{3FF283CA-40C2-4140-AFD5-F142768005ED}" name="Si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E1C2E15-50F2-46BE-AEA4-55EF2F14E827}" name="Tableau1110" displayName="Tableau1110" ref="U1:V8" totalsRowShown="0">
  <autoFilter ref="U1:V8" xr:uid="{2E1C2E15-50F2-46BE-AEA4-55EF2F14E827}"/>
  <tableColumns count="2">
    <tableColumn id="1" xr3:uid="{5846D0CE-815B-411E-8616-BAEE77E1DB12}" name="Numérotation"/>
    <tableColumn id="2" xr3:uid="{6E455DD0-96C8-4A1F-A03E-1E6B902D67D7}" name="Si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806A64-1F51-4C17-A3DE-901A20437396}" name="Tableau111011" displayName="Tableau111011" ref="X1:Y19" totalsRowShown="0">
  <autoFilter ref="X1:Y19" xr:uid="{B9806A64-1F51-4C17-A3DE-901A20437396}"/>
  <tableColumns count="2">
    <tableColumn id="1" xr3:uid="{001E979F-73CE-45CD-9C99-FF2F87FCD857}" name="Gaufrage"/>
    <tableColumn id="2" xr3:uid="{67700435-D926-4775-B74D-F1639CD632EB}" name="Si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E3FB764-F385-422F-8868-6F758C3FCA37}" name="Tableau12" displayName="Tableau12" ref="AA1:AC8" totalsRowShown="0">
  <autoFilter ref="AA1:AC8" xr:uid="{7E3FB764-F385-422F-8868-6F758C3FCA37}"/>
  <tableColumns count="3">
    <tableColumn id="1" xr3:uid="{7C9276D0-1155-4055-BA6D-6D7C5AEC3CD8}" name="Site"/>
    <tableColumn id="2" xr3:uid="{48579B15-B456-4B86-9137-96C7E8AC76FB}" name="Colonne1"/>
    <tableColumn id="3" xr3:uid="{FCE0A52D-B48D-4A07-8EBC-4921DE80F1A1}" name="Taux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583D0D-47D2-49DD-98FB-A9EFE8D6052B}" name="Tableau5" displayName="Tableau5" ref="B3:I65" headerRowDxfId="40" headerRowBorderDxfId="39" tableBorderDxfId="38">
  <autoFilter ref="B3:I65" xr:uid="{B3583D0D-47D2-49DD-98FB-A9EFE8D6052B}"/>
  <tableColumns count="8">
    <tableColumn id="4" xr3:uid="{98EFD617-F5C2-406E-A9B5-46EAC3DA78B5}" name="Ref support" dataDxfId="37" totalsRowDxfId="36"/>
    <tableColumn id="2" xr3:uid="{FC1AD70C-A122-4AA8-9C79-94B6A525D7C8}" name="Fournisseur" dataDxfId="35" totalsRowDxfId="34"/>
    <tableColumn id="3" xr3:uid="{3337107B-F410-4A88-B939-3D5B966A9246}" name="Id" dataDxfId="33" totalsRowDxfId="32"/>
    <tableColumn id="6" xr3:uid="{1E3D3E06-17CB-484D-8987-A9CA2E901907}" name="Frontal" dataDxfId="31" totalsRowDxfId="30"/>
    <tableColumn id="7" xr3:uid="{CB69B127-A4A4-44DE-8201-714FC38B0305}" name="Adhesif" dataDxfId="29" totalsRowDxfId="28"/>
    <tableColumn id="1" xr3:uid="{07FDAB29-6180-4768-86CA-A1ADE8D5F1BD}" name="Frontal&amp;Adhesif" dataDxfId="27" totalsRowDxfId="26">
      <calculatedColumnFormula>Tableau5[[#This Row],[Frontal]]&amp;Tableau5[[#This Row],[Adhesif]]</calculatedColumnFormula>
    </tableColumn>
    <tableColumn id="8" xr3:uid="{95EFCC45-BB93-4520-872F-679965FA6F33}" name="Backing" dataDxfId="25" totalsRowDxfId="24"/>
    <tableColumn id="5" xr3:uid="{F0A637D3-132F-4143-ABFF-456020D33CC5}" name="Prix" totalsRowFunction="count" dataDxfId="23" totalsRowDxfId="22"/>
  </tableColumns>
  <tableStyleInfo name="TableStyleLight9" showFirstColumn="1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4F57E-0D2B-4608-8AE9-3EBDE3142265}" name="Tableau6" displayName="Tableau6" ref="K3:Q4" totalsRowShown="0" headerRowDxfId="21" dataDxfId="19" headerRowBorderDxfId="20" tableBorderDxfId="18">
  <autoFilter ref="K3:Q4" xr:uid="{AAD4F57E-0D2B-4608-8AE9-3EBDE3142265}"/>
  <tableColumns count="7">
    <tableColumn id="8" xr3:uid="{D5167FE2-E47C-41B0-8147-456D8BF4D552}" name="Réf support" dataDxfId="17"/>
    <tableColumn id="2" xr3:uid="{633FDBAD-B37C-4A25-AE5F-A64ABED10370}" name="Réf chez Fournisseur" dataDxfId="16"/>
    <tableColumn id="3" xr3:uid="{491FE5C8-337D-4FDD-BCC6-2958EB1D490C}" name="Fournisseur" dataDxfId="15"/>
    <tableColumn id="4" xr3:uid="{B2A7F30F-2A7B-4B0C-9716-498821DFE71E}" name="Type Matière" dataDxfId="14"/>
    <tableColumn id="5" xr3:uid="{82135D6E-3EF1-4D3F-849E-545C269C2934}" name="Libellé" dataDxfId="13"/>
    <tableColumn id="6" xr3:uid="{BBAF917A-8FB3-4DB6-975C-FAF0BB2CD98D}" name="Grammage" dataDxfId="12"/>
    <tableColumn id="7" xr3:uid="{05472A43-26F0-4AC5-8F33-715CE132F67C}" name="Prix (Hors FG)" dataDxfId="11" dataCellStyle="Monétaire 2"/>
  </tableColumns>
  <tableStyleInfo name="TableStyleLight9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2867E0-1D3F-4739-829B-8C74D30946BB}" name="Tableau7" displayName="Tableau7" ref="S3:Z24" totalsRowShown="0" headerRowDxfId="10" headerRowBorderDxfId="9" tableBorderDxfId="8">
  <autoFilter ref="S3:Z24" xr:uid="{512867E0-1D3F-4739-829B-8C74D30946BB}"/>
  <tableColumns count="8">
    <tableColumn id="8" xr3:uid="{94AD3D02-0B61-4409-A0CC-07FC2C89E4B8}" name="Réf support" dataDxfId="7"/>
    <tableColumn id="2" xr3:uid="{78248D22-CA0D-4D10-883B-4176DD837EF3}" name="Réf chez Fournisseur" dataDxfId="6"/>
    <tableColumn id="3" xr3:uid="{FE3A5EFB-45A6-49E9-B915-B3955ED867FE}" name="Fournisseur" dataDxfId="5"/>
    <tableColumn id="4" xr3:uid="{031B90BD-E5AE-4771-82B1-EE3FE4B006CB}" name="Type Matière" dataDxfId="4"/>
    <tableColumn id="5" xr3:uid="{55D42D84-2BD0-42C2-BD91-EE4CC05C26E9}" name="Libellé" dataDxfId="3"/>
    <tableColumn id="6" xr3:uid="{810330BF-96C6-4FBE-B600-41FD4795E0F6}" name="Grammage" dataDxfId="2"/>
    <tableColumn id="7" xr3:uid="{D416500A-8571-4CFF-861C-857A8A4A0753}" name="Prix (Hors FG)" dataDxfId="1" dataCellStyle="Monétaire"/>
    <tableColumn id="1" xr3:uid="{9139230A-A5B0-441A-895E-FB37BFCD71D7}" name="Colonne1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82615D-2DC4-49B5-81EB-28AFCAD42AD2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bfb8e71f-8ab1-47fd-ba6c-4036fbe4fcd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autajon.com/CGV_FR_a_fren_2022_02.pdf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hyperlink" Target="mailto:victoria.lefranc@autajon.com" TargetMode="Externa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hyperlink" Target="mailto:aurelie.laforgue@autajon.com" TargetMode="External"/><Relationship Id="rId1" Type="http://schemas.openxmlformats.org/officeDocument/2006/relationships/hyperlink" Target="mailto:guillaume.gaillart@autajon.com" TargetMode="External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printerSettings" Target="../printerSettings/printerSettings3.bin"/><Relationship Id="rId9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D38CA-1987-4D31-8E16-71CD165AF78D}">
  <sheetPr codeName="Feuil1"/>
  <dimension ref="A1:Q51"/>
  <sheetViews>
    <sheetView topLeftCell="A10" zoomScaleNormal="100" workbookViewId="0">
      <selection activeCell="B12" sqref="B12"/>
    </sheetView>
  </sheetViews>
  <sheetFormatPr baseColWidth="10" defaultColWidth="11.44140625" defaultRowHeight="14.4" x14ac:dyDescent="0.3"/>
  <cols>
    <col min="1" max="1" width="21.88671875" customWidth="1"/>
    <col min="2" max="2" width="63.6640625" customWidth="1"/>
    <col min="4" max="4" width="15.33203125" customWidth="1"/>
    <col min="5" max="5" width="24.5546875" customWidth="1"/>
    <col min="6" max="6" width="14.6640625" bestFit="1" customWidth="1"/>
    <col min="8" max="10" width="5.6640625" customWidth="1"/>
    <col min="11" max="11" width="5.5546875" customWidth="1"/>
    <col min="12" max="13" width="5.6640625" customWidth="1"/>
    <col min="14" max="14" width="5.5546875" customWidth="1"/>
    <col min="15" max="15" width="5.6640625" customWidth="1"/>
    <col min="16" max="16" width="5.5546875" customWidth="1"/>
    <col min="17" max="17" width="7.33203125" customWidth="1"/>
    <col min="18" max="18" width="6.5546875" customWidth="1"/>
  </cols>
  <sheetData>
    <row r="1" spans="1:7" ht="18" x14ac:dyDescent="0.35">
      <c r="A1" s="431" t="s">
        <v>0</v>
      </c>
      <c r="B1" s="432"/>
      <c r="C1" s="432"/>
      <c r="D1" s="432"/>
      <c r="E1" s="433"/>
      <c r="F1" s="1"/>
      <c r="G1" s="1"/>
    </row>
    <row r="2" spans="1:7" ht="7.95" customHeight="1" thickBot="1" x14ac:dyDescent="0.35">
      <c r="A2" s="1"/>
      <c r="B2" s="1"/>
      <c r="C2" s="1"/>
      <c r="D2" s="1"/>
      <c r="E2" s="1"/>
      <c r="F2" s="1"/>
      <c r="G2" s="1"/>
    </row>
    <row r="3" spans="1:7" ht="15" thickBot="1" x14ac:dyDescent="0.35">
      <c r="A3" s="430" t="s">
        <v>1</v>
      </c>
      <c r="B3" s="428"/>
      <c r="C3" s="1"/>
      <c r="D3" s="434" t="s">
        <v>2</v>
      </c>
      <c r="E3" s="434"/>
      <c r="F3" s="1"/>
      <c r="G3" s="1"/>
    </row>
    <row r="4" spans="1:7" x14ac:dyDescent="0.3">
      <c r="A4" s="253" t="s">
        <v>3</v>
      </c>
      <c r="B4" s="346" t="s">
        <v>987</v>
      </c>
      <c r="C4" s="1"/>
      <c r="D4" s="178" t="s">
        <v>4</v>
      </c>
      <c r="E4" s="352"/>
      <c r="F4" s="1"/>
      <c r="G4" s="1"/>
    </row>
    <row r="5" spans="1:7" x14ac:dyDescent="0.3">
      <c r="A5" s="248" t="s">
        <v>5</v>
      </c>
      <c r="B5" s="347" t="s">
        <v>988</v>
      </c>
      <c r="C5" s="1"/>
      <c r="D5" s="178" t="s">
        <v>6</v>
      </c>
      <c r="E5" s="344" t="s">
        <v>989</v>
      </c>
      <c r="F5" s="1"/>
      <c r="G5" s="1"/>
    </row>
    <row r="6" spans="1:7" x14ac:dyDescent="0.3">
      <c r="A6" s="248" t="s">
        <v>7</v>
      </c>
      <c r="B6" s="347" t="s">
        <v>990</v>
      </c>
      <c r="C6" s="1"/>
      <c r="D6" s="178" t="s">
        <v>8</v>
      </c>
      <c r="E6" s="353">
        <f ca="1">TODAY()</f>
        <v>46198</v>
      </c>
      <c r="F6" s="1"/>
      <c r="G6" s="1"/>
    </row>
    <row r="7" spans="1:7" x14ac:dyDescent="0.3">
      <c r="A7" s="248" t="s">
        <v>9</v>
      </c>
      <c r="B7" s="347"/>
      <c r="C7" s="1"/>
      <c r="D7" s="180" t="s">
        <v>10</v>
      </c>
      <c r="E7" s="279" t="s">
        <v>174</v>
      </c>
      <c r="F7" s="1"/>
      <c r="G7" s="1"/>
    </row>
    <row r="8" spans="1:7" ht="15" thickBot="1" x14ac:dyDescent="0.35">
      <c r="A8" s="249" t="s">
        <v>12</v>
      </c>
      <c r="B8" s="288"/>
      <c r="C8" s="1"/>
      <c r="D8" s="178" t="s">
        <v>13</v>
      </c>
      <c r="E8" s="279" t="s">
        <v>227</v>
      </c>
      <c r="F8" s="1"/>
      <c r="G8" s="338"/>
    </row>
    <row r="9" spans="1:7" ht="7.95" customHeight="1" thickBot="1" x14ac:dyDescent="0.35">
      <c r="A9" s="179"/>
      <c r="B9" s="280"/>
      <c r="C9" s="1"/>
      <c r="D9" s="1"/>
      <c r="E9" s="1"/>
      <c r="F9" s="1"/>
      <c r="G9" s="1"/>
    </row>
    <row r="10" spans="1:7" ht="15" thickBot="1" x14ac:dyDescent="0.35">
      <c r="A10" s="430" t="s">
        <v>15</v>
      </c>
      <c r="B10" s="428"/>
      <c r="C10" s="1"/>
      <c r="D10" s="1"/>
      <c r="E10" s="1"/>
      <c r="F10" s="1"/>
      <c r="G10" s="1"/>
    </row>
    <row r="11" spans="1:7" x14ac:dyDescent="0.3">
      <c r="A11" s="254" t="s">
        <v>16</v>
      </c>
      <c r="B11" s="281">
        <v>140000</v>
      </c>
      <c r="C11" s="1"/>
      <c r="D11" s="1"/>
      <c r="E11" s="1"/>
      <c r="F11" s="1"/>
      <c r="G11" s="1"/>
    </row>
    <row r="12" spans="1:7" x14ac:dyDescent="0.3">
      <c r="A12" s="251" t="s">
        <v>17</v>
      </c>
      <c r="B12" s="282"/>
      <c r="C12" s="1"/>
      <c r="D12" s="1"/>
      <c r="E12" s="1"/>
      <c r="F12" s="1"/>
      <c r="G12" s="1"/>
    </row>
    <row r="13" spans="1:7" x14ac:dyDescent="0.3">
      <c r="A13" s="251" t="s">
        <v>18</v>
      </c>
      <c r="B13" s="282"/>
      <c r="C13" s="1"/>
      <c r="D13" s="1"/>
      <c r="E13" s="1"/>
      <c r="F13" s="1"/>
      <c r="G13" s="1"/>
    </row>
    <row r="14" spans="1:7" x14ac:dyDescent="0.3">
      <c r="A14" s="251" t="s">
        <v>19</v>
      </c>
      <c r="B14" s="282"/>
      <c r="C14" s="1"/>
      <c r="D14" s="1"/>
      <c r="E14" s="1"/>
      <c r="F14" s="1"/>
      <c r="G14" s="1"/>
    </row>
    <row r="15" spans="1:7" x14ac:dyDescent="0.3">
      <c r="A15" s="250" t="s">
        <v>20</v>
      </c>
      <c r="B15" s="283"/>
      <c r="C15" s="229" t="s">
        <v>21</v>
      </c>
      <c r="D15" s="1"/>
      <c r="E15" s="1"/>
      <c r="F15" s="1"/>
      <c r="G15" s="1"/>
    </row>
    <row r="16" spans="1:7" x14ac:dyDescent="0.3">
      <c r="A16" s="250" t="s">
        <v>22</v>
      </c>
      <c r="B16" s="283"/>
      <c r="C16" s="1"/>
      <c r="D16" s="1"/>
      <c r="E16" s="1"/>
      <c r="F16" s="1"/>
      <c r="G16" s="1"/>
    </row>
    <row r="17" spans="1:7" ht="15" thickBot="1" x14ac:dyDescent="0.35">
      <c r="A17" s="252" t="s">
        <v>23</v>
      </c>
      <c r="B17" s="284"/>
      <c r="C17" s="1"/>
      <c r="D17" s="435" t="str">
        <f ca="1">IF(OR(E7="",B11="",B15="",B16="",B17="",B20="",B21="",B22="",D22&lt;&gt;"",B25="",B29=""),
"Données Devis Manquantes : "
&amp;IF(E7=""," - Site","")
&amp;IF(B11=""," - Quantité","")
&amp;IF(B15=""," - Nb références","")
&amp;IF(B16=""," - Format laize","")
&amp;IF(B17=""," - Format avance","")
&amp;IF(B20=""," - Frontal Papier","")
&amp;IF(B21=""," - Adhesif Papier","")
&amp;IF(B22=""," - Backing Papier","")
&amp;IF(D22&lt;&gt;""," - Erreur sélection matière","")
&amp;IF(B25=""," - Couleur Numérique","")
&amp;IF(B29=""," - Couleur/Vernis Finition",""),"Données Devis ok")</f>
        <v>Données Devis Manquantes :  - Nb références - Format laize - Format avance - Couleur Numérique - Couleur/Vernis Finition</v>
      </c>
      <c r="E17" s="436"/>
      <c r="F17" s="437"/>
      <c r="G17" s="1"/>
    </row>
    <row r="18" spans="1:7" ht="7.95" customHeight="1" thickBot="1" x14ac:dyDescent="0.35">
      <c r="C18" s="1"/>
      <c r="D18" s="438"/>
      <c r="E18" s="439"/>
      <c r="F18" s="440"/>
      <c r="G18" s="1"/>
    </row>
    <row r="19" spans="1:7" ht="15" thickBot="1" x14ac:dyDescent="0.35">
      <c r="A19" s="427" t="s">
        <v>24</v>
      </c>
      <c r="B19" s="428"/>
      <c r="C19" s="1"/>
      <c r="D19" s="438"/>
      <c r="E19" s="439"/>
      <c r="F19" s="440"/>
      <c r="G19" s="1"/>
    </row>
    <row r="20" spans="1:7" x14ac:dyDescent="0.3">
      <c r="A20" s="324" t="s">
        <v>25</v>
      </c>
      <c r="B20" s="348" t="s">
        <v>887</v>
      </c>
      <c r="C20" s="1"/>
      <c r="D20" s="441"/>
      <c r="E20" s="442"/>
      <c r="F20" s="443"/>
      <c r="G20" s="1"/>
    </row>
    <row r="21" spans="1:7" x14ac:dyDescent="0.3">
      <c r="A21" s="325" t="s">
        <v>27</v>
      </c>
      <c r="B21" s="349" t="s">
        <v>839</v>
      </c>
      <c r="C21" s="1"/>
      <c r="D21" s="1"/>
      <c r="E21" s="1"/>
      <c r="F21" s="1"/>
      <c r="G21" s="1"/>
    </row>
    <row r="22" spans="1:7" ht="15" thickBot="1" x14ac:dyDescent="0.35">
      <c r="A22" s="326" t="s">
        <v>29</v>
      </c>
      <c r="B22" s="350" t="s">
        <v>30</v>
      </c>
      <c r="C22" s="1"/>
      <c r="D22" s="337" t="str" cm="1">
        <f t="array" aca="1" ref="D22" ca="1">IF(AND(B20="",B21="",B22=""),"",IF(COUNTIFS(Frontal,B20,Adhesif,B21,Backing,B22)&lt;1,"/!\ Erreur sélection matière /!\",""))</f>
        <v/>
      </c>
      <c r="E22" s="1"/>
      <c r="F22" s="1"/>
      <c r="G22" s="1"/>
    </row>
    <row r="23" spans="1:7" ht="7.95" customHeight="1" thickBot="1" x14ac:dyDescent="0.35">
      <c r="A23" s="1"/>
      <c r="B23" s="1"/>
      <c r="C23" s="1"/>
      <c r="D23" s="1"/>
      <c r="E23" s="1"/>
      <c r="F23" s="1"/>
      <c r="G23" s="1"/>
    </row>
    <row r="24" spans="1:7" ht="15" thickBot="1" x14ac:dyDescent="0.35">
      <c r="A24" s="427" t="s">
        <v>31</v>
      </c>
      <c r="B24" s="429"/>
      <c r="C24" s="1"/>
      <c r="D24" s="1"/>
      <c r="E24" s="1"/>
      <c r="F24" s="1"/>
      <c r="G24" s="1"/>
    </row>
    <row r="25" spans="1:7" x14ac:dyDescent="0.3">
      <c r="A25" s="275" t="s">
        <v>32</v>
      </c>
      <c r="B25" s="285"/>
      <c r="C25" s="1"/>
      <c r="D25" s="1"/>
      <c r="E25" s="1"/>
      <c r="F25" s="1"/>
      <c r="G25" s="1"/>
    </row>
    <row r="26" spans="1:7" ht="15" thickBot="1" x14ac:dyDescent="0.35">
      <c r="A26" s="249" t="s">
        <v>34</v>
      </c>
      <c r="B26" s="284" t="s">
        <v>35</v>
      </c>
      <c r="C26" s="1"/>
      <c r="D26" s="1"/>
      <c r="E26" s="1"/>
      <c r="F26" s="1"/>
      <c r="G26" s="1"/>
    </row>
    <row r="27" spans="1:7" ht="7.95" customHeight="1" thickBot="1" x14ac:dyDescent="0.35">
      <c r="A27" s="1"/>
      <c r="B27" s="1"/>
      <c r="C27" s="1"/>
      <c r="D27" s="1"/>
      <c r="E27" s="1"/>
      <c r="F27" s="1"/>
      <c r="G27" s="1"/>
    </row>
    <row r="28" spans="1:7" ht="15" thickBot="1" x14ac:dyDescent="0.35">
      <c r="A28" s="430" t="s">
        <v>36</v>
      </c>
      <c r="B28" s="428"/>
      <c r="C28" s="1"/>
      <c r="D28" s="1"/>
      <c r="E28" s="1"/>
      <c r="F28" s="1"/>
      <c r="G28" s="1"/>
    </row>
    <row r="29" spans="1:7" x14ac:dyDescent="0.3">
      <c r="A29" s="255" t="s">
        <v>37</v>
      </c>
      <c r="B29" s="341"/>
      <c r="C29" s="1"/>
      <c r="D29" s="1"/>
      <c r="E29" s="1"/>
      <c r="F29" s="1"/>
      <c r="G29" s="1"/>
    </row>
    <row r="30" spans="1:7" ht="15" thickBot="1" x14ac:dyDescent="0.35">
      <c r="A30" s="256" t="s">
        <v>39</v>
      </c>
      <c r="B30" s="286"/>
      <c r="C30" s="1"/>
      <c r="D30" s="1"/>
      <c r="E30" s="1"/>
      <c r="F30" s="1"/>
      <c r="G30" s="1"/>
    </row>
    <row r="31" spans="1:7" ht="15" thickTop="1" x14ac:dyDescent="0.3">
      <c r="A31" s="253" t="s">
        <v>40</v>
      </c>
      <c r="B31" s="351"/>
      <c r="C31" s="1"/>
      <c r="D31" s="1"/>
      <c r="E31" s="1"/>
      <c r="F31" s="1"/>
      <c r="G31" s="1"/>
    </row>
    <row r="32" spans="1:7" x14ac:dyDescent="0.3">
      <c r="A32" s="248" t="s">
        <v>41</v>
      </c>
      <c r="B32" s="351"/>
      <c r="C32" s="1"/>
      <c r="D32" s="1"/>
      <c r="E32" s="1"/>
      <c r="F32" s="1"/>
      <c r="G32" s="1"/>
    </row>
    <row r="33" spans="1:7" x14ac:dyDescent="0.3">
      <c r="A33" s="248" t="s">
        <v>42</v>
      </c>
      <c r="B33" s="287" t="s">
        <v>35</v>
      </c>
      <c r="C33" s="1"/>
      <c r="D33" s="1"/>
      <c r="E33" s="1"/>
      <c r="F33" s="1"/>
      <c r="G33" s="1"/>
    </row>
    <row r="34" spans="1:7" x14ac:dyDescent="0.3">
      <c r="A34" s="248" t="s">
        <v>43</v>
      </c>
      <c r="B34" s="287" t="s">
        <v>35</v>
      </c>
      <c r="C34" s="1"/>
      <c r="D34" s="1"/>
      <c r="E34" s="1"/>
      <c r="F34" s="1"/>
      <c r="G34" s="1"/>
    </row>
    <row r="35" spans="1:7" x14ac:dyDescent="0.3">
      <c r="A35" s="248" t="s">
        <v>44</v>
      </c>
      <c r="B35" s="287" t="s">
        <v>35</v>
      </c>
      <c r="C35" s="1"/>
      <c r="D35" s="1"/>
      <c r="E35" s="1"/>
      <c r="F35" s="1"/>
      <c r="G35" s="1"/>
    </row>
    <row r="36" spans="1:7" x14ac:dyDescent="0.3">
      <c r="A36" s="248" t="s">
        <v>45</v>
      </c>
      <c r="B36" s="287" t="s">
        <v>35</v>
      </c>
      <c r="C36" s="1"/>
      <c r="D36" s="1"/>
      <c r="E36" s="1"/>
      <c r="F36" s="1"/>
      <c r="G36" s="1"/>
    </row>
    <row r="37" spans="1:7" ht="15" thickBot="1" x14ac:dyDescent="0.35">
      <c r="A37" s="249" t="s">
        <v>46</v>
      </c>
      <c r="B37" s="288" t="s">
        <v>35</v>
      </c>
      <c r="C37" s="1"/>
      <c r="D37" s="228"/>
      <c r="E37" s="1"/>
      <c r="F37" s="1"/>
      <c r="G37" s="1"/>
    </row>
    <row r="38" spans="1:7" ht="7.95" customHeight="1" thickBot="1" x14ac:dyDescent="0.35">
      <c r="A38" s="1"/>
      <c r="B38" s="1"/>
      <c r="C38" s="1"/>
      <c r="D38" s="228"/>
      <c r="E38" s="1"/>
      <c r="F38" s="1"/>
      <c r="G38" s="1"/>
    </row>
    <row r="39" spans="1:7" ht="15" thickBot="1" x14ac:dyDescent="0.35">
      <c r="A39" s="430" t="s">
        <v>47</v>
      </c>
      <c r="B39" s="428"/>
      <c r="C39" s="1"/>
      <c r="D39" s="228"/>
      <c r="E39" s="1"/>
      <c r="F39" s="1"/>
      <c r="G39" s="1"/>
    </row>
    <row r="40" spans="1:7" x14ac:dyDescent="0.3">
      <c r="A40" s="177" t="s">
        <v>48</v>
      </c>
      <c r="B40" s="289" t="s">
        <v>140</v>
      </c>
      <c r="C40" s="1"/>
      <c r="D40" s="228"/>
      <c r="E40" s="1"/>
      <c r="F40" s="1"/>
      <c r="G40" s="1"/>
    </row>
    <row r="41" spans="1:7" x14ac:dyDescent="0.3">
      <c r="A41" s="177" t="s">
        <v>50</v>
      </c>
      <c r="B41" s="289">
        <v>76</v>
      </c>
      <c r="C41" s="1"/>
      <c r="D41" s="1"/>
      <c r="E41" s="1"/>
      <c r="F41" s="1"/>
      <c r="G41" s="1"/>
    </row>
    <row r="42" spans="1:7" x14ac:dyDescent="0.3">
      <c r="A42" s="177" t="s">
        <v>51</v>
      </c>
      <c r="B42" s="289">
        <v>10</v>
      </c>
      <c r="C42" s="1"/>
      <c r="D42" s="1"/>
      <c r="E42" s="1"/>
      <c r="F42" s="1"/>
      <c r="G42" s="1"/>
    </row>
    <row r="43" spans="1:7" x14ac:dyDescent="0.3">
      <c r="A43" s="1"/>
      <c r="B43" s="1"/>
      <c r="C43" s="1"/>
      <c r="D43" s="1"/>
      <c r="E43" s="1"/>
      <c r="F43" s="1"/>
      <c r="G43" s="1"/>
    </row>
    <row r="44" spans="1:7" x14ac:dyDescent="0.3">
      <c r="A44" s="1"/>
      <c r="B44" s="1"/>
      <c r="C44" s="1"/>
      <c r="D44" s="1"/>
      <c r="E44" s="1"/>
      <c r="F44" s="1"/>
      <c r="G44" s="1"/>
    </row>
    <row r="45" spans="1:7" x14ac:dyDescent="0.3">
      <c r="A45" s="1"/>
      <c r="B45" s="1"/>
      <c r="C45" s="1"/>
      <c r="D45" s="1"/>
      <c r="E45" s="1"/>
      <c r="F45" s="1"/>
      <c r="G45" s="1"/>
    </row>
    <row r="46" spans="1:7" x14ac:dyDescent="0.3">
      <c r="A46" s="1"/>
      <c r="B46" s="1"/>
      <c r="C46" s="1"/>
      <c r="D46" s="1"/>
      <c r="E46" s="1"/>
      <c r="F46" s="1"/>
      <c r="G46" s="1"/>
    </row>
    <row r="47" spans="1:7" x14ac:dyDescent="0.3">
      <c r="A47" s="1"/>
      <c r="B47" s="1"/>
      <c r="C47" s="1"/>
      <c r="D47" s="1"/>
      <c r="E47" s="1"/>
      <c r="F47" s="1"/>
      <c r="G47" s="1"/>
    </row>
    <row r="48" spans="1:7" x14ac:dyDescent="0.3">
      <c r="A48" s="1"/>
      <c r="B48" s="1"/>
      <c r="C48" s="1"/>
      <c r="D48" s="1"/>
      <c r="E48" s="1"/>
      <c r="F48" s="1"/>
      <c r="G48" s="1"/>
    </row>
    <row r="49" spans="1:17" x14ac:dyDescent="0.3">
      <c r="A49" s="1"/>
      <c r="B49" s="1"/>
      <c r="C49" s="1"/>
      <c r="D49" s="1"/>
      <c r="E49" s="1"/>
      <c r="F49" s="1"/>
      <c r="G49" s="1"/>
      <c r="H49">
        <v>1</v>
      </c>
      <c r="I49">
        <v>2</v>
      </c>
      <c r="J49">
        <v>3</v>
      </c>
      <c r="K49">
        <v>4</v>
      </c>
      <c r="L49">
        <v>5</v>
      </c>
      <c r="M49">
        <v>6</v>
      </c>
      <c r="N49">
        <v>7</v>
      </c>
      <c r="O49">
        <v>8</v>
      </c>
      <c r="P49">
        <v>9</v>
      </c>
      <c r="Q49">
        <v>10</v>
      </c>
    </row>
    <row r="50" spans="1:17" x14ac:dyDescent="0.3">
      <c r="A50" s="1"/>
      <c r="B50" s="1"/>
      <c r="C50" s="1"/>
      <c r="D50" s="1"/>
      <c r="E50" s="1"/>
      <c r="F50" s="1"/>
      <c r="G50" s="1"/>
    </row>
    <row r="51" spans="1:17" ht="35.4" customHeight="1" x14ac:dyDescent="0.3">
      <c r="H51" s="226" t="s">
        <v>52</v>
      </c>
      <c r="I51" s="226" t="s">
        <v>52</v>
      </c>
      <c r="J51" s="226" t="s">
        <v>52</v>
      </c>
      <c r="K51" s="226" t="s">
        <v>52</v>
      </c>
      <c r="L51" s="226" t="s">
        <v>52</v>
      </c>
      <c r="M51" s="226" t="s">
        <v>52</v>
      </c>
      <c r="N51" s="226" t="s">
        <v>52</v>
      </c>
      <c r="O51" s="226" t="s">
        <v>52</v>
      </c>
      <c r="P51" s="226" t="s">
        <v>52</v>
      </c>
      <c r="Q51" s="226" t="s">
        <v>52</v>
      </c>
    </row>
  </sheetData>
  <mergeCells count="9">
    <mergeCell ref="A19:B19"/>
    <mergeCell ref="A24:B24"/>
    <mergeCell ref="A28:B28"/>
    <mergeCell ref="A39:B39"/>
    <mergeCell ref="A1:E1"/>
    <mergeCell ref="A3:B3"/>
    <mergeCell ref="D3:E3"/>
    <mergeCell ref="A10:B10"/>
    <mergeCell ref="D17:F20"/>
  </mergeCells>
  <conditionalFormatting sqref="H51:Q51">
    <cfRule type="expression" dxfId="76" priority="27">
      <formula>H49=$B$42</formula>
    </cfRule>
  </conditionalFormatting>
  <conditionalFormatting sqref="D17:F20">
    <cfRule type="notContainsText" dxfId="75" priority="23" operator="notContains" text="ok">
      <formula>ISERROR(SEARCH("ok",D17))</formula>
    </cfRule>
    <cfRule type="containsText" dxfId="74" priority="24" operator="containsText" text="ok">
      <formula>NOT(ISERROR(SEARCH("ok",D17)))</formula>
    </cfRule>
  </conditionalFormatting>
  <conditionalFormatting sqref="E7">
    <cfRule type="containsBlanks" dxfId="73" priority="28">
      <formula>LEN(TRIM(E7))=0</formula>
    </cfRule>
  </conditionalFormatting>
  <conditionalFormatting sqref="B11 B15:B17 B20:B22 B25:B26 B30">
    <cfRule type="containsBlanks" dxfId="72" priority="17" stopIfTrue="1">
      <formula>LEN(TRIM(B11))=0</formula>
    </cfRule>
  </conditionalFormatting>
  <conditionalFormatting sqref="B22">
    <cfRule type="expression" dxfId="71" priority="18">
      <formula>ISERROR(VLOOKUP(B22,OFFSET(Backing,MATCH(B20&amp;B21,Frontal_Adhesif,0)-1,0,COUNTIF(Frontal_Adhesif,B20&amp;B21)),1,0))</formula>
    </cfRule>
  </conditionalFormatting>
  <conditionalFormatting sqref="B21">
    <cfRule type="expression" dxfId="70" priority="21">
      <formula>ISERROR(VLOOKUP(B21,OFFSET(Adhesif,MATCH(B20,Frontal,0)-1,0,COUNTIF(Frontal,B20)),1,0))</formula>
    </cfRule>
  </conditionalFormatting>
  <conditionalFormatting sqref="B29">
    <cfRule type="containsBlanks" dxfId="69" priority="16" stopIfTrue="1">
      <formula>LEN(TRIM(B29))=0</formula>
    </cfRule>
  </conditionalFormatting>
  <conditionalFormatting sqref="B30">
    <cfRule type="expression" dxfId="68" priority="4">
      <formula>B29="2 Couleurs Flexo + 1 Couleur Sérigraphie"</formula>
    </cfRule>
    <cfRule type="expression" dxfId="67" priority="5">
      <formula>B29="2 Couleurs Flexo"</formula>
    </cfRule>
    <cfRule type="expression" dxfId="66" priority="6">
      <formula>B29="Ni couleur ni vernis"</formula>
    </cfRule>
    <cfRule type="expression" dxfId="65" priority="7">
      <formula>B29="1 Couleur Flexo + 1 Couleur Sérigraphie"</formula>
    </cfRule>
    <cfRule type="expression" dxfId="64" priority="8">
      <formula>B29="1 Couleur Sérigraphie"</formula>
    </cfRule>
    <cfRule type="expression" dxfId="63" priority="9">
      <formula>B29="1 Couleur Flexo"</formula>
    </cfRule>
  </conditionalFormatting>
  <conditionalFormatting sqref="B33">
    <cfRule type="expression" dxfId="62" priority="1">
      <formula>AND($B$31="",$B$33&lt;&gt;"Non")</formula>
    </cfRule>
  </conditionalFormatting>
  <dataValidations count="15">
    <dataValidation type="list" allowBlank="1" showInputMessage="1" showErrorMessage="1" sqref="B42" xr:uid="{83DF673E-80B8-43D2-B09B-072EC97E5F49}">
      <formula1>"1,2,3,4,5,6,7,8,9,10"</formula1>
    </dataValidation>
    <dataValidation type="list" allowBlank="1" showInputMessage="1" showErrorMessage="1" sqref="B41" xr:uid="{00F022AC-3604-4E89-BC0F-031D483F6332}">
      <formula1>"40,76"</formula1>
    </dataValidation>
    <dataValidation type="list" allowBlank="1" showInputMessage="1" showErrorMessage="1" sqref="B37" xr:uid="{E59F56F8-DA9C-49D0-9600-098D0DE9DE9B}">
      <formula1>OFFSET(Pelliculage,MATCH(E7,Site_Pelliculage,0)-1,0,COUNTIF(Site_Pelliculage,E7))</formula1>
    </dataValidation>
    <dataValidation type="list" allowBlank="1" showInputMessage="1" showErrorMessage="1" sqref="E7" xr:uid="{3D34C673-B473-45F7-AD08-5C0A18E16140}">
      <formula1>"AEAT,AEBO,AEEP,AELI,AELO,AEME,AESU"</formula1>
    </dataValidation>
    <dataValidation type="list" allowBlank="1" showInputMessage="1" showErrorMessage="1" sqref="E8" xr:uid="{701FB980-54EF-48EF-A85E-0D29005C4DA4}">
      <formula1>OFFSET(ATC,MATCH(E7,SiteATC,0)-1,0,COUNTIF(SiteATC,E7))</formula1>
    </dataValidation>
    <dataValidation type="list" allowBlank="1" showInputMessage="1" showErrorMessage="1" sqref="B29" xr:uid="{4DAEE840-13AD-4D99-A164-D6F831FBFF29}">
      <formula1>OFFSET(Code_couleur,MATCH(E7,Site,0)-1,0,COUNTIF(Site,E7))</formula1>
    </dataValidation>
    <dataValidation type="list" allowBlank="1" showInputMessage="1" showErrorMessage="1" sqref="B40" xr:uid="{FEC9AFFC-ABFA-401E-8C2A-ABDBCAD15046}">
      <formula1>OFFSET(Finition,MATCH(E7,SiteFinition,0)-1,0,COUNTIF(SiteFinition,E7))</formula1>
    </dataValidation>
    <dataValidation type="list" allowBlank="1" showInputMessage="1" showErrorMessage="1" sqref="B30" xr:uid="{015D2F18-B103-4213-8FA4-CEEEBE657855}">
      <formula1>OFFSET(Type_Vernis,MATCH(B29,Vernis,0)-1,0,COUNTIF(Vernis,B29))</formula1>
    </dataValidation>
    <dataValidation type="list" allowBlank="1" showInputMessage="1" showErrorMessage="1" sqref="B39 B24 B28" xr:uid="{884ECB95-969B-4FB6-83D4-D8D7BDCDE037}">
      <formula1>"330"</formula1>
    </dataValidation>
    <dataValidation type="list" allowBlank="1" showInputMessage="1" showErrorMessage="1" sqref="B25" xr:uid="{A2F65026-6402-4A68-BF3F-69591DD4DE27}">
      <formula1>OFFSET(CouleurHP,MATCH(E7,Site2,0)-1,0,COUNTIF(Site2,E7))</formula1>
    </dataValidation>
    <dataValidation type="list" allowBlank="1" showInputMessage="1" showErrorMessage="1" sqref="B36 B33:B34" xr:uid="{A7B19B59-153E-41CE-A7DB-7C0318ACF1AE}">
      <formula1>"Non,1,2"</formula1>
    </dataValidation>
    <dataValidation type="list" allowBlank="1" showInputMessage="1" showErrorMessage="1" sqref="B26" xr:uid="{844C8F96-3589-47CE-8367-881920668C2F}">
      <formula1>OFFSET(Numération,MATCH(E7,Numération_Site,0)-1,0,COUNTIF(Numération_Site,E7))</formula1>
    </dataValidation>
    <dataValidation type="list" allowBlank="1" showInputMessage="1" showErrorMessage="1" sqref="B35" xr:uid="{3D652E44-6F1C-4AAD-A01A-CF81660BE81F}">
      <formula1>OFFSET(Gaufrage,MATCH(E7,Gaufrage_Site,0)-1,0,COUNTIF(Gaufrage_Site,E7))</formula1>
    </dataValidation>
    <dataValidation type="list" allowBlank="1" showInputMessage="1" showErrorMessage="1" sqref="B31:B32" xr:uid="{A067FA92-948C-4A1E-8705-91A2DFC7E7EF}">
      <formula1>Dorure</formula1>
    </dataValidation>
    <dataValidation type="list" allowBlank="1" showInputMessage="1" showErrorMessage="1" sqref="B22" xr:uid="{6BB2F9B8-AD87-4DBB-A838-98863A835208}">
      <formula1>OFFSET(Backing,MATCH(B20&amp;B21,Frontal_Adhesif,0)-1,0,COUNTIF(Frontal_Adhesif,B20&amp;B21))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ffacerDonneesEntree">
                <anchor moveWithCells="1" sizeWithCells="1">
                  <from>
                    <xdr:col>3</xdr:col>
                    <xdr:colOff>30480</xdr:colOff>
                    <xdr:row>8</xdr:row>
                    <xdr:rowOff>175260</xdr:rowOff>
                  </from>
                  <to>
                    <xdr:col>4</xdr:col>
                    <xdr:colOff>556260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6CCC82-97AB-4631-8347-B002F1F84840}">
          <x14:formula1>
            <xm:f>_xlfn.ANCHORARRAY(Feuil1!$M$1)</xm:f>
          </x14:formula1>
          <xm:sqref>B20</xm:sqref>
        </x14:dataValidation>
        <x14:dataValidation type="list" allowBlank="1" showInputMessage="1" showErrorMessage="1" xr:uid="{4F2E80AE-C806-4DE0-8A4A-A0F47CADF1D9}">
          <x14:formula1>
            <xm:f>OFFSET(Feuil1!$N$1,,,COUNTA(Feuil1!$N:$N))</xm:f>
          </x14:formula1>
          <xm:sqref>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59B6B-7319-40CE-A648-64FE68459803}">
  <sheetPr codeName="Feuil2"/>
  <dimension ref="A1:J31"/>
  <sheetViews>
    <sheetView workbookViewId="0">
      <selection activeCell="B7" sqref="B7"/>
    </sheetView>
  </sheetViews>
  <sheetFormatPr baseColWidth="10" defaultColWidth="11.44140625" defaultRowHeight="14.4" outlineLevelRow="1" x14ac:dyDescent="0.3"/>
  <cols>
    <col min="1" max="1" width="19.33203125" bestFit="1" customWidth="1"/>
    <col min="2" max="5" width="11.33203125" customWidth="1"/>
  </cols>
  <sheetData>
    <row r="1" spans="1:10" ht="18" x14ac:dyDescent="0.35">
      <c r="A1" s="431" t="s">
        <v>53</v>
      </c>
      <c r="B1" s="432"/>
      <c r="C1" s="432"/>
      <c r="D1" s="432"/>
      <c r="E1" s="433"/>
    </row>
    <row r="3" spans="1:10" x14ac:dyDescent="0.3">
      <c r="A3" s="290"/>
      <c r="B3" s="291" t="s">
        <v>16</v>
      </c>
      <c r="C3" s="291" t="s">
        <v>17</v>
      </c>
      <c r="D3" s="291" t="s">
        <v>18</v>
      </c>
      <c r="E3" s="291" t="s">
        <v>19</v>
      </c>
    </row>
    <row r="4" spans="1:10" x14ac:dyDescent="0.3">
      <c r="A4" s="290"/>
      <c r="B4" s="292" t="str" cm="1">
        <f t="array" aca="1" ref="B4" ca="1">IF('Données Devis'!D17:D17="Données Devis ok",IF('Données Devis'!B11=0,"",'Données Devis'!B11),"")</f>
        <v/>
      </c>
      <c r="C4" s="292" t="str">
        <f>IF('Données Devis'!B12=0,"",'Données Devis'!B12)</f>
        <v/>
      </c>
      <c r="D4" s="292" t="str">
        <f>IF('Données Devis'!B13=0,"",'Données Devis'!B13)</f>
        <v/>
      </c>
      <c r="E4" s="292" t="str">
        <f>IF('Données Devis'!B14=0,"",'Données Devis'!B14)</f>
        <v/>
      </c>
    </row>
    <row r="5" spans="1:10" x14ac:dyDescent="0.3">
      <c r="A5" s="178" t="s">
        <v>54</v>
      </c>
      <c r="B5" s="364" t="str" cm="1">
        <f t="array" aca="1" ref="B5" ca="1">IF('Données Devis'!D17:D17="Données Devis ok",Calcul!EF3*VLOOKUP('Données Devis'!$E$7,Index!$AA:$AC,3,0),"")</f>
        <v/>
      </c>
      <c r="C5" s="364" t="str" cm="1">
        <f t="array" aca="1" ref="C5" ca="1">IF(AND('Données Devis'!D17:D17="Données Devis ok",C4&lt;&gt;""),Calcul!EF4*VLOOKUP('Données Devis'!E7,Index!AA:AC,3,0),"")</f>
        <v/>
      </c>
      <c r="D5" s="364" t="str" cm="1">
        <f t="array" aca="1" ref="D5" ca="1">IF(AND('Données Devis'!D17:D17="Données Devis ok",D4&lt;&gt;""),Calcul!EF5*VLOOKUP('Données Devis'!E7,Index!AA:AC,3,0),"")</f>
        <v/>
      </c>
      <c r="E5" s="364" t="str" cm="1">
        <f t="array" aca="1" ref="E5" ca="1">IF(AND('Données Devis'!D17:D17="Données Devis ok",E4&lt;&gt;""),Calcul!EF6*VLOOKUP('Données Devis'!E7,Index!AA:AC,3,0),"")</f>
        <v/>
      </c>
    </row>
    <row r="6" spans="1:10" outlineLevel="1" x14ac:dyDescent="0.3">
      <c r="A6" s="178" t="s">
        <v>55</v>
      </c>
      <c r="B6" s="175" t="str">
        <f ca="1">IF(B5="","",Calcul!EI3)</f>
        <v/>
      </c>
      <c r="C6" s="293" t="str">
        <f ca="1">IF(C5="","",Calcul!EI4)</f>
        <v/>
      </c>
      <c r="D6" s="293" t="str">
        <f ca="1">IF(D5="","",Calcul!EI5)</f>
        <v/>
      </c>
      <c r="E6" s="293" t="str">
        <f ca="1">IF(E5="","",Calcul!EI6)</f>
        <v/>
      </c>
    </row>
    <row r="7" spans="1:10" x14ac:dyDescent="0.3">
      <c r="A7" s="294" t="s">
        <v>56</v>
      </c>
      <c r="B7" s="354"/>
      <c r="C7" s="354"/>
      <c r="D7" s="354"/>
      <c r="E7" s="354"/>
    </row>
    <row r="8" spans="1:10" x14ac:dyDescent="0.3">
      <c r="A8" s="178" t="s">
        <v>57</v>
      </c>
      <c r="B8" s="365" t="str">
        <f ca="1">IF(B5="","",B5*(1+B7))</f>
        <v/>
      </c>
      <c r="C8" s="365" t="str">
        <f ca="1">IF(C5="","",C5*(1+C7))</f>
        <v/>
      </c>
      <c r="D8" s="365" t="str">
        <f t="shared" ref="D8:E8" ca="1" si="0">IF(D5="","",D5*(1+D7))</f>
        <v/>
      </c>
      <c r="E8" s="365" t="str">
        <f t="shared" ca="1" si="0"/>
        <v/>
      </c>
    </row>
    <row r="9" spans="1:10" outlineLevel="1" x14ac:dyDescent="0.3">
      <c r="A9" s="178" t="s">
        <v>58</v>
      </c>
      <c r="B9" s="175" t="str">
        <f ca="1">IF(B5="","",((B8*'Données Devis'!B11/1000)-Calcul!EH3)/(B8*'Données Devis'!B11/1000))</f>
        <v/>
      </c>
      <c r="C9" s="175" t="str">
        <f ca="1">IF(C5="","",((C8*'Données Devis'!B12/1000)-Calcul!EH4)/(C8*'Données Devis'!B12/1000))</f>
        <v/>
      </c>
      <c r="D9" s="175" t="str">
        <f ca="1">IF(D5="","",((D8*'Données Devis'!B13/1000)-Calcul!EH5)/(D8*'Données Devis'!B13/1000))</f>
        <v/>
      </c>
      <c r="E9" s="175" t="str">
        <f ca="1">IF(E5="","",((E8*'Données Devis'!B14/1000)-Calcul!EH6)/(E8*'Données Devis'!B14/1000))</f>
        <v/>
      </c>
    </row>
    <row r="10" spans="1:10" x14ac:dyDescent="0.3">
      <c r="A10" s="295"/>
      <c r="B10" s="296"/>
      <c r="C10" s="296"/>
      <c r="D10" s="296"/>
      <c r="E10" s="296"/>
    </row>
    <row r="11" spans="1:10" hidden="1" outlineLevel="1" x14ac:dyDescent="0.3">
      <c r="A11" s="272" t="s">
        <v>59</v>
      </c>
      <c r="B11" s="291" t="s">
        <v>16</v>
      </c>
      <c r="C11" s="291" t="s">
        <v>17</v>
      </c>
      <c r="D11" s="291" t="s">
        <v>18</v>
      </c>
      <c r="E11" s="291" t="s">
        <v>19</v>
      </c>
      <c r="J11" s="185"/>
    </row>
    <row r="12" spans="1:10" hidden="1" outlineLevel="1" x14ac:dyDescent="0.3">
      <c r="A12" s="178" t="s">
        <v>60</v>
      </c>
      <c r="B12" s="292" t="str" cm="1">
        <f t="array" aca="1" ref="B12" ca="1">IF('Données Devis'!D17:D17="Données Devis ok",330,"")</f>
        <v/>
      </c>
      <c r="C12" s="292" t="str">
        <f>IF(C4="","",B12)</f>
        <v/>
      </c>
      <c r="D12" s="292" t="str">
        <f t="shared" ref="D12:E12" si="1">IF(D4="","",C12)</f>
        <v/>
      </c>
      <c r="E12" s="292" t="str">
        <f t="shared" si="1"/>
        <v/>
      </c>
    </row>
    <row r="13" spans="1:10" hidden="1" outlineLevel="1" x14ac:dyDescent="0.3">
      <c r="A13" s="178" t="s">
        <v>61</v>
      </c>
      <c r="B13" s="292" t="str" cm="1">
        <f t="array" aca="1" ref="B13" ca="1">IF('Données Devis'!D17:D17="Données Devis ok",VLOOKUP(Pose!A6,Pose!A:C,3,0),"")</f>
        <v/>
      </c>
      <c r="C13" s="292" t="str">
        <f>IF(C4="","",B13)</f>
        <v/>
      </c>
      <c r="D13" s="292" t="str">
        <f t="shared" ref="D13:E13" si="2">IF(D4="","",C13)</f>
        <v/>
      </c>
      <c r="E13" s="292" t="str">
        <f t="shared" si="2"/>
        <v/>
      </c>
    </row>
    <row r="14" spans="1:10" hidden="1" outlineLevel="1" x14ac:dyDescent="0.3">
      <c r="A14" s="178" t="s">
        <v>62</v>
      </c>
      <c r="B14" s="292" t="str">
        <f ca="1">IF(B5="","",Calcul!T3)</f>
        <v/>
      </c>
      <c r="C14" s="292" t="str">
        <f ca="1">IF(C5="","",Calcul!T4)</f>
        <v/>
      </c>
      <c r="D14" s="292" t="str">
        <f ca="1">IF(D5="","",Calcul!T5)</f>
        <v/>
      </c>
      <c r="E14" s="292" t="str">
        <f ca="1">IF(E5="","",Calcul!T6)</f>
        <v/>
      </c>
    </row>
    <row r="15" spans="1:10" hidden="1" outlineLevel="1" x14ac:dyDescent="0.3">
      <c r="A15" s="178" t="s">
        <v>63</v>
      </c>
      <c r="B15" s="292" t="str">
        <f ca="1">IF(B5="","",Calcul!AH3-Calcul!T3)</f>
        <v/>
      </c>
      <c r="C15" s="292" t="str">
        <f ca="1">IF(C5="","",Calcul!AH4-Calcul!T4)</f>
        <v/>
      </c>
      <c r="D15" s="292" t="str">
        <f ca="1">IF(D5="","",Calcul!AH5-Calcul!T5)</f>
        <v/>
      </c>
      <c r="E15" s="292" t="str">
        <f ca="1">IF(E5="","",Calcul!AH6-Calcul!T6)</f>
        <v/>
      </c>
    </row>
    <row r="16" spans="1:10" hidden="1" outlineLevel="1" x14ac:dyDescent="0.3">
      <c r="A16" s="178" t="s">
        <v>64</v>
      </c>
      <c r="B16" s="292" t="str">
        <f ca="1">IF(B5="","",Calcul!AI3)</f>
        <v/>
      </c>
      <c r="C16" s="292" t="str">
        <f ca="1">IF(C5="","",Calcul!AI4)</f>
        <v/>
      </c>
      <c r="D16" s="292" t="str">
        <f ca="1">IF(D5="","",Calcul!AI5)</f>
        <v/>
      </c>
      <c r="E16" s="292" t="str">
        <f ca="1">IF(E5="","",Calcul!AI6)</f>
        <v/>
      </c>
    </row>
    <row r="17" spans="1:5" hidden="1" outlineLevel="1" x14ac:dyDescent="0.3">
      <c r="A17" s="178" t="s">
        <v>65</v>
      </c>
      <c r="B17" s="292" t="str">
        <f ca="1">IF(B5="","",Calcul!AJ3+Calcul!AK3)</f>
        <v/>
      </c>
      <c r="C17" s="292" t="str">
        <f ca="1">IF(C5="","",Calcul!AJ4+Calcul!AK4)</f>
        <v/>
      </c>
      <c r="D17" s="292" t="str">
        <f ca="1">IF(D5="","",Calcul!AJ5+Calcul!AK5)</f>
        <v/>
      </c>
      <c r="E17" s="292" t="str">
        <f ca="1">IF(E5="","",Calcul!AJ6+Calcul!AK6)</f>
        <v/>
      </c>
    </row>
    <row r="18" spans="1:5" hidden="1" outlineLevel="1" x14ac:dyDescent="0.3">
      <c r="A18" s="178" t="s">
        <v>66</v>
      </c>
      <c r="B18" s="292" t="str">
        <f ca="1">IF(B5="","",B14+B15)</f>
        <v/>
      </c>
      <c r="C18" s="292" t="str">
        <f ca="1">IF(C5="","",C14+C15)</f>
        <v/>
      </c>
      <c r="D18" s="292" t="str">
        <f ca="1">IF(D5="","",D14+D15)</f>
        <v/>
      </c>
      <c r="E18" s="292" t="str">
        <f ca="1">IF(E5="","",E14+E15)</f>
        <v/>
      </c>
    </row>
    <row r="19" spans="1:5" hidden="1" outlineLevel="1" x14ac:dyDescent="0.3">
      <c r="A19" s="178" t="s">
        <v>67</v>
      </c>
      <c r="B19" s="292" t="str">
        <f ca="1">IF(B5="","",B16+B17)</f>
        <v/>
      </c>
      <c r="C19" s="292" t="str">
        <f ca="1">IF(C5="","",C16+C17)</f>
        <v/>
      </c>
      <c r="D19" s="292" t="str">
        <f ca="1">IF(D5="","",D16+D17)</f>
        <v/>
      </c>
      <c r="E19" s="292" t="str">
        <f ca="1">IF(E5="","",E16+E17)</f>
        <v/>
      </c>
    </row>
    <row r="20" spans="1:5" hidden="1" outlineLevel="1" x14ac:dyDescent="0.3">
      <c r="A20" s="296"/>
      <c r="B20" s="296"/>
      <c r="C20" s="296"/>
      <c r="D20" s="296"/>
      <c r="E20" s="296"/>
    </row>
    <row r="21" spans="1:5" hidden="1" outlineLevel="1" x14ac:dyDescent="0.3">
      <c r="A21" s="272" t="s">
        <v>68</v>
      </c>
      <c r="B21" s="291" t="s">
        <v>16</v>
      </c>
      <c r="C21" s="291" t="s">
        <v>17</v>
      </c>
      <c r="D21" s="291" t="s">
        <v>18</v>
      </c>
      <c r="E21" s="291" t="s">
        <v>19</v>
      </c>
    </row>
    <row r="22" spans="1:5" hidden="1" outlineLevel="1" x14ac:dyDescent="0.3">
      <c r="A22" s="178" t="s">
        <v>69</v>
      </c>
      <c r="B22" s="291" t="str">
        <f ca="1">IF(B5="","",Calcul!F3)</f>
        <v/>
      </c>
      <c r="C22" s="291" t="str">
        <f ca="1">IF(C5="","",Calcul!F4)</f>
        <v/>
      </c>
      <c r="D22" s="291" t="str">
        <f ca="1">IF(D5="","",Calcul!F5)</f>
        <v/>
      </c>
      <c r="E22" s="291" t="str">
        <f ca="1">IF(E5="","",Calcul!F6)</f>
        <v/>
      </c>
    </row>
    <row r="23" spans="1:5" hidden="1" outlineLevel="1" x14ac:dyDescent="0.3">
      <c r="A23" s="178" t="s">
        <v>70</v>
      </c>
      <c r="B23" s="291" t="str">
        <f ca="1">IF(B5="","",VLOOKUP(Calcul!D3,Pose!18:24,5,0))</f>
        <v/>
      </c>
      <c r="C23" s="291" t="str">
        <f ca="1">IF(C5="","",B23)</f>
        <v/>
      </c>
      <c r="D23" s="291" t="str">
        <f ca="1">IF(D5="","",B23)</f>
        <v/>
      </c>
      <c r="E23" s="291" t="str">
        <f ca="1">IF(E5="","",B23)</f>
        <v/>
      </c>
    </row>
    <row r="24" spans="1:5" hidden="1" outlineLevel="1" x14ac:dyDescent="0.3"/>
    <row r="25" spans="1:5" collapsed="1" x14ac:dyDescent="0.3">
      <c r="A25" s="434" t="s">
        <v>71</v>
      </c>
      <c r="B25" s="434"/>
    </row>
    <row r="26" spans="1:5" ht="28.8" x14ac:dyDescent="0.3">
      <c r="A26" s="297" t="s">
        <v>72</v>
      </c>
      <c r="B26" s="298" t="s">
        <v>73</v>
      </c>
      <c r="C26" s="299" t="s">
        <v>74</v>
      </c>
      <c r="D26" s="298" t="s">
        <v>75</v>
      </c>
    </row>
    <row r="27" spans="1:5" x14ac:dyDescent="0.3">
      <c r="A27" s="178" t="s">
        <v>76</v>
      </c>
      <c r="B27" s="362" t="str">
        <f ca="1">IF(B5="","",VLOOKUP(A27,'Paramètres Techniques'!$A$113:$H$117,MATCH('Données Devis'!$E$7,'Paramètres Techniques'!$B$112:$H$112,0)+1,0)*VLOOKUP('Données Devis'!E7,Index!AA:AC,3,0))</f>
        <v/>
      </c>
      <c r="C27" s="354"/>
      <c r="D27" s="362" t="str">
        <f ca="1">IF(B27="","",B27*(1+C27))</f>
        <v/>
      </c>
    </row>
    <row r="28" spans="1:5" x14ac:dyDescent="0.3">
      <c r="A28" s="178" t="s">
        <v>77</v>
      </c>
      <c r="B28" s="362" t="str">
        <f>IF('Données Devis'!B31="","",VLOOKUP(A28,'Paramètres Techniques'!$A$113:$H$116,MATCH('Données Devis'!$E$7,'Paramètres Techniques'!$B$112:$H$112,0)+1,0)*VLOOKUP('Données Devis'!E7,Index!AA:AC,3,0))</f>
        <v/>
      </c>
      <c r="C28" s="354"/>
      <c r="D28" s="362" t="str">
        <f t="shared" ref="D28:D31" si="3">IF(B28="","",B28*(1+C28))</f>
        <v/>
      </c>
    </row>
    <row r="29" spans="1:5" x14ac:dyDescent="0.3">
      <c r="A29" s="178" t="s">
        <v>78</v>
      </c>
      <c r="B29" s="362" t="str">
        <f>IF('Données Devis'!B33&lt;&gt;"Non",VLOOKUP(A29,'Paramètres Techniques'!$A$113:$H$116,MATCH('Données Devis'!$E$7,'Paramètres Techniques'!$B$112:$H$112,0)+1,0)*VLOOKUP('Données Devis'!E7,Index!AA:AC,3,0),IF('Données Devis'!B34&lt;&gt;"Non",VLOOKUP(A29,'Paramètres Techniques'!$A$113:$H$116,MATCH('Données Devis'!$E$7,'Paramètres Techniques'!$B$112:$H$112,0)+1,0)*VLOOKUP('Données Devis'!E7,Index!AA:AC,3,0),""))</f>
        <v/>
      </c>
      <c r="C29" s="354"/>
      <c r="D29" s="362" t="str">
        <f t="shared" si="3"/>
        <v/>
      </c>
    </row>
    <row r="30" spans="1:5" x14ac:dyDescent="0.3">
      <c r="A30" s="178" t="s">
        <v>79</v>
      </c>
      <c r="B30" s="363" t="str">
        <f>IF('Données Devis'!B35="Non","",VLOOKUP(A30,'Paramètres Techniques'!$A$113:$H$116,MATCH('Données Devis'!$E$7,'Paramètres Techniques'!$B$112:$H$112,0)+1,0)*VLOOKUP('Données Devis'!E7,Index!AA:AC,3,0))</f>
        <v/>
      </c>
      <c r="C30" s="354"/>
      <c r="D30" s="362" t="str">
        <f t="shared" si="3"/>
        <v/>
      </c>
    </row>
    <row r="31" spans="1:5" x14ac:dyDescent="0.3">
      <c r="A31" s="178" t="s">
        <v>80</v>
      </c>
      <c r="B31" s="363" t="str">
        <f>IF('Données Devis'!B36="Non","",VLOOKUP(A31,'Paramètres Techniques'!$A$113:$H$117,MATCH('Données Devis'!$E$7,'Paramètres Techniques'!$B$112:$H$112,0)+1,0)*VLOOKUP('Données Devis'!E7,Index!AA:AC,3,0))</f>
        <v/>
      </c>
      <c r="C31" s="354"/>
      <c r="D31" s="362" t="str">
        <f t="shared" si="3"/>
        <v/>
      </c>
    </row>
  </sheetData>
  <mergeCells count="2">
    <mergeCell ref="A1:E1"/>
    <mergeCell ref="A25:B25"/>
  </mergeCells>
  <dataValidations count="3">
    <dataValidation type="list" allowBlank="1" showInputMessage="1" showErrorMessage="1" sqref="B10" xr:uid="{9CC08CE3-CEDB-42AD-97D4-86773DC1C036}">
      <formula1>#REF!</formula1>
    </dataValidation>
    <dataValidation type="decimal" allowBlank="1" showInputMessage="1" showErrorMessage="1" error="Max -30%" sqref="B7:E7" xr:uid="{BD14B531-5C60-4B64-8B3F-F37D221D0364}">
      <formula1>-0.3</formula1>
      <formula2>99999</formula2>
    </dataValidation>
    <dataValidation type="decimal" allowBlank="1" showInputMessage="1" showErrorMessage="1" error="Max -100%" sqref="C27:C31" xr:uid="{FF612D58-92CC-4332-8E49-CE468F4192A7}">
      <formula1>-1</formula1>
      <formula2>9999</formula2>
    </dataValidation>
  </dataValidations>
  <pageMargins left="0.7" right="0.7" top="0.75" bottom="0.75" header="0.3" footer="0.3"/>
  <ignoredErrors>
    <ignoredError sqref="B14:E22 A5 A24:F25 A13 F12:F13 A10:A11 A9 F9 A8 F8 A7 A6 F6 A14:A23 F14:F23 F5 E27:F27 F7 A12 F10:F11 C6:E6 B8 B9 B10:E11 C9:E9 C8:E8 B6 C4:E4 B4 D12:E12 E30:F30 E31:F31 C13:E13 C23:E23 A26 E26:F26 E28:F28 E29:F29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5C61543-2FAA-4539-8C71-B0F201AE8350}">
            <xm:f>VLOOKUP('Données Devis'!$E$7,Index!$AA:$AB,2,0)="CHF"</xm:f>
            <x14:dxf>
              <numFmt numFmtId="182" formatCode="#,##0.00\ [$CHF]"/>
            </x14:dxf>
          </x14:cfRule>
          <xm:sqref>B5:E5 B8:E8 G28:G31 I28:I31 B27:B31 D27:D31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48470-E4BF-463A-BCF1-B1E48F022E82}">
  <sheetPr codeName="Feuil3"/>
  <dimension ref="A1:I59"/>
  <sheetViews>
    <sheetView showGridLines="0" view="pageLayout" topLeftCell="A19" zoomScaleNormal="70" workbookViewId="0">
      <selection activeCell="I44" sqref="I44"/>
    </sheetView>
  </sheetViews>
  <sheetFormatPr baseColWidth="10" defaultColWidth="11.44140625" defaultRowHeight="14.4" x14ac:dyDescent="0.3"/>
  <cols>
    <col min="1" max="1" width="11.6640625" customWidth="1"/>
    <col min="2" max="2" width="5.44140625" customWidth="1"/>
  </cols>
  <sheetData>
    <row r="1" spans="1:9" x14ac:dyDescent="0.3">
      <c r="A1" s="1"/>
      <c r="B1" s="1"/>
      <c r="C1" s="1"/>
      <c r="D1" s="1"/>
      <c r="E1" s="1"/>
      <c r="F1" s="1"/>
      <c r="G1" s="1"/>
      <c r="H1" s="1"/>
      <c r="I1" s="1"/>
    </row>
    <row r="2" spans="1:9" x14ac:dyDescent="0.3">
      <c r="A2" s="1"/>
      <c r="B2" s="1"/>
      <c r="C2" s="1"/>
      <c r="D2" s="1"/>
      <c r="E2" s="1"/>
      <c r="F2" s="1"/>
      <c r="G2" s="446" t="str">
        <f>'Données Devis'!B4</f>
        <v>TEST</v>
      </c>
      <c r="H2" s="446"/>
      <c r="I2" s="446"/>
    </row>
    <row r="3" spans="1:9" x14ac:dyDescent="0.3">
      <c r="A3" s="1"/>
      <c r="B3" s="1"/>
      <c r="C3" s="1"/>
      <c r="D3" s="1"/>
      <c r="E3" s="1"/>
      <c r="F3" s="1"/>
      <c r="G3" s="446" t="str">
        <f>'Données Devis'!B6</f>
        <v>Rue du bar du fond garage</v>
      </c>
      <c r="H3" s="446"/>
      <c r="I3" s="446"/>
    </row>
    <row r="4" spans="1:9" x14ac:dyDescent="0.3">
      <c r="A4" s="1"/>
      <c r="B4" s="1"/>
      <c r="C4" s="1"/>
      <c r="D4" s="1"/>
      <c r="E4" s="1"/>
      <c r="F4" s="1"/>
      <c r="G4" s="446" t="str">
        <f>'Données Devis'!B8&amp;"-"&amp;'Données Devis'!B7</f>
        <v>-</v>
      </c>
      <c r="H4" s="446"/>
      <c r="I4" s="446"/>
    </row>
    <row r="5" spans="1:9" x14ac:dyDescent="0.3">
      <c r="A5" s="1"/>
      <c r="B5" s="1"/>
      <c r="C5" s="1"/>
      <c r="D5" s="1"/>
      <c r="E5" s="1"/>
      <c r="F5" s="1"/>
      <c r="G5" s="345" t="str">
        <f ca="1">"N° Devis   "&amp;TEXT(LEFT('Données Devis'!E6,5),"jjmm")&amp;"-"&amp;'Données Devis'!E7&amp;"-"&amp;LEFT('Données Devis'!E8,3)&amp;"-"&amp;'Données Devis'!E5</f>
        <v>N° Devis   2506-AESU-GAR-DEVIS 1223345</v>
      </c>
      <c r="H5" s="1"/>
      <c r="I5" s="1"/>
    </row>
    <row r="6" spans="1:9" x14ac:dyDescent="0.3">
      <c r="A6" s="1" t="str">
        <f ca="1">"Le " &amp; TEXT(TODAY(),"jj mmmm aaaa")</f>
        <v>Le 25 juin 2026</v>
      </c>
      <c r="B6" s="1"/>
      <c r="C6" s="1"/>
      <c r="D6" s="1"/>
      <c r="E6" s="1"/>
      <c r="F6" s="1"/>
      <c r="G6" s="1"/>
      <c r="H6" s="1"/>
      <c r="I6" s="1"/>
    </row>
    <row r="7" spans="1:9" x14ac:dyDescent="0.3">
      <c r="A7" s="1"/>
      <c r="B7" s="1"/>
      <c r="C7" s="1"/>
      <c r="D7" s="1"/>
      <c r="E7" s="1"/>
      <c r="F7" s="1"/>
      <c r="G7" s="1"/>
      <c r="H7" s="1"/>
      <c r="I7" s="1"/>
    </row>
    <row r="8" spans="1:9" x14ac:dyDescent="0.3">
      <c r="A8" s="1" t="str">
        <f>"A l'attention de "&amp;'Données Devis'!B5&amp;","</f>
        <v>A l'attention de Mr lefrancois,</v>
      </c>
      <c r="B8" s="1"/>
      <c r="C8" s="1"/>
      <c r="D8" s="1"/>
      <c r="E8" s="1"/>
      <c r="F8" s="1"/>
      <c r="G8" s="1"/>
      <c r="H8" s="1"/>
      <c r="I8" s="1"/>
    </row>
    <row r="9" spans="1:9" x14ac:dyDescent="0.3">
      <c r="A9" s="1" t="s">
        <v>81</v>
      </c>
      <c r="B9" s="1"/>
      <c r="C9" s="1"/>
      <c r="D9" s="1"/>
      <c r="E9" s="1"/>
      <c r="F9" s="1"/>
      <c r="G9" s="1"/>
      <c r="H9" s="1"/>
      <c r="I9" s="1"/>
    </row>
    <row r="10" spans="1:9" x14ac:dyDescent="0.3">
      <c r="A10" s="1" t="s">
        <v>82</v>
      </c>
      <c r="B10" s="1"/>
      <c r="C10" s="1"/>
      <c r="D10" s="1"/>
      <c r="E10" s="1"/>
      <c r="F10" s="1"/>
      <c r="G10" s="1"/>
      <c r="H10" s="1"/>
      <c r="I10" s="1"/>
    </row>
    <row r="11" spans="1:9" x14ac:dyDescent="0.3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3">
      <c r="A12" s="445" t="s">
        <v>83</v>
      </c>
      <c r="B12" s="186" t="s">
        <v>84</v>
      </c>
      <c r="C12" s="1"/>
      <c r="D12" s="186">
        <f>'Données Devis'!E4</f>
        <v>0</v>
      </c>
      <c r="E12" s="1"/>
      <c r="F12" s="1"/>
      <c r="G12" s="1"/>
      <c r="H12" s="1"/>
      <c r="I12" s="1"/>
    </row>
    <row r="13" spans="1:9" x14ac:dyDescent="0.3">
      <c r="A13" s="445"/>
      <c r="B13" s="1"/>
      <c r="C13" s="1"/>
      <c r="D13" s="1"/>
      <c r="E13" s="1"/>
      <c r="F13" s="1"/>
      <c r="G13" s="1"/>
      <c r="H13" s="1"/>
      <c r="I13" s="1"/>
    </row>
    <row r="14" spans="1:9" ht="14.4" customHeight="1" x14ac:dyDescent="0.3">
      <c r="A14" s="445"/>
      <c r="B14" s="1"/>
      <c r="C14" s="1" t="s">
        <v>85</v>
      </c>
      <c r="D14" s="1"/>
      <c r="E14" s="1" t="str">
        <f>'Données Devis'!B16&amp;" x "&amp;'Données Devis'!B17&amp;" mm"</f>
        <v xml:space="preserve"> x  mm</v>
      </c>
      <c r="F14" s="1"/>
      <c r="G14" s="1"/>
      <c r="H14" s="1"/>
      <c r="I14" s="1"/>
    </row>
    <row r="15" spans="1:9" x14ac:dyDescent="0.3">
      <c r="A15" s="445"/>
      <c r="B15" s="1"/>
      <c r="C15" s="1" t="s">
        <v>86</v>
      </c>
      <c r="D15" s="1"/>
      <c r="E15" s="1" t="str">
        <f>'Données Devis'!B20&amp;" "&amp; 'Données Devis'!B21&amp;" "&amp;'Données Devis'!B22</f>
        <v>Frozen Orion Diamond Lavable Glassine</v>
      </c>
      <c r="F15" s="1"/>
      <c r="G15" s="1"/>
      <c r="H15" s="1"/>
      <c r="I15" s="1"/>
    </row>
    <row r="16" spans="1:9" x14ac:dyDescent="0.3">
      <c r="A16" s="445"/>
      <c r="B16" s="1"/>
      <c r="C16" s="1"/>
      <c r="D16" s="1"/>
      <c r="E16" s="1"/>
      <c r="F16" s="1"/>
      <c r="G16" s="1"/>
      <c r="H16" s="1"/>
      <c r="I16" s="1"/>
    </row>
    <row r="17" spans="1:9" x14ac:dyDescent="0.3">
      <c r="A17" s="445"/>
      <c r="B17" s="1"/>
      <c r="C17" s="1" t="s">
        <v>87</v>
      </c>
      <c r="D17" s="1"/>
      <c r="E17" s="444" t="str">
        <f>'Données Devis'!B25
&amp;
IF('Données Devis'!B29="",""," + "&amp;'Données Devis'!B29)
&amp;
IF(ISNUMBER(SEARCH("Vernis",'Données Devis'!B29))=TRUE," ("&amp;'Données Devis'!B30&amp;") ","")
&amp;
IF('Données Devis'!B31="","",IF('Données Devis'!B33&lt;&gt;"Non"," + Dorure galbée "," + Dorure ")&amp;'Données Devis'!B31)&amp;IF('Données Devis'!B32="",""," et "&amp;'Données Devis'!B32)
&amp;
IF('Données Devis'!B34&lt;&gt;"Non"," + Galbe à sec","")
&amp;
IF('Données Devis'!B35&lt;&gt;"Non"," + Gaufrage","")
&amp;
IF('Données Devis'!B36&lt;&gt;"Non"," + Foulage","")
&amp;
IF('Données Devis'!B37="Oui"," + Pelliculage","")</f>
        <v/>
      </c>
      <c r="F17" s="444"/>
      <c r="G17" s="444"/>
      <c r="H17" s="444"/>
      <c r="I17" s="444"/>
    </row>
    <row r="18" spans="1:9" x14ac:dyDescent="0.3">
      <c r="A18" s="445"/>
      <c r="B18" s="1"/>
      <c r="C18" s="1"/>
      <c r="D18" s="1"/>
      <c r="E18" s="444"/>
      <c r="F18" s="444"/>
      <c r="G18" s="444"/>
      <c r="H18" s="444"/>
      <c r="I18" s="444"/>
    </row>
    <row r="19" spans="1:9" x14ac:dyDescent="0.3">
      <c r="A19" s="445"/>
      <c r="B19" s="1"/>
      <c r="C19" s="1"/>
      <c r="D19" s="1"/>
      <c r="E19" s="444"/>
      <c r="F19" s="444"/>
      <c r="G19" s="444"/>
      <c r="H19" s="444"/>
      <c r="I19" s="444"/>
    </row>
    <row r="20" spans="1:9" x14ac:dyDescent="0.3">
      <c r="A20" s="445"/>
      <c r="B20" s="1"/>
      <c r="C20" s="1" t="s">
        <v>88</v>
      </c>
      <c r="D20" s="1"/>
      <c r="E20" s="1" t="str">
        <f>"1 transport ("&amp;G4&amp;")"</f>
        <v>1 transport (-)</v>
      </c>
      <c r="F20" s="1"/>
      <c r="G20" s="1"/>
      <c r="H20" s="1"/>
      <c r="I20" s="1"/>
    </row>
    <row r="21" spans="1:9" x14ac:dyDescent="0.3">
      <c r="A21" s="445"/>
      <c r="B21" s="1"/>
      <c r="C21" s="1" t="s">
        <v>89</v>
      </c>
      <c r="D21" s="1"/>
      <c r="E21" s="1" t="str">
        <f>"Diamètre bobine : 300 mm (Mandrin : "&amp;'Données Devis'!B41&amp;" mm)"</f>
        <v>Diamètre bobine : 300 mm (Mandrin : 76 mm)</v>
      </c>
      <c r="F21" s="1"/>
      <c r="G21" s="1"/>
      <c r="H21" s="1"/>
      <c r="I21" s="1"/>
    </row>
    <row r="22" spans="1:9" x14ac:dyDescent="0.3">
      <c r="A22" s="445"/>
      <c r="B22" s="1"/>
      <c r="C22" s="1" t="s">
        <v>90</v>
      </c>
      <c r="D22" s="1"/>
      <c r="E22" s="1"/>
      <c r="F22" s="1"/>
      <c r="G22" s="1"/>
      <c r="H22" s="1"/>
      <c r="I22" s="1"/>
    </row>
    <row r="23" spans="1:9" x14ac:dyDescent="0.3">
      <c r="A23" s="445"/>
      <c r="B23" s="1"/>
      <c r="C23" s="1"/>
      <c r="D23" s="1"/>
      <c r="E23" s="1"/>
      <c r="F23" s="1"/>
      <c r="G23" s="1"/>
      <c r="H23" s="1"/>
      <c r="I23" s="1"/>
    </row>
    <row r="24" spans="1:9" x14ac:dyDescent="0.3">
      <c r="A24" s="445"/>
      <c r="B24" s="1"/>
      <c r="C24" s="1"/>
      <c r="D24" s="1"/>
      <c r="E24" s="1"/>
      <c r="F24" s="1"/>
      <c r="G24" s="1"/>
      <c r="H24" s="1"/>
      <c r="I24" s="1"/>
    </row>
    <row r="25" spans="1:9" x14ac:dyDescent="0.3">
      <c r="A25" s="445"/>
      <c r="B25" s="1"/>
      <c r="C25" s="1" t="str">
        <f>"Nombre de Réf. : "&amp;'Données Devis'!B15</f>
        <v xml:space="preserve">Nombre de Réf. : </v>
      </c>
      <c r="D25" s="1"/>
      <c r="E25" s="1" t="s">
        <v>91</v>
      </c>
      <c r="F25" s="1"/>
      <c r="G25" s="1"/>
      <c r="H25" s="1"/>
      <c r="I25" s="1"/>
    </row>
    <row r="26" spans="1:9" x14ac:dyDescent="0.3">
      <c r="A26" s="445"/>
      <c r="B26" s="1"/>
      <c r="C26" s="1"/>
      <c r="D26" s="1"/>
      <c r="E26" s="1"/>
      <c r="F26" s="1"/>
      <c r="G26" s="1"/>
      <c r="H26" s="1"/>
      <c r="I26" s="1"/>
    </row>
    <row r="27" spans="1:9" x14ac:dyDescent="0.3">
      <c r="A27" s="445"/>
      <c r="B27" s="181" t="s">
        <v>92</v>
      </c>
      <c r="C27" s="181"/>
      <c r="D27" s="181"/>
      <c r="E27" s="181"/>
      <c r="F27" s="181"/>
      <c r="G27" s="181" t="s">
        <v>93</v>
      </c>
      <c r="H27" s="181"/>
      <c r="I27" s="181" t="s">
        <v>94</v>
      </c>
    </row>
    <row r="28" spans="1:9" x14ac:dyDescent="0.3">
      <c r="A28" s="1"/>
      <c r="B28" s="189" t="str">
        <f>TEXT('Données Devis'!B11,"# ##0")&amp; " ex."</f>
        <v>140 000 ex.</v>
      </c>
      <c r="C28" s="190"/>
      <c r="D28" s="190"/>
      <c r="E28" s="190"/>
      <c r="F28" s="190"/>
      <c r="G28" s="191" t="str">
        <f ca="1">Résultat!B8</f>
        <v/>
      </c>
      <c r="H28" s="190"/>
      <c r="I28" s="191" t="str">
        <f ca="1">IF(G28="","",G28/1000*'Données Devis'!B11)</f>
        <v/>
      </c>
    </row>
    <row r="29" spans="1:9" x14ac:dyDescent="0.3">
      <c r="A29" s="1"/>
      <c r="B29" s="189" t="str">
        <f>IF('Données Devis'!B12="","",TEXT('Données Devis'!B12,"# ##0")&amp;" ex.")</f>
        <v/>
      </c>
      <c r="C29" s="190"/>
      <c r="D29" s="190"/>
      <c r="E29" s="190"/>
      <c r="F29" s="190"/>
      <c r="G29" s="191" t="str">
        <f>IF(B29="","",Résultat!C8)</f>
        <v/>
      </c>
      <c r="H29" s="190"/>
      <c r="I29" s="191" t="str">
        <f>IF(B29="","",G29/1000*'Données Devis'!B12)</f>
        <v/>
      </c>
    </row>
    <row r="30" spans="1:9" x14ac:dyDescent="0.3">
      <c r="A30" s="1"/>
      <c r="B30" s="189" t="str">
        <f>IF('Données Devis'!B13="","",TEXT('Données Devis'!B13,"# ##0")&amp;" ex.")</f>
        <v/>
      </c>
      <c r="C30" s="190"/>
      <c r="D30" s="190"/>
      <c r="E30" s="190"/>
      <c r="F30" s="190"/>
      <c r="G30" s="191" t="str">
        <f>IF(B30="","",Résultat!D8)</f>
        <v/>
      </c>
      <c r="H30" s="190"/>
      <c r="I30" s="191" t="str">
        <f>IF(B30="","",G30/1000*'Données Devis'!B13)</f>
        <v/>
      </c>
    </row>
    <row r="31" spans="1:9" x14ac:dyDescent="0.3">
      <c r="A31" s="1"/>
      <c r="B31" s="189" t="str">
        <f>IF('Données Devis'!B14="","",TEXT('Données Devis'!B14,"# ##0")&amp;" ex.")</f>
        <v/>
      </c>
      <c r="C31" s="190"/>
      <c r="D31" s="190"/>
      <c r="E31" s="190"/>
      <c r="F31" s="190"/>
      <c r="G31" s="191" t="str">
        <f>IF(B31="","",Résultat!E8)</f>
        <v/>
      </c>
      <c r="H31" s="190"/>
      <c r="I31" s="191" t="str">
        <f>IF(B31="","",G31/1000*'Données Devis'!B14)</f>
        <v/>
      </c>
    </row>
    <row r="32" spans="1:9" x14ac:dyDescent="0.3">
      <c r="A32" s="1"/>
      <c r="B32" s="190"/>
      <c r="C32" s="190"/>
      <c r="D32" s="190"/>
      <c r="E32" s="190"/>
      <c r="F32" s="190"/>
      <c r="G32" s="190"/>
      <c r="H32" s="190"/>
      <c r="I32" s="190"/>
    </row>
    <row r="33" spans="1:9" x14ac:dyDescent="0.3">
      <c r="A33" s="1"/>
      <c r="B33" s="190" t="s">
        <v>95</v>
      </c>
      <c r="C33" s="190"/>
      <c r="D33" s="190"/>
      <c r="E33" s="190"/>
      <c r="F33" s="190" t="s">
        <v>92</v>
      </c>
      <c r="G33" s="192" t="s">
        <v>96</v>
      </c>
      <c r="H33" s="190"/>
      <c r="I33" s="192" t="s">
        <v>94</v>
      </c>
    </row>
    <row r="34" spans="1:9" x14ac:dyDescent="0.3">
      <c r="A34" s="1"/>
      <c r="B34" s="190" t="s">
        <v>76</v>
      </c>
      <c r="C34" s="190"/>
      <c r="D34" s="190"/>
      <c r="E34" s="190"/>
      <c r="F34" s="190" t="s">
        <v>97</v>
      </c>
      <c r="G34" s="367" t="str">
        <f ca="1">IF(F34="","",IFERROR(VLOOKUP(B34,Résultat!$A$27:$D$31,4,0),""))</f>
        <v/>
      </c>
      <c r="H34" s="193"/>
      <c r="I34" s="367" t="e">
        <f ca="1">IF(Résultat!C27=-100%,"Offert",IF(B34="","",_xlfn.NUMBERVALUE(LEFT(F34,1)*G34)))</f>
        <v>#VALUE!</v>
      </c>
    </row>
    <row r="35" spans="1:9" x14ac:dyDescent="0.3">
      <c r="A35" s="1"/>
      <c r="B35" s="190" t="str">
        <f>IF('Données Devis'!B33="Non",IF('Données Devis'!B34&lt;&gt;"Non","Outils de galbé",""),IF('Données Devis'!B33&lt;&gt;"Non","Outils de galbé",""))</f>
        <v/>
      </c>
      <c r="C35" s="190"/>
      <c r="D35" s="190"/>
      <c r="E35" s="190"/>
      <c r="F35" s="190" t="str">
        <f>IF(AND('Données Devis'!B33="Non",ISNUMBER('Données Devis'!B34)),'Données Devis'!B34&amp;" ex.",
IF(AND('Données Devis'!B34="Non",ISNUMBER('Données Devis'!B33)),'Données Devis'!B33&amp;" ex.",
IF(AND(ISNUMBER('Données Devis'!B33),ISNUMBER('Données Devis'!B34)),MAX('Données Devis'!B33,'Données Devis'!B34)&amp;" ex.","")))</f>
        <v/>
      </c>
      <c r="G35" s="367" t="str">
        <f>IF(F35="","",IFERROR(VLOOKUP(B35,Résultat!$A$27:$D$31,4,0),""))</f>
        <v/>
      </c>
      <c r="H35" s="193"/>
      <c r="I35" s="367" t="str">
        <f>IF(Résultat!C29=-100%,"Offert",IF(B35="","",_xlfn.NUMBERVALUE(LEFT(F35,1)*G35)))</f>
        <v/>
      </c>
    </row>
    <row r="36" spans="1:9" x14ac:dyDescent="0.3">
      <c r="A36" s="1"/>
      <c r="B36" s="190" t="str" cm="1">
        <f t="array" ref="B36">_xlfn.IFS('Données Devis'!B31="","",'Données Devis'!B31&lt;&gt;"","Outils de dorure")</f>
        <v/>
      </c>
      <c r="C36" s="190"/>
      <c r="D36" s="190"/>
      <c r="E36" s="190"/>
      <c r="F36" s="190" t="str">
        <f>IF('Données Devis'!B31="","",IF('Données Devis'!B32&lt;&gt;"","2 ex.","1 ex."))</f>
        <v/>
      </c>
      <c r="G36" s="367" t="str">
        <f>IF(F36="","",IFERROR(VLOOKUP(B36,Résultat!$A$27:$D$31,4,0),""))</f>
        <v/>
      </c>
      <c r="H36" s="193"/>
      <c r="I36" s="367" t="str">
        <f>IF(Résultat!C28=-100%,"Offert",IF(B36="","",_xlfn.NUMBERVALUE(LEFT(F36,1)*G36)))</f>
        <v/>
      </c>
    </row>
    <row r="37" spans="1:9" x14ac:dyDescent="0.3">
      <c r="A37" s="1"/>
      <c r="B37" s="190" t="str">
        <f>IF('Données Devis'!B35="Non","","Outils de gaufrage")</f>
        <v/>
      </c>
      <c r="C37" s="190"/>
      <c r="D37" s="190"/>
      <c r="E37" s="190"/>
      <c r="F37" s="190" t="str">
        <f>IF(B37="","",'Données Devis'!B35&amp;" ex.")</f>
        <v/>
      </c>
      <c r="G37" s="367" t="str">
        <f>IF(F37="","",IFERROR(VLOOKUP(B37,Résultat!$A$27:$D$31,4,0),""))</f>
        <v/>
      </c>
      <c r="H37" s="193"/>
      <c r="I37" s="367" t="str">
        <f>IF(Résultat!C30=-100%,"Offert",IF(B37="","",_xlfn.NUMBERVALUE(LEFT(F37,1)*G37)))</f>
        <v/>
      </c>
    </row>
    <row r="38" spans="1:9" x14ac:dyDescent="0.3">
      <c r="A38" s="1"/>
      <c r="B38" s="190" t="str">
        <f>IF('Données Devis'!B36="Non","","Outils de foulage")</f>
        <v/>
      </c>
      <c r="C38" s="190"/>
      <c r="D38" s="190"/>
      <c r="E38" s="190"/>
      <c r="F38" s="190" t="str">
        <f>IF(B38="","",'Données Devis'!B36&amp;" ex.")</f>
        <v/>
      </c>
      <c r="G38" s="367" t="str">
        <f>IF(F38="","",IFERROR(VLOOKUP(B38,Résultat!$A$27:$D$31,4,0),""))</f>
        <v/>
      </c>
      <c r="H38" s="193"/>
      <c r="I38" s="367" t="str">
        <f>IF(Résultat!C31=-100%,"Offert",IF(B38="","",_xlfn.NUMBERVALUE(LEFT(F38,1)*G38)))</f>
        <v/>
      </c>
    </row>
    <row r="39" spans="1:9" x14ac:dyDescent="0.3">
      <c r="A39" s="1"/>
      <c r="B39" s="1"/>
      <c r="C39" s="1"/>
      <c r="D39" s="1"/>
      <c r="E39" s="1"/>
      <c r="F39" s="1"/>
      <c r="G39" s="1"/>
      <c r="H39" s="1"/>
      <c r="I39" s="1"/>
    </row>
    <row r="40" spans="1:9" x14ac:dyDescent="0.3">
      <c r="A40" s="187" t="s">
        <v>98</v>
      </c>
      <c r="B40" s="1"/>
      <c r="C40" s="1"/>
      <c r="D40" s="1"/>
      <c r="E40" s="1"/>
      <c r="F40" s="1"/>
      <c r="G40" s="1"/>
      <c r="H40" s="1"/>
      <c r="I40" s="1"/>
    </row>
    <row r="41" spans="1:9" x14ac:dyDescent="0.3">
      <c r="A41" s="188" t="s">
        <v>99</v>
      </c>
      <c r="B41" s="1"/>
      <c r="C41" s="1"/>
      <c r="D41" s="1"/>
      <c r="E41" s="1"/>
      <c r="F41" s="1"/>
      <c r="G41" s="1"/>
      <c r="H41" s="1"/>
      <c r="I41" s="1"/>
    </row>
    <row r="42" spans="1:9" x14ac:dyDescent="0.3">
      <c r="A42" s="187" t="s">
        <v>100</v>
      </c>
      <c r="B42" s="1"/>
      <c r="C42" s="194">
        <f ca="1">EDATE('Données Devis'!E6,1)</f>
        <v>46228</v>
      </c>
      <c r="D42" s="1"/>
      <c r="E42" s="1"/>
      <c r="F42" s="1"/>
      <c r="G42" s="1"/>
      <c r="H42" s="1"/>
      <c r="I42" s="1"/>
    </row>
    <row r="43" spans="1:9" x14ac:dyDescent="0.3">
      <c r="A43" s="187" t="s">
        <v>101</v>
      </c>
      <c r="B43" s="1"/>
      <c r="C43" s="1" t="s">
        <v>102</v>
      </c>
      <c r="D43" s="1"/>
      <c r="E43" s="1"/>
      <c r="F43" s="1"/>
      <c r="G43" s="1"/>
      <c r="H43" s="1"/>
      <c r="I43" s="1"/>
    </row>
    <row r="44" spans="1:9" x14ac:dyDescent="0.3">
      <c r="A44" s="1"/>
      <c r="B44" s="1"/>
      <c r="C44" s="1"/>
      <c r="D44" s="1"/>
      <c r="E44" s="1"/>
      <c r="F44" s="1"/>
      <c r="G44" s="1"/>
      <c r="H44" s="1"/>
      <c r="I44" s="1"/>
    </row>
    <row r="45" spans="1:9" x14ac:dyDescent="0.3">
      <c r="A45" s="1" t="s">
        <v>103</v>
      </c>
      <c r="B45" s="1"/>
      <c r="C45" s="1"/>
      <c r="D45" s="1"/>
      <c r="E45" s="1"/>
      <c r="F45" s="1"/>
      <c r="G45" s="1"/>
      <c r="H45" s="1"/>
      <c r="I45" s="1"/>
    </row>
    <row r="46" spans="1:9" x14ac:dyDescent="0.3">
      <c r="A46" s="1"/>
      <c r="B46" s="1"/>
      <c r="C46" s="1"/>
      <c r="D46" s="1"/>
      <c r="E46" s="1"/>
      <c r="F46" s="1"/>
      <c r="G46" s="1"/>
      <c r="H46" s="1"/>
      <c r="I46" s="1"/>
    </row>
    <row r="47" spans="1:9" x14ac:dyDescent="0.3">
      <c r="A47" s="186" t="s">
        <v>104</v>
      </c>
      <c r="B47" s="1"/>
      <c r="C47" s="1"/>
      <c r="D47" s="1"/>
      <c r="E47" s="1"/>
      <c r="F47" s="1"/>
      <c r="G47" s="195"/>
      <c r="H47" s="196"/>
      <c r="I47" s="197"/>
    </row>
    <row r="48" spans="1:9" x14ac:dyDescent="0.3">
      <c r="A48" s="1" t="str">
        <f>'Données Devis'!E8</f>
        <v>GARCIA Danièle</v>
      </c>
      <c r="B48" s="1"/>
      <c r="C48" s="1"/>
      <c r="D48" s="1"/>
      <c r="E48" s="1"/>
      <c r="F48" s="1"/>
      <c r="G48" s="198"/>
      <c r="H48" s="1"/>
      <c r="I48" s="199"/>
    </row>
    <row r="49" spans="1:9" x14ac:dyDescent="0.3">
      <c r="A49" s="1" t="str">
        <f>VLOOKUP(A48,Index!K:L,2,0)</f>
        <v>06.73.51.92.44</v>
      </c>
      <c r="B49" s="1"/>
      <c r="C49" s="1"/>
      <c r="D49" s="1"/>
      <c r="E49" s="1"/>
      <c r="F49" s="1"/>
      <c r="G49" s="198"/>
      <c r="H49" s="1"/>
      <c r="I49" s="199"/>
    </row>
    <row r="50" spans="1:9" x14ac:dyDescent="0.3">
      <c r="A50" s="1" t="str">
        <f>VLOOKUP(A48,Index!K:M,3,0)</f>
        <v>daniele.garcia@autajon.com</v>
      </c>
      <c r="B50" s="1"/>
      <c r="C50" s="1"/>
      <c r="D50" s="1"/>
      <c r="E50" s="1"/>
      <c r="F50" s="1"/>
      <c r="G50" s="196"/>
      <c r="H50" s="356" t="s">
        <v>105</v>
      </c>
      <c r="I50" s="196"/>
    </row>
    <row r="51" spans="1:9" x14ac:dyDescent="0.3">
      <c r="A51" s="1"/>
      <c r="B51" s="1"/>
      <c r="C51" s="1"/>
      <c r="D51" s="1"/>
      <c r="E51" s="1"/>
      <c r="F51" s="1"/>
      <c r="G51" s="1"/>
      <c r="H51" s="3" t="s">
        <v>106</v>
      </c>
      <c r="I51" s="1"/>
    </row>
    <row r="52" spans="1:9" x14ac:dyDescent="0.3">
      <c r="A52" s="1"/>
      <c r="B52" s="1"/>
      <c r="C52" s="1"/>
      <c r="D52" s="1"/>
      <c r="E52" s="1"/>
      <c r="F52" s="1"/>
      <c r="G52" s="1"/>
      <c r="I52" s="1"/>
    </row>
    <row r="54" spans="1:9" x14ac:dyDescent="0.3">
      <c r="A54" s="355"/>
      <c r="B54" s="184"/>
      <c r="C54" s="184"/>
      <c r="D54" s="184"/>
      <c r="E54" s="184"/>
      <c r="F54" s="184"/>
      <c r="G54" s="184"/>
      <c r="H54" s="184"/>
      <c r="I54" s="184"/>
    </row>
    <row r="55" spans="1:9" x14ac:dyDescent="0.3">
      <c r="A55" s="184"/>
      <c r="B55" s="184"/>
      <c r="C55" s="184"/>
      <c r="D55" s="184"/>
      <c r="E55" s="184"/>
      <c r="F55" s="184"/>
      <c r="G55" s="184"/>
      <c r="H55" s="184"/>
      <c r="I55" s="184"/>
    </row>
    <row r="56" spans="1:9" x14ac:dyDescent="0.3">
      <c r="A56" s="184"/>
      <c r="B56" s="184"/>
      <c r="C56" s="184"/>
      <c r="D56" s="184"/>
      <c r="E56" s="184"/>
      <c r="F56" s="184"/>
      <c r="G56" s="184"/>
      <c r="H56" s="184"/>
      <c r="I56" s="184"/>
    </row>
    <row r="57" spans="1:9" x14ac:dyDescent="0.3">
      <c r="A57" s="184"/>
      <c r="B57" s="184"/>
      <c r="C57" s="184"/>
      <c r="D57" s="184"/>
      <c r="E57" s="184"/>
      <c r="F57" s="184"/>
      <c r="G57" s="184"/>
      <c r="H57" s="184"/>
      <c r="I57" s="184"/>
    </row>
    <row r="59" spans="1:9" x14ac:dyDescent="0.3">
      <c r="E59" s="358" t="s">
        <v>107</v>
      </c>
    </row>
  </sheetData>
  <mergeCells count="5">
    <mergeCell ref="E17:I19"/>
    <mergeCell ref="A12:A27"/>
    <mergeCell ref="G2:I2"/>
    <mergeCell ref="G3:I3"/>
    <mergeCell ref="G4:I4"/>
  </mergeCells>
  <hyperlinks>
    <hyperlink ref="E59" r:id="rId1" display="https://www.autajon.com/CGV_FR_a_fren_2022_02.pdf" xr:uid="{FD272160-E7C1-4832-9903-4A58B86DC585}"/>
  </hyperlinks>
  <pageMargins left="0.23622047244094491" right="0.23622047244094491" top="0" bottom="0" header="0.31496062992125984" footer="0.11811023622047245"/>
  <pageSetup paperSize="9" scale="95" orientation="portrait" r:id="rId2"/>
  <headerFooter scaleWithDoc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ExportPDF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807720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9B7E451E-30D9-4553-B9E1-BD9CF9BF44AB}">
            <xm:f>VLOOKUP('Données Devis'!$E$7,Index!$AA:$AB,2,0)="CHF"</xm:f>
            <x14:dxf>
              <numFmt numFmtId="182" formatCode="#,##0.00\ [$CHF]"/>
            </x14:dxf>
          </x14:cfRule>
          <xm:sqref>G28:G31 I28:I31 G34:G38 I34:I38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FF9C6-0333-4116-81A0-35A53A81A6DD}">
  <sheetPr codeName="Feuil9"/>
  <dimension ref="A1:T37"/>
  <sheetViews>
    <sheetView showGridLines="0" workbookViewId="0">
      <selection activeCell="E40" sqref="E40"/>
    </sheetView>
  </sheetViews>
  <sheetFormatPr baseColWidth="10" defaultColWidth="11.44140625" defaultRowHeight="14.4" x14ac:dyDescent="0.3"/>
  <cols>
    <col min="1" max="20" width="12.88671875" customWidth="1"/>
  </cols>
  <sheetData>
    <row r="1" spans="1:20" ht="16.2" customHeight="1" x14ac:dyDescent="0.3"/>
    <row r="2" spans="1:20" ht="16.2" customHeight="1" x14ac:dyDescent="0.3"/>
    <row r="3" spans="1:20" ht="16.2" customHeight="1" x14ac:dyDescent="0.3"/>
    <row r="4" spans="1:20" ht="16.2" customHeight="1" x14ac:dyDescent="0.3"/>
    <row r="5" spans="1:20" ht="16.2" customHeight="1" x14ac:dyDescent="0.3"/>
    <row r="6" spans="1:20" ht="16.2" customHeight="1" x14ac:dyDescent="0.3"/>
    <row r="7" spans="1:20" ht="16.2" customHeight="1" x14ac:dyDescent="0.3"/>
    <row r="8" spans="1:20" ht="16.2" customHeight="1" x14ac:dyDescent="0.3"/>
    <row r="9" spans="1:20" ht="16.2" customHeight="1" x14ac:dyDescent="0.3"/>
    <row r="10" spans="1:20" s="372" customFormat="1" ht="16.2" customHeight="1" x14ac:dyDescent="0.3">
      <c r="A10" s="447" t="s">
        <v>108</v>
      </c>
      <c r="B10" s="447"/>
      <c r="D10" s="447" t="s">
        <v>109</v>
      </c>
      <c r="E10" s="447"/>
      <c r="G10" s="447" t="s">
        <v>110</v>
      </c>
      <c r="H10" s="447"/>
      <c r="J10" s="447" t="s">
        <v>111</v>
      </c>
      <c r="K10" s="447"/>
      <c r="M10" s="447" t="s">
        <v>112</v>
      </c>
      <c r="N10" s="447"/>
      <c r="P10" s="447" t="s">
        <v>113</v>
      </c>
      <c r="Q10" s="447"/>
      <c r="S10" s="447" t="s">
        <v>114</v>
      </c>
      <c r="T10" s="447"/>
    </row>
    <row r="11" spans="1:20" s="372" customFormat="1" ht="16.2" customHeight="1" x14ac:dyDescent="0.3">
      <c r="A11" s="447"/>
      <c r="B11" s="447"/>
      <c r="D11" s="447"/>
      <c r="E11" s="447"/>
      <c r="G11" s="447"/>
      <c r="H11" s="447"/>
      <c r="J11" s="447"/>
      <c r="K11" s="447"/>
      <c r="M11" s="447"/>
      <c r="N11" s="447"/>
      <c r="P11" s="447"/>
      <c r="Q11" s="447"/>
      <c r="S11" s="447"/>
      <c r="T11" s="447"/>
    </row>
    <row r="12" spans="1:20" ht="16.2" customHeight="1" x14ac:dyDescent="0.3"/>
    <row r="13" spans="1:20" ht="16.2" customHeight="1" x14ac:dyDescent="0.3"/>
    <row r="14" spans="1:20" ht="16.2" customHeight="1" x14ac:dyDescent="0.3"/>
    <row r="15" spans="1:20" ht="16.2" customHeight="1" x14ac:dyDescent="0.3"/>
    <row r="16" spans="1:20" ht="16.2" customHeight="1" x14ac:dyDescent="0.3"/>
    <row r="17" spans="1:20" ht="16.2" customHeight="1" x14ac:dyDescent="0.3"/>
    <row r="18" spans="1:20" ht="16.2" customHeight="1" x14ac:dyDescent="0.3"/>
    <row r="19" spans="1:20" ht="16.2" customHeight="1" x14ac:dyDescent="0.3"/>
    <row r="20" spans="1:20" ht="16.2" customHeight="1" x14ac:dyDescent="0.3"/>
    <row r="21" spans="1:20" ht="16.2" customHeight="1" x14ac:dyDescent="0.3"/>
    <row r="22" spans="1:20" s="372" customFormat="1" ht="16.2" customHeight="1" x14ac:dyDescent="0.3">
      <c r="A22" s="447" t="s">
        <v>115</v>
      </c>
      <c r="B22" s="447"/>
      <c r="D22" s="447" t="s">
        <v>116</v>
      </c>
      <c r="E22" s="447"/>
      <c r="G22" s="447" t="s">
        <v>117</v>
      </c>
      <c r="H22" s="447"/>
      <c r="J22" s="447" t="s">
        <v>118</v>
      </c>
      <c r="K22" s="447"/>
      <c r="M22" s="447" t="s">
        <v>119</v>
      </c>
      <c r="N22" s="447"/>
      <c r="P22" s="447" t="s">
        <v>120</v>
      </c>
      <c r="Q22" s="447"/>
      <c r="S22" s="447" t="s">
        <v>121</v>
      </c>
      <c r="T22" s="447"/>
    </row>
    <row r="23" spans="1:20" s="372" customFormat="1" ht="16.2" customHeight="1" x14ac:dyDescent="0.3">
      <c r="A23" s="447"/>
      <c r="B23" s="447"/>
      <c r="D23" s="447"/>
      <c r="E23" s="447"/>
      <c r="G23" s="447"/>
      <c r="H23" s="447"/>
      <c r="J23" s="447"/>
      <c r="K23" s="447"/>
      <c r="M23" s="447"/>
      <c r="N23" s="447"/>
      <c r="P23" s="447"/>
      <c r="Q23" s="447"/>
      <c r="S23" s="447"/>
      <c r="T23" s="447"/>
    </row>
    <row r="24" spans="1:20" ht="16.2" customHeight="1" x14ac:dyDescent="0.3"/>
    <row r="25" spans="1:20" ht="16.2" customHeight="1" x14ac:dyDescent="0.3"/>
    <row r="26" spans="1:20" ht="16.2" customHeight="1" x14ac:dyDescent="0.3"/>
    <row r="27" spans="1:20" ht="16.2" customHeight="1" x14ac:dyDescent="0.3"/>
    <row r="28" spans="1:20" ht="16.2" customHeight="1" x14ac:dyDescent="0.3"/>
    <row r="29" spans="1:20" ht="16.2" customHeight="1" x14ac:dyDescent="0.3"/>
    <row r="30" spans="1:20" ht="16.2" customHeight="1" x14ac:dyDescent="0.3"/>
    <row r="31" spans="1:20" ht="16.2" customHeight="1" x14ac:dyDescent="0.3"/>
    <row r="32" spans="1:20" ht="16.2" customHeight="1" x14ac:dyDescent="0.3"/>
    <row r="33" spans="1:17" ht="16.2" customHeight="1" x14ac:dyDescent="0.3"/>
    <row r="34" spans="1:17" s="372" customFormat="1" ht="16.2" customHeight="1" x14ac:dyDescent="0.3">
      <c r="A34" s="447" t="s">
        <v>122</v>
      </c>
      <c r="B34" s="447"/>
      <c r="D34" s="447" t="s">
        <v>123</v>
      </c>
      <c r="E34" s="447"/>
      <c r="G34" s="447" t="s">
        <v>124</v>
      </c>
      <c r="H34" s="447"/>
      <c r="J34" s="447" t="s">
        <v>125</v>
      </c>
      <c r="K34" s="447"/>
      <c r="M34" s="447" t="s">
        <v>126</v>
      </c>
      <c r="N34" s="447"/>
      <c r="P34" s="447" t="s">
        <v>127</v>
      </c>
      <c r="Q34" s="447"/>
    </row>
    <row r="35" spans="1:17" s="372" customFormat="1" ht="16.2" customHeight="1" x14ac:dyDescent="0.3">
      <c r="A35" s="447"/>
      <c r="B35" s="447"/>
      <c r="D35" s="447"/>
      <c r="E35" s="447"/>
      <c r="G35" s="447"/>
      <c r="H35" s="447"/>
      <c r="J35" s="447"/>
      <c r="K35" s="447"/>
      <c r="M35" s="447"/>
      <c r="N35" s="447"/>
      <c r="P35" s="447"/>
      <c r="Q35" s="447"/>
    </row>
    <row r="36" spans="1:17" ht="15" customHeight="1" x14ac:dyDescent="0.3"/>
    <row r="37" spans="1:17" ht="15" customHeight="1" x14ac:dyDescent="0.3"/>
  </sheetData>
  <mergeCells count="20">
    <mergeCell ref="S10:T11"/>
    <mergeCell ref="A22:B23"/>
    <mergeCell ref="D22:E23"/>
    <mergeCell ref="G22:H23"/>
    <mergeCell ref="J22:K23"/>
    <mergeCell ref="M22:N23"/>
    <mergeCell ref="P22:Q23"/>
    <mergeCell ref="S22:T23"/>
    <mergeCell ref="A10:B11"/>
    <mergeCell ref="D10:E11"/>
    <mergeCell ref="G10:H11"/>
    <mergeCell ref="J10:K11"/>
    <mergeCell ref="M10:N11"/>
    <mergeCell ref="P10:Q11"/>
    <mergeCell ref="G34:H35"/>
    <mergeCell ref="J34:K35"/>
    <mergeCell ref="M34:N35"/>
    <mergeCell ref="P34:Q35"/>
    <mergeCell ref="A34:B35"/>
    <mergeCell ref="D34:E3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84C88-268B-42F8-A8C9-5F1B2CE1D9DB}">
  <sheetPr codeName="Feuil4">
    <tabColor theme="0" tint="-0.34998626667073579"/>
  </sheetPr>
  <dimension ref="A1:AD139"/>
  <sheetViews>
    <sheetView topLeftCell="A103" workbookViewId="0">
      <selection activeCell="E40" sqref="E40"/>
    </sheetView>
  </sheetViews>
  <sheetFormatPr baseColWidth="10" defaultColWidth="11.44140625" defaultRowHeight="14.4" x14ac:dyDescent="0.3"/>
  <cols>
    <col min="2" max="2" width="14" customWidth="1"/>
    <col min="3" max="3" width="64.6640625" bestFit="1" customWidth="1"/>
    <col min="5" max="5" width="13.5546875" bestFit="1" customWidth="1"/>
    <col min="6" max="6" width="23" customWidth="1"/>
    <col min="11" max="11" width="20.6640625" customWidth="1"/>
    <col min="12" max="12" width="15" customWidth="1"/>
    <col min="13" max="13" width="30.88671875" customWidth="1"/>
    <col min="15" max="15" width="64.6640625" bestFit="1" customWidth="1"/>
    <col min="17" max="17" width="9.44140625" customWidth="1"/>
    <col min="18" max="18" width="11.6640625" customWidth="1"/>
    <col min="20" max="20" width="6.6640625" customWidth="1"/>
    <col min="21" max="21" width="11.6640625" customWidth="1"/>
  </cols>
  <sheetData>
    <row r="1" spans="1:30" x14ac:dyDescent="0.3">
      <c r="A1" t="s">
        <v>128</v>
      </c>
      <c r="B1" t="s">
        <v>129</v>
      </c>
      <c r="C1" t="s">
        <v>130</v>
      </c>
      <c r="E1" t="s">
        <v>131</v>
      </c>
      <c r="F1" t="s">
        <v>132</v>
      </c>
      <c r="J1" t="s">
        <v>128</v>
      </c>
      <c r="K1" t="s">
        <v>13</v>
      </c>
      <c r="L1" t="s">
        <v>133</v>
      </c>
      <c r="M1" t="s">
        <v>134</v>
      </c>
      <c r="O1" t="s">
        <v>135</v>
      </c>
      <c r="P1" t="s">
        <v>136</v>
      </c>
      <c r="R1" t="s">
        <v>46</v>
      </c>
      <c r="S1" t="s">
        <v>128</v>
      </c>
      <c r="U1" t="s">
        <v>34</v>
      </c>
      <c r="V1" t="s">
        <v>128</v>
      </c>
      <c r="X1" t="s">
        <v>44</v>
      </c>
      <c r="Y1" t="s">
        <v>128</v>
      </c>
      <c r="AA1" t="s">
        <v>128</v>
      </c>
      <c r="AB1" t="s">
        <v>137</v>
      </c>
      <c r="AC1" t="s">
        <v>138</v>
      </c>
    </row>
    <row r="2" spans="1:30" x14ac:dyDescent="0.3">
      <c r="A2" t="str">
        <f>'Code Couleur'!A817</f>
        <v>AEBO</v>
      </c>
      <c r="B2" s="154" t="str">
        <f>'Code Couleur'!D817</f>
        <v>Ni couleur ni vernis</v>
      </c>
      <c r="C2" t="str">
        <f>'Code Couleur'!O817</f>
        <v>Ni couleur ni vernis</v>
      </c>
      <c r="E2" t="s">
        <v>139</v>
      </c>
      <c r="F2" s="201" t="s">
        <v>140</v>
      </c>
      <c r="J2" t="s">
        <v>141</v>
      </c>
      <c r="K2" s="200" t="s">
        <v>142</v>
      </c>
      <c r="L2" s="200" t="s">
        <v>143</v>
      </c>
      <c r="M2" s="200" t="s">
        <v>144</v>
      </c>
      <c r="O2" t="s">
        <v>145</v>
      </c>
      <c r="P2" t="s">
        <v>146</v>
      </c>
      <c r="R2" t="s">
        <v>35</v>
      </c>
      <c r="S2" t="s">
        <v>141</v>
      </c>
      <c r="U2" t="s">
        <v>35</v>
      </c>
      <c r="V2" t="s">
        <v>141</v>
      </c>
      <c r="X2" t="s">
        <v>35</v>
      </c>
      <c r="Y2" t="s">
        <v>141</v>
      </c>
      <c r="AA2" t="s">
        <v>147</v>
      </c>
      <c r="AB2" t="s">
        <v>148</v>
      </c>
      <c r="AC2">
        <v>1</v>
      </c>
    </row>
    <row r="3" spans="1:30" x14ac:dyDescent="0.3">
      <c r="A3" t="str">
        <f>'Code Couleur'!A818</f>
        <v>AEBO</v>
      </c>
      <c r="B3" s="154" t="str">
        <f>'Code Couleur'!D818</f>
        <v>1S</v>
      </c>
      <c r="C3" t="str">
        <f>'Code Couleur'!O818</f>
        <v>1 Couleur Sérigraphie</v>
      </c>
      <c r="E3" t="s">
        <v>139</v>
      </c>
      <c r="F3" t="s">
        <v>149</v>
      </c>
      <c r="J3" t="s">
        <v>141</v>
      </c>
      <c r="K3" s="200" t="s">
        <v>150</v>
      </c>
      <c r="L3" s="200" t="s">
        <v>151</v>
      </c>
      <c r="M3" s="200" t="s">
        <v>152</v>
      </c>
      <c r="O3" t="s">
        <v>145</v>
      </c>
      <c r="P3" t="s">
        <v>153</v>
      </c>
      <c r="R3">
        <v>1</v>
      </c>
      <c r="S3" t="s">
        <v>141</v>
      </c>
      <c r="U3" t="s">
        <v>154</v>
      </c>
      <c r="V3" t="s">
        <v>155</v>
      </c>
      <c r="X3">
        <v>1</v>
      </c>
      <c r="Y3" t="s">
        <v>141</v>
      </c>
      <c r="AA3" t="s">
        <v>141</v>
      </c>
      <c r="AB3" t="s">
        <v>148</v>
      </c>
      <c r="AC3">
        <v>1</v>
      </c>
    </row>
    <row r="4" spans="1:30" x14ac:dyDescent="0.3">
      <c r="A4" t="str">
        <f>'Code Couleur'!A819</f>
        <v>AEBO</v>
      </c>
      <c r="B4" s="154" t="str">
        <f>'Code Couleur'!D819</f>
        <v>1S+1VS</v>
      </c>
      <c r="C4" t="str">
        <f>'Code Couleur'!O819</f>
        <v xml:space="preserve">1 Couleur Sérigraphie + 1 Vernis Sérigraphie </v>
      </c>
      <c r="E4" t="s">
        <v>139</v>
      </c>
      <c r="F4" t="s">
        <v>156</v>
      </c>
      <c r="J4" t="s">
        <v>141</v>
      </c>
      <c r="K4" s="200" t="s">
        <v>157</v>
      </c>
      <c r="L4" s="200" t="s">
        <v>158</v>
      </c>
      <c r="M4" s="200" t="s">
        <v>159</v>
      </c>
      <c r="O4" t="s">
        <v>145</v>
      </c>
      <c r="P4" t="s">
        <v>160</v>
      </c>
      <c r="R4" t="s">
        <v>35</v>
      </c>
      <c r="S4" t="s">
        <v>155</v>
      </c>
      <c r="U4" t="s">
        <v>35</v>
      </c>
      <c r="V4" t="s">
        <v>155</v>
      </c>
      <c r="X4">
        <v>2</v>
      </c>
      <c r="Y4" t="s">
        <v>141</v>
      </c>
      <c r="AA4" t="s">
        <v>139</v>
      </c>
      <c r="AB4" t="s">
        <v>148</v>
      </c>
      <c r="AC4">
        <v>1</v>
      </c>
    </row>
    <row r="5" spans="1:30" x14ac:dyDescent="0.3">
      <c r="A5" t="str">
        <f>'Code Couleur'!A820</f>
        <v>AEBO</v>
      </c>
      <c r="B5" s="154" t="str">
        <f>'Code Couleur'!D820</f>
        <v>1UF</v>
      </c>
      <c r="C5" t="str">
        <f>'Code Couleur'!O820</f>
        <v>1 Couleur Flexo</v>
      </c>
      <c r="E5" t="s">
        <v>139</v>
      </c>
      <c r="F5" s="169" t="s">
        <v>161</v>
      </c>
      <c r="J5" t="s">
        <v>141</v>
      </c>
      <c r="K5" s="200" t="s">
        <v>162</v>
      </c>
      <c r="L5" s="200" t="s">
        <v>163</v>
      </c>
      <c r="M5" s="200" t="s">
        <v>164</v>
      </c>
      <c r="O5" t="s">
        <v>145</v>
      </c>
      <c r="P5" t="s">
        <v>165</v>
      </c>
      <c r="R5">
        <v>1</v>
      </c>
      <c r="S5" t="s">
        <v>155</v>
      </c>
      <c r="U5" t="s">
        <v>35</v>
      </c>
      <c r="V5" t="s">
        <v>11</v>
      </c>
      <c r="X5" t="s">
        <v>35</v>
      </c>
      <c r="Y5" t="s">
        <v>155</v>
      </c>
      <c r="AA5" t="s">
        <v>155</v>
      </c>
      <c r="AB5" t="s">
        <v>148</v>
      </c>
      <c r="AC5">
        <v>1</v>
      </c>
    </row>
    <row r="6" spans="1:30" x14ac:dyDescent="0.3">
      <c r="A6" t="str">
        <f>'Code Couleur'!A821</f>
        <v>AEBO</v>
      </c>
      <c r="B6" s="154" t="str">
        <f>'Code Couleur'!D821</f>
        <v>1UF+1S</v>
      </c>
      <c r="C6" t="str">
        <f>'Code Couleur'!O821</f>
        <v>1 Couleur Flexo + 1 Couleur Sérigraphie</v>
      </c>
      <c r="E6" t="s">
        <v>11</v>
      </c>
      <c r="F6" s="201" t="s">
        <v>140</v>
      </c>
      <c r="J6" t="s">
        <v>141</v>
      </c>
      <c r="K6" s="200" t="s">
        <v>166</v>
      </c>
      <c r="L6" s="200" t="s">
        <v>167</v>
      </c>
      <c r="M6" s="200" t="s">
        <v>168</v>
      </c>
      <c r="O6" t="s">
        <v>169</v>
      </c>
      <c r="P6" t="s">
        <v>146</v>
      </c>
      <c r="R6" t="s">
        <v>35</v>
      </c>
      <c r="S6" t="s">
        <v>11</v>
      </c>
      <c r="U6" t="s">
        <v>35</v>
      </c>
      <c r="V6" t="s">
        <v>139</v>
      </c>
      <c r="X6">
        <v>1</v>
      </c>
      <c r="Y6" t="s">
        <v>155</v>
      </c>
      <c r="AA6" t="s">
        <v>170</v>
      </c>
      <c r="AB6" t="s">
        <v>148</v>
      </c>
      <c r="AC6">
        <v>1</v>
      </c>
    </row>
    <row r="7" spans="1:30" x14ac:dyDescent="0.3">
      <c r="A7" t="str">
        <f>'Code Couleur'!A822</f>
        <v>AEBO</v>
      </c>
      <c r="B7" s="154" t="str">
        <f>'Code Couleur'!D822</f>
        <v>1UF+1VF</v>
      </c>
      <c r="C7" t="str">
        <f>'Code Couleur'!O822</f>
        <v>1 Couleur Flexo + 1 Vernis Flexo</v>
      </c>
      <c r="E7" t="s">
        <v>11</v>
      </c>
      <c r="F7" s="169" t="s">
        <v>49</v>
      </c>
      <c r="J7" t="s">
        <v>141</v>
      </c>
      <c r="K7" s="200" t="s">
        <v>171</v>
      </c>
      <c r="L7" s="200" t="s">
        <v>172</v>
      </c>
      <c r="M7" s="200" t="s">
        <v>173</v>
      </c>
      <c r="O7" t="s">
        <v>169</v>
      </c>
      <c r="P7" t="s">
        <v>153</v>
      </c>
      <c r="R7" t="s">
        <v>35</v>
      </c>
      <c r="S7" t="s">
        <v>139</v>
      </c>
      <c r="U7" t="s">
        <v>35</v>
      </c>
      <c r="V7" t="s">
        <v>147</v>
      </c>
      <c r="X7">
        <v>2</v>
      </c>
      <c r="Y7" t="s">
        <v>155</v>
      </c>
      <c r="AA7" t="s">
        <v>174</v>
      </c>
      <c r="AB7" t="s">
        <v>175</v>
      </c>
      <c r="AC7">
        <v>1.0660700000000001</v>
      </c>
      <c r="AD7" s="361" t="s">
        <v>176</v>
      </c>
    </row>
    <row r="8" spans="1:30" x14ac:dyDescent="0.3">
      <c r="A8" t="str">
        <f>'Code Couleur'!A823</f>
        <v>AEBO</v>
      </c>
      <c r="B8" s="154" t="str">
        <f>'Code Couleur'!D823</f>
        <v>1UF+1VS</v>
      </c>
      <c r="C8" t="str">
        <f>'Code Couleur'!O823</f>
        <v xml:space="preserve">1 Couleur Flexo + 1 Vernis Sérigraphie </v>
      </c>
      <c r="E8" t="s">
        <v>11</v>
      </c>
      <c r="F8" s="169" t="s">
        <v>161</v>
      </c>
      <c r="J8" t="s">
        <v>147</v>
      </c>
      <c r="K8" s="202" t="s">
        <v>177</v>
      </c>
      <c r="L8" s="202" t="s">
        <v>178</v>
      </c>
      <c r="M8" s="202" t="s">
        <v>179</v>
      </c>
      <c r="O8" t="s">
        <v>169</v>
      </c>
      <c r="P8" t="s">
        <v>160</v>
      </c>
      <c r="R8" t="s">
        <v>35</v>
      </c>
      <c r="S8" t="s">
        <v>147</v>
      </c>
      <c r="U8" t="s">
        <v>35</v>
      </c>
      <c r="V8" t="s">
        <v>170</v>
      </c>
      <c r="X8" t="s">
        <v>35</v>
      </c>
      <c r="Y8" t="s">
        <v>147</v>
      </c>
      <c r="AA8" t="s">
        <v>11</v>
      </c>
      <c r="AB8" t="s">
        <v>148</v>
      </c>
      <c r="AC8">
        <v>1</v>
      </c>
    </row>
    <row r="9" spans="1:30" x14ac:dyDescent="0.3">
      <c r="A9" t="str">
        <f>'Code Couleur'!A824</f>
        <v>AEBO</v>
      </c>
      <c r="B9" s="154" t="str">
        <f>'Code Couleur'!D824</f>
        <v>1VF</v>
      </c>
      <c r="C9" t="str">
        <f>'Code Couleur'!O824</f>
        <v>1 Vernis Flexo</v>
      </c>
      <c r="E9" t="s">
        <v>155</v>
      </c>
      <c r="F9" s="169" t="s">
        <v>140</v>
      </c>
      <c r="J9" t="s">
        <v>147</v>
      </c>
      <c r="K9" s="202" t="s">
        <v>180</v>
      </c>
      <c r="L9" s="202" t="s">
        <v>181</v>
      </c>
      <c r="M9" s="202" t="s">
        <v>182</v>
      </c>
      <c r="O9" t="s">
        <v>169</v>
      </c>
      <c r="P9" t="s">
        <v>165</v>
      </c>
      <c r="R9" t="s">
        <v>35</v>
      </c>
      <c r="S9" t="s">
        <v>170</v>
      </c>
      <c r="X9">
        <v>1</v>
      </c>
      <c r="Y9" t="s">
        <v>147</v>
      </c>
    </row>
    <row r="10" spans="1:30" x14ac:dyDescent="0.3">
      <c r="A10" t="str">
        <f>'Code Couleur'!A825</f>
        <v>AEBO</v>
      </c>
      <c r="B10" s="154" t="str">
        <f>'Code Couleur'!D825</f>
        <v>1VF+1S</v>
      </c>
      <c r="C10" t="str">
        <f>'Code Couleur'!O825</f>
        <v>1 Couleur Sérigraphie + 1 Vernis Flexo</v>
      </c>
      <c r="E10" t="s">
        <v>155</v>
      </c>
      <c r="F10" s="169" t="s">
        <v>183</v>
      </c>
      <c r="J10" t="s">
        <v>147</v>
      </c>
      <c r="K10" s="202" t="s">
        <v>184</v>
      </c>
      <c r="L10" s="202" t="s">
        <v>185</v>
      </c>
      <c r="M10" s="202" t="s">
        <v>186</v>
      </c>
      <c r="O10" t="s">
        <v>187</v>
      </c>
      <c r="P10" t="s">
        <v>146</v>
      </c>
      <c r="X10">
        <v>2</v>
      </c>
      <c r="Y10" t="s">
        <v>147</v>
      </c>
    </row>
    <row r="11" spans="1:30" x14ac:dyDescent="0.3">
      <c r="A11" t="str">
        <f>'Code Couleur'!A826</f>
        <v>AEBO</v>
      </c>
      <c r="B11" s="154" t="str">
        <f>'Code Couleur'!D826</f>
        <v>1VF+1VS</v>
      </c>
      <c r="C11" t="str">
        <f>'Code Couleur'!O826</f>
        <v xml:space="preserve">1 Vernis Flexo + 1 Vernis Sérigraphie </v>
      </c>
      <c r="E11" t="s">
        <v>155</v>
      </c>
      <c r="F11" s="169" t="s">
        <v>161</v>
      </c>
      <c r="J11" t="s">
        <v>147</v>
      </c>
      <c r="K11" s="202" t="s">
        <v>188</v>
      </c>
      <c r="L11" s="202" t="s">
        <v>189</v>
      </c>
      <c r="M11" s="202" t="s">
        <v>190</v>
      </c>
      <c r="O11" t="s">
        <v>187</v>
      </c>
      <c r="P11" t="s">
        <v>153</v>
      </c>
      <c r="X11" t="s">
        <v>35</v>
      </c>
      <c r="Y11" t="s">
        <v>139</v>
      </c>
    </row>
    <row r="12" spans="1:30" x14ac:dyDescent="0.3">
      <c r="A12" t="str">
        <f>'Code Couleur'!A827</f>
        <v>AEBO</v>
      </c>
      <c r="B12" s="154" t="str">
        <f>'Code Couleur'!D827</f>
        <v>1VS</v>
      </c>
      <c r="C12" t="str">
        <f>'Code Couleur'!O827</f>
        <v xml:space="preserve">1 Vernis Sérigraphie </v>
      </c>
      <c r="E12" t="s">
        <v>147</v>
      </c>
      <c r="F12" s="169" t="s">
        <v>140</v>
      </c>
      <c r="J12" t="s">
        <v>147</v>
      </c>
      <c r="K12" s="202" t="s">
        <v>191</v>
      </c>
      <c r="L12" s="202" t="s">
        <v>192</v>
      </c>
      <c r="M12" s="202" t="s">
        <v>193</v>
      </c>
      <c r="O12" t="s">
        <v>187</v>
      </c>
      <c r="P12" t="s">
        <v>160</v>
      </c>
      <c r="X12">
        <v>1</v>
      </c>
      <c r="Y12" t="s">
        <v>139</v>
      </c>
    </row>
    <row r="13" spans="1:30" x14ac:dyDescent="0.3">
      <c r="A13" t="str">
        <f>'Code Couleur'!A828</f>
        <v>AEBO</v>
      </c>
      <c r="B13" s="154" t="str">
        <f>'Code Couleur'!D828</f>
        <v>2UF</v>
      </c>
      <c r="C13" t="str">
        <f>'Code Couleur'!O828</f>
        <v>2 Couleurs Flexo</v>
      </c>
      <c r="E13" t="s">
        <v>147</v>
      </c>
      <c r="F13" s="169" t="s">
        <v>194</v>
      </c>
      <c r="J13" t="s">
        <v>147</v>
      </c>
      <c r="K13" s="202" t="s">
        <v>195</v>
      </c>
      <c r="L13" s="202" t="s">
        <v>196</v>
      </c>
      <c r="M13" s="202" t="s">
        <v>197</v>
      </c>
      <c r="O13" t="s">
        <v>187</v>
      </c>
      <c r="P13" t="s">
        <v>165</v>
      </c>
      <c r="X13">
        <v>2</v>
      </c>
      <c r="Y13" t="s">
        <v>139</v>
      </c>
    </row>
    <row r="14" spans="1:30" x14ac:dyDescent="0.3">
      <c r="A14" t="str">
        <f>'Code Couleur'!A829</f>
        <v>AEME</v>
      </c>
      <c r="B14" s="154" t="str">
        <f>'Code Couleur'!D829</f>
        <v>Ni couleur ni vernis</v>
      </c>
      <c r="C14" t="str">
        <f>'Code Couleur'!O829</f>
        <v>Ni couleur ni vernis</v>
      </c>
      <c r="E14" t="s">
        <v>147</v>
      </c>
      <c r="F14" s="169" t="s">
        <v>161</v>
      </c>
      <c r="J14" t="s">
        <v>139</v>
      </c>
      <c r="K14" s="202" t="s">
        <v>198</v>
      </c>
      <c r="L14" s="200" t="s">
        <v>199</v>
      </c>
      <c r="M14" s="202" t="s">
        <v>200</v>
      </c>
      <c r="O14" t="s">
        <v>201</v>
      </c>
      <c r="P14" t="s">
        <v>146</v>
      </c>
      <c r="X14" t="s">
        <v>35</v>
      </c>
      <c r="Y14" t="s">
        <v>11</v>
      </c>
    </row>
    <row r="15" spans="1:30" x14ac:dyDescent="0.3">
      <c r="A15" t="str">
        <f>'Code Couleur'!A830</f>
        <v>AEME</v>
      </c>
      <c r="B15" s="154" t="str">
        <f>'Code Couleur'!D830</f>
        <v>1S</v>
      </c>
      <c r="C15" t="str">
        <f>'Code Couleur'!O830</f>
        <v>1 Couleur Sérigraphie</v>
      </c>
      <c r="E15" t="s">
        <v>141</v>
      </c>
      <c r="F15" s="169" t="s">
        <v>140</v>
      </c>
      <c r="J15" t="s">
        <v>139</v>
      </c>
      <c r="K15" s="202" t="s">
        <v>202</v>
      </c>
      <c r="L15" s="200" t="s">
        <v>203</v>
      </c>
      <c r="M15" s="202" t="s">
        <v>204</v>
      </c>
      <c r="O15" t="s">
        <v>201</v>
      </c>
      <c r="P15" t="s">
        <v>153</v>
      </c>
      <c r="X15">
        <v>1</v>
      </c>
      <c r="Y15" t="s">
        <v>11</v>
      </c>
    </row>
    <row r="16" spans="1:30" x14ac:dyDescent="0.3">
      <c r="A16" t="str">
        <f>'Code Couleur'!A831</f>
        <v>AEME</v>
      </c>
      <c r="B16" s="154" t="str">
        <f>'Code Couleur'!D831</f>
        <v>1UF</v>
      </c>
      <c r="C16" t="str">
        <f>'Code Couleur'!O831</f>
        <v>1 Couleur Flexo</v>
      </c>
      <c r="E16" t="s">
        <v>141</v>
      </c>
      <c r="F16" s="201" t="s">
        <v>205</v>
      </c>
      <c r="J16" t="s">
        <v>139</v>
      </c>
      <c r="K16" s="202" t="s">
        <v>206</v>
      </c>
      <c r="L16" s="200" t="s">
        <v>207</v>
      </c>
      <c r="M16" s="202" t="s">
        <v>208</v>
      </c>
      <c r="O16" t="s">
        <v>201</v>
      </c>
      <c r="P16" t="s">
        <v>160</v>
      </c>
      <c r="X16">
        <v>2</v>
      </c>
      <c r="Y16" t="s">
        <v>11</v>
      </c>
    </row>
    <row r="17" spans="1:25" x14ac:dyDescent="0.3">
      <c r="A17" t="str">
        <f>'Code Couleur'!A832</f>
        <v>AEME</v>
      </c>
      <c r="B17" s="154" t="str">
        <f>'Code Couleur'!D832</f>
        <v>1UF+1S</v>
      </c>
      <c r="C17" t="str">
        <f>'Code Couleur'!O832</f>
        <v>1 Couleur Flexo + 1 Couleur Sérigraphie</v>
      </c>
      <c r="E17" t="s">
        <v>141</v>
      </c>
      <c r="F17" s="201" t="s">
        <v>209</v>
      </c>
      <c r="J17" t="s">
        <v>139</v>
      </c>
      <c r="K17" s="202" t="s">
        <v>210</v>
      </c>
      <c r="L17" s="200" t="s">
        <v>211</v>
      </c>
      <c r="M17" s="202" t="s">
        <v>212</v>
      </c>
      <c r="O17" t="s">
        <v>201</v>
      </c>
      <c r="P17" t="s">
        <v>165</v>
      </c>
      <c r="X17" t="s">
        <v>35</v>
      </c>
      <c r="Y17" t="s">
        <v>170</v>
      </c>
    </row>
    <row r="18" spans="1:25" x14ac:dyDescent="0.3">
      <c r="A18" t="str">
        <f>'Code Couleur'!A833</f>
        <v>AEME</v>
      </c>
      <c r="B18" s="154" t="str">
        <f>'Code Couleur'!D833</f>
        <v>1UF+1VS</v>
      </c>
      <c r="C18" t="str">
        <f>'Code Couleur'!O833</f>
        <v xml:space="preserve">1 Couleur Flexo + 1 Vernis Sérigraphie </v>
      </c>
      <c r="E18" t="s">
        <v>141</v>
      </c>
      <c r="F18" s="169" t="s">
        <v>161</v>
      </c>
      <c r="J18" t="s">
        <v>139</v>
      </c>
      <c r="K18" s="202" t="s">
        <v>213</v>
      </c>
      <c r="L18" s="200" t="s">
        <v>214</v>
      </c>
      <c r="M18" s="202" t="s">
        <v>215</v>
      </c>
      <c r="O18" t="s">
        <v>216</v>
      </c>
      <c r="P18" t="s">
        <v>146</v>
      </c>
      <c r="X18">
        <v>1</v>
      </c>
      <c r="Y18" t="s">
        <v>170</v>
      </c>
    </row>
    <row r="19" spans="1:25" x14ac:dyDescent="0.3">
      <c r="A19" t="str">
        <f>'Code Couleur'!A834</f>
        <v>AEME</v>
      </c>
      <c r="B19" s="154" t="str">
        <f>'Code Couleur'!D834</f>
        <v>1VF</v>
      </c>
      <c r="C19" t="str">
        <f>'Code Couleur'!O834</f>
        <v>1 Vernis Flexo</v>
      </c>
      <c r="E19" t="s">
        <v>170</v>
      </c>
      <c r="F19" s="201" t="s">
        <v>140</v>
      </c>
      <c r="J19" t="s">
        <v>139</v>
      </c>
      <c r="K19" s="202" t="s">
        <v>217</v>
      </c>
      <c r="L19" s="200" t="s">
        <v>218</v>
      </c>
      <c r="M19" s="202" t="s">
        <v>219</v>
      </c>
      <c r="O19" t="s">
        <v>216</v>
      </c>
      <c r="P19" t="s">
        <v>153</v>
      </c>
      <c r="X19">
        <v>2</v>
      </c>
      <c r="Y19" t="s">
        <v>170</v>
      </c>
    </row>
    <row r="20" spans="1:25" x14ac:dyDescent="0.3">
      <c r="A20" t="str">
        <f>'Code Couleur'!A835</f>
        <v>AEME</v>
      </c>
      <c r="B20" s="154" t="str">
        <f>'Code Couleur'!D835</f>
        <v>1VF+1VS</v>
      </c>
      <c r="C20" t="str">
        <f>'Code Couleur'!O835</f>
        <v xml:space="preserve">1 Vernis Flexo + 1 Vernis Sérigraphie </v>
      </c>
      <c r="E20" t="s">
        <v>170</v>
      </c>
      <c r="F20" s="169" t="s">
        <v>220</v>
      </c>
      <c r="J20" t="s">
        <v>139</v>
      </c>
      <c r="K20" s="227" t="s">
        <v>221</v>
      </c>
      <c r="L20" s="227" t="s">
        <v>222</v>
      </c>
      <c r="M20" s="409" t="s">
        <v>223</v>
      </c>
      <c r="O20" t="s">
        <v>216</v>
      </c>
      <c r="P20" t="s">
        <v>160</v>
      </c>
    </row>
    <row r="21" spans="1:25" x14ac:dyDescent="0.3">
      <c r="A21" t="str">
        <f>'Code Couleur'!A836</f>
        <v>AEME</v>
      </c>
      <c r="B21" s="154" t="str">
        <f>'Code Couleur'!D836</f>
        <v>1VS</v>
      </c>
      <c r="C21" t="str">
        <f>'Code Couleur'!O836</f>
        <v xml:space="preserve">1 Vernis Sérigraphie </v>
      </c>
      <c r="E21" t="s">
        <v>170</v>
      </c>
      <c r="F21" s="169" t="s">
        <v>34</v>
      </c>
      <c r="J21" t="s">
        <v>170</v>
      </c>
      <c r="K21" s="202" t="s">
        <v>224</v>
      </c>
      <c r="L21" s="202" t="s">
        <v>225</v>
      </c>
      <c r="M21" s="202" t="s">
        <v>226</v>
      </c>
      <c r="O21" t="s">
        <v>216</v>
      </c>
      <c r="P21" t="s">
        <v>165</v>
      </c>
    </row>
    <row r="22" spans="1:25" x14ac:dyDescent="0.3">
      <c r="A22" t="str">
        <f>'Code Couleur'!A837</f>
        <v>AEME</v>
      </c>
      <c r="B22" s="154" t="str">
        <f>'Code Couleur'!D837</f>
        <v>1S+1VF</v>
      </c>
      <c r="C22" t="str">
        <f>'Code Couleur'!O837</f>
        <v>1 Couleur Sérigraphie + 1 Vernis Flexo</v>
      </c>
      <c r="E22" t="s">
        <v>170</v>
      </c>
      <c r="F22" s="169" t="s">
        <v>161</v>
      </c>
      <c r="J22" t="s">
        <v>170</v>
      </c>
      <c r="K22" s="202" t="s">
        <v>227</v>
      </c>
      <c r="L22" s="202" t="s">
        <v>228</v>
      </c>
      <c r="M22" s="202" t="s">
        <v>229</v>
      </c>
      <c r="O22" t="s">
        <v>230</v>
      </c>
      <c r="P22" t="s">
        <v>146</v>
      </c>
    </row>
    <row r="23" spans="1:25" x14ac:dyDescent="0.3">
      <c r="A23" t="str">
        <f>'Code Couleur'!A838</f>
        <v>AEME</v>
      </c>
      <c r="B23" s="154" t="str">
        <f>'Code Couleur'!D838</f>
        <v>1S+2VF</v>
      </c>
      <c r="C23" t="str">
        <f>'Code Couleur'!O838</f>
        <v>1 Couleur Sérigraphie + 2 Vernis Flexo</v>
      </c>
      <c r="E23" t="s">
        <v>174</v>
      </c>
      <c r="F23" s="201" t="s">
        <v>231</v>
      </c>
      <c r="J23" t="s">
        <v>170</v>
      </c>
      <c r="K23" s="202" t="s">
        <v>232</v>
      </c>
      <c r="L23" s="202" t="s">
        <v>233</v>
      </c>
      <c r="M23" s="202" t="s">
        <v>234</v>
      </c>
      <c r="O23" t="s">
        <v>230</v>
      </c>
      <c r="P23" t="s">
        <v>153</v>
      </c>
    </row>
    <row r="24" spans="1:25" x14ac:dyDescent="0.3">
      <c r="A24" t="str">
        <f>'Code Couleur'!A839</f>
        <v>AEME</v>
      </c>
      <c r="B24" s="154" t="str">
        <f>'Code Couleur'!D839</f>
        <v>2VF</v>
      </c>
      <c r="C24" t="str">
        <f>'Code Couleur'!O839</f>
        <v>2 Vernis Flexo</v>
      </c>
      <c r="E24" t="s">
        <v>174</v>
      </c>
      <c r="F24" s="169" t="s">
        <v>161</v>
      </c>
      <c r="J24" t="s">
        <v>155</v>
      </c>
      <c r="K24" s="202" t="s">
        <v>235</v>
      </c>
      <c r="L24" s="200" t="s">
        <v>236</v>
      </c>
      <c r="M24" s="202" t="s">
        <v>237</v>
      </c>
      <c r="O24" t="s">
        <v>230</v>
      </c>
      <c r="P24" t="s">
        <v>160</v>
      </c>
    </row>
    <row r="25" spans="1:25" x14ac:dyDescent="0.3">
      <c r="A25" t="str">
        <f>'Code Couleur'!A840</f>
        <v>AEEP</v>
      </c>
      <c r="B25" s="154" t="str">
        <f>'Code Couleur'!D840</f>
        <v>Ni couleur ni vernis</v>
      </c>
      <c r="C25" t="str">
        <f>'Code Couleur'!O840</f>
        <v>Ni couleur ni vernis</v>
      </c>
      <c r="J25" t="s">
        <v>155</v>
      </c>
      <c r="K25" s="202" t="s">
        <v>238</v>
      </c>
      <c r="L25" s="202" t="s">
        <v>239</v>
      </c>
      <c r="M25" s="202" t="s">
        <v>240</v>
      </c>
      <c r="O25" t="s">
        <v>230</v>
      </c>
      <c r="P25" t="s">
        <v>165</v>
      </c>
    </row>
    <row r="26" spans="1:25" x14ac:dyDescent="0.3">
      <c r="A26" t="str">
        <f>'Code Couleur'!A841</f>
        <v>AEEP</v>
      </c>
      <c r="B26" s="154" t="str">
        <f>'Code Couleur'!D841</f>
        <v>1S</v>
      </c>
      <c r="C26" t="str">
        <f>'Code Couleur'!O841</f>
        <v>1 Couleur Sérigraphie</v>
      </c>
      <c r="J26" t="s">
        <v>155</v>
      </c>
      <c r="K26" s="202" t="s">
        <v>241</v>
      </c>
      <c r="L26" s="202" t="s">
        <v>242</v>
      </c>
      <c r="M26" s="202" t="s">
        <v>243</v>
      </c>
      <c r="O26" t="s">
        <v>244</v>
      </c>
      <c r="P26" t="s">
        <v>146</v>
      </c>
    </row>
    <row r="27" spans="1:25" x14ac:dyDescent="0.3">
      <c r="A27" t="str">
        <f>'Code Couleur'!A842</f>
        <v>AEEP</v>
      </c>
      <c r="B27" s="154" t="str">
        <f>'Code Couleur'!D842</f>
        <v>1S+1VF</v>
      </c>
      <c r="C27" t="str">
        <f>'Code Couleur'!O842</f>
        <v>1 Couleur Sérigraphie + 1 Vernis Flexo</v>
      </c>
      <c r="J27" t="s">
        <v>155</v>
      </c>
      <c r="K27" s="202" t="s">
        <v>245</v>
      </c>
      <c r="L27" s="202" t="s">
        <v>246</v>
      </c>
      <c r="M27" s="202" t="s">
        <v>247</v>
      </c>
      <c r="O27" t="s">
        <v>244</v>
      </c>
      <c r="P27" t="s">
        <v>153</v>
      </c>
    </row>
    <row r="28" spans="1:25" x14ac:dyDescent="0.3">
      <c r="A28" t="str">
        <f>'Code Couleur'!A843</f>
        <v>AEEP</v>
      </c>
      <c r="B28" s="154" t="str">
        <f>'Code Couleur'!D843</f>
        <v>1S+2VF</v>
      </c>
      <c r="C28" t="str">
        <f>'Code Couleur'!O843</f>
        <v>1 Couleur Sérigraphie + 2 Vernis Flexo</v>
      </c>
      <c r="J28" t="s">
        <v>155</v>
      </c>
      <c r="K28" s="202" t="s">
        <v>248</v>
      </c>
      <c r="L28" s="202"/>
      <c r="M28" s="202" t="s">
        <v>249</v>
      </c>
      <c r="O28" t="s">
        <v>244</v>
      </c>
      <c r="P28" t="s">
        <v>160</v>
      </c>
    </row>
    <row r="29" spans="1:25" x14ac:dyDescent="0.3">
      <c r="A29" t="str">
        <f>'Code Couleur'!A844</f>
        <v>AEEP</v>
      </c>
      <c r="B29" s="154" t="str">
        <f>'Code Couleur'!D844</f>
        <v>1UF</v>
      </c>
      <c r="C29" t="str">
        <f>'Code Couleur'!O844</f>
        <v>1 Couleur Flexo</v>
      </c>
      <c r="J29" t="s">
        <v>11</v>
      </c>
      <c r="K29" s="200" t="s">
        <v>250</v>
      </c>
      <c r="L29" s="200" t="s">
        <v>251</v>
      </c>
      <c r="M29" s="200" t="s">
        <v>252</v>
      </c>
      <c r="O29" t="s">
        <v>244</v>
      </c>
      <c r="P29" t="s">
        <v>165</v>
      </c>
    </row>
    <row r="30" spans="1:25" x14ac:dyDescent="0.3">
      <c r="A30" t="str">
        <f>'Code Couleur'!A845</f>
        <v>AEEP</v>
      </c>
      <c r="B30" s="154" t="str">
        <f>'Code Couleur'!D845</f>
        <v>1UF+1S</v>
      </c>
      <c r="C30" t="str">
        <f>'Code Couleur'!O845</f>
        <v>1 Couleur Flexo + 1 Couleur Sérigraphie</v>
      </c>
      <c r="J30" t="s">
        <v>11</v>
      </c>
      <c r="K30" s="200" t="s">
        <v>253</v>
      </c>
      <c r="L30" s="200" t="s">
        <v>254</v>
      </c>
      <c r="M30" s="200" t="s">
        <v>255</v>
      </c>
      <c r="O30" t="s">
        <v>256</v>
      </c>
      <c r="P30" t="s">
        <v>146</v>
      </c>
    </row>
    <row r="31" spans="1:25" x14ac:dyDescent="0.3">
      <c r="A31" t="str">
        <f>'Code Couleur'!A846</f>
        <v>AEEP</v>
      </c>
      <c r="B31" s="154" t="str">
        <f>'Code Couleur'!D846</f>
        <v>1UF+1VS</v>
      </c>
      <c r="C31" t="str">
        <f>'Code Couleur'!O846</f>
        <v xml:space="preserve">1 Couleur Flexo + 1 Vernis Sérigraphie </v>
      </c>
      <c r="J31" t="s">
        <v>11</v>
      </c>
      <c r="K31" s="200" t="s">
        <v>257</v>
      </c>
      <c r="L31" s="200" t="s">
        <v>258</v>
      </c>
      <c r="M31" s="200" t="s">
        <v>259</v>
      </c>
      <c r="O31" t="s">
        <v>256</v>
      </c>
      <c r="P31" t="s">
        <v>153</v>
      </c>
    </row>
    <row r="32" spans="1:25" x14ac:dyDescent="0.3">
      <c r="A32" t="str">
        <f>'Code Couleur'!A847</f>
        <v>AEEP</v>
      </c>
      <c r="B32" s="154" t="str">
        <f>'Code Couleur'!D847</f>
        <v>1VF</v>
      </c>
      <c r="C32" t="str">
        <f>'Code Couleur'!O847</f>
        <v>1 Vernis Flexo</v>
      </c>
      <c r="J32" t="s">
        <v>11</v>
      </c>
      <c r="K32" s="200" t="s">
        <v>260</v>
      </c>
      <c r="L32" s="200" t="s">
        <v>261</v>
      </c>
      <c r="M32" s="200" t="s">
        <v>262</v>
      </c>
      <c r="O32" t="s">
        <v>256</v>
      </c>
      <c r="P32" t="s">
        <v>160</v>
      </c>
    </row>
    <row r="33" spans="1:16" x14ac:dyDescent="0.3">
      <c r="A33" t="str">
        <f>'Code Couleur'!A848</f>
        <v>AEEP</v>
      </c>
      <c r="B33" s="154" t="str">
        <f>'Code Couleur'!D848</f>
        <v>1VF+1VS</v>
      </c>
      <c r="C33" t="str">
        <f>'Code Couleur'!O848</f>
        <v xml:space="preserve">1 Vernis Flexo + 1 Vernis Sérigraphie </v>
      </c>
      <c r="J33" t="s">
        <v>11</v>
      </c>
      <c r="K33" s="200" t="s">
        <v>263</v>
      </c>
      <c r="L33" s="200" t="s">
        <v>264</v>
      </c>
      <c r="M33" s="200" t="s">
        <v>265</v>
      </c>
      <c r="O33" t="s">
        <v>256</v>
      </c>
      <c r="P33" t="s">
        <v>165</v>
      </c>
    </row>
    <row r="34" spans="1:16" x14ac:dyDescent="0.3">
      <c r="A34" t="str">
        <f>'Code Couleur'!A849</f>
        <v>AEEP</v>
      </c>
      <c r="B34" s="154" t="str">
        <f>'Code Couleur'!D849</f>
        <v>1VS</v>
      </c>
      <c r="C34" t="str">
        <f>'Code Couleur'!O849</f>
        <v xml:space="preserve">1 Vernis Sérigraphie </v>
      </c>
      <c r="J34" t="s">
        <v>11</v>
      </c>
      <c r="K34" s="200" t="s">
        <v>266</v>
      </c>
      <c r="L34" s="200" t="s">
        <v>267</v>
      </c>
      <c r="M34" s="200" t="s">
        <v>268</v>
      </c>
      <c r="O34" t="s">
        <v>269</v>
      </c>
      <c r="P34" t="s">
        <v>146</v>
      </c>
    </row>
    <row r="35" spans="1:16" x14ac:dyDescent="0.3">
      <c r="A35" t="str">
        <f>'Code Couleur'!A850</f>
        <v>AEEP</v>
      </c>
      <c r="B35" s="154" t="str">
        <f>'Code Couleur'!D850</f>
        <v>2VF</v>
      </c>
      <c r="C35" t="str">
        <f>'Code Couleur'!O850</f>
        <v>2 Vernis Flexo</v>
      </c>
      <c r="J35" s="408" t="s">
        <v>11</v>
      </c>
      <c r="K35" s="410" t="s">
        <v>14</v>
      </c>
      <c r="L35" s="410" t="s">
        <v>270</v>
      </c>
      <c r="M35" s="410" t="s">
        <v>271</v>
      </c>
      <c r="O35" t="s">
        <v>269</v>
      </c>
      <c r="P35" t="s">
        <v>153</v>
      </c>
    </row>
    <row r="36" spans="1:16" x14ac:dyDescent="0.3">
      <c r="A36" t="str">
        <f>'Code Couleur'!A851</f>
        <v>AEAT</v>
      </c>
      <c r="B36" s="154" t="str">
        <f>'Code Couleur'!D851</f>
        <v>Ni couleur ni vernis</v>
      </c>
      <c r="C36" t="str">
        <f>'Code Couleur'!O851</f>
        <v>Ni couleur ni vernis</v>
      </c>
      <c r="J36" t="s">
        <v>174</v>
      </c>
      <c r="K36" s="370" t="s">
        <v>272</v>
      </c>
      <c r="L36" s="370" t="s">
        <v>181</v>
      </c>
      <c r="M36" s="370" t="s">
        <v>273</v>
      </c>
      <c r="O36" t="s">
        <v>269</v>
      </c>
      <c r="P36" t="s">
        <v>160</v>
      </c>
    </row>
    <row r="37" spans="1:16" x14ac:dyDescent="0.3">
      <c r="A37" t="str">
        <f>'Code Couleur'!A852</f>
        <v>AEAT</v>
      </c>
      <c r="B37" s="154" t="str">
        <f>'Code Couleur'!D852</f>
        <v>1S</v>
      </c>
      <c r="C37" t="str">
        <f>'Code Couleur'!O852</f>
        <v>1 Couleur Sérigraphie</v>
      </c>
      <c r="J37" t="s">
        <v>174</v>
      </c>
      <c r="K37" s="370" t="s">
        <v>274</v>
      </c>
      <c r="L37" s="370" t="s">
        <v>275</v>
      </c>
      <c r="M37" s="370" t="s">
        <v>276</v>
      </c>
      <c r="O37" t="s">
        <v>269</v>
      </c>
      <c r="P37" t="s">
        <v>165</v>
      </c>
    </row>
    <row r="38" spans="1:16" x14ac:dyDescent="0.3">
      <c r="A38" t="str">
        <f>'Code Couleur'!A853</f>
        <v>AEAT</v>
      </c>
      <c r="B38" s="154" t="str">
        <f>'Code Couleur'!D853</f>
        <v>1S+1VS</v>
      </c>
      <c r="C38" t="str">
        <f>'Code Couleur'!O853</f>
        <v xml:space="preserve">1 Couleur Sérigraphie + 1 Vernis Sérigraphie </v>
      </c>
      <c r="J38" t="s">
        <v>174</v>
      </c>
      <c r="K38" s="370" t="s">
        <v>277</v>
      </c>
      <c r="L38" s="370" t="s">
        <v>275</v>
      </c>
      <c r="M38" s="370" t="s">
        <v>278</v>
      </c>
      <c r="O38" t="s">
        <v>279</v>
      </c>
      <c r="P38" t="s">
        <v>146</v>
      </c>
    </row>
    <row r="39" spans="1:16" x14ac:dyDescent="0.3">
      <c r="A39" t="str">
        <f>'Code Couleur'!A854</f>
        <v>AEAT</v>
      </c>
      <c r="B39" s="154" t="str">
        <f>'Code Couleur'!D854</f>
        <v>1UF</v>
      </c>
      <c r="C39" t="str">
        <f>'Code Couleur'!O854</f>
        <v>1 Couleur Flexo</v>
      </c>
      <c r="J39" t="s">
        <v>174</v>
      </c>
      <c r="K39" s="370" t="s">
        <v>280</v>
      </c>
      <c r="L39" s="370" t="s">
        <v>281</v>
      </c>
      <c r="M39" s="370" t="s">
        <v>282</v>
      </c>
      <c r="O39" t="s">
        <v>279</v>
      </c>
      <c r="P39" t="s">
        <v>153</v>
      </c>
    </row>
    <row r="40" spans="1:16" x14ac:dyDescent="0.3">
      <c r="A40" t="str">
        <f>'Code Couleur'!A855</f>
        <v>AEAT</v>
      </c>
      <c r="B40" s="154" t="str">
        <f>'Code Couleur'!D855</f>
        <v>1UF+1S</v>
      </c>
      <c r="C40" t="str">
        <f>'Code Couleur'!O855</f>
        <v>1 Couleur Flexo + 1 Couleur Sérigraphie</v>
      </c>
      <c r="J40" t="s">
        <v>174</v>
      </c>
      <c r="K40" s="370" t="s">
        <v>283</v>
      </c>
      <c r="L40" s="370" t="s">
        <v>284</v>
      </c>
      <c r="M40" s="370" t="s">
        <v>285</v>
      </c>
      <c r="O40" t="s">
        <v>279</v>
      </c>
      <c r="P40" t="s">
        <v>160</v>
      </c>
    </row>
    <row r="41" spans="1:16" x14ac:dyDescent="0.3">
      <c r="A41" t="str">
        <f>'Code Couleur'!A856</f>
        <v>AEAT</v>
      </c>
      <c r="B41" s="154" t="str">
        <f>'Code Couleur'!D856</f>
        <v>1UF+1S+1VS</v>
      </c>
      <c r="C41" t="str">
        <f>'Code Couleur'!O856</f>
        <v xml:space="preserve">1 Couleur Flexo + 1 Couleur Sérigraphie + 1 Vernis Sérigraphie </v>
      </c>
      <c r="J41" t="s">
        <v>174</v>
      </c>
      <c r="K41" s="370" t="s">
        <v>286</v>
      </c>
      <c r="L41" s="370" t="s">
        <v>287</v>
      </c>
      <c r="M41" s="370" t="s">
        <v>288</v>
      </c>
      <c r="O41" t="s">
        <v>279</v>
      </c>
      <c r="P41" t="s">
        <v>165</v>
      </c>
    </row>
    <row r="42" spans="1:16" x14ac:dyDescent="0.3">
      <c r="A42" t="str">
        <f>'Code Couleur'!A857</f>
        <v>AEAT</v>
      </c>
      <c r="B42" s="154" t="str">
        <f>'Code Couleur'!D857</f>
        <v>1UF+1VF</v>
      </c>
      <c r="C42" t="str">
        <f>'Code Couleur'!O857</f>
        <v>1 Couleur Flexo + 1 Vernis Flexo</v>
      </c>
      <c r="J42" t="s">
        <v>174</v>
      </c>
      <c r="K42" s="370" t="s">
        <v>289</v>
      </c>
      <c r="L42" s="370" t="s">
        <v>290</v>
      </c>
      <c r="M42" s="370" t="s">
        <v>291</v>
      </c>
      <c r="O42" t="s">
        <v>38</v>
      </c>
      <c r="P42" t="s">
        <v>146</v>
      </c>
    </row>
    <row r="43" spans="1:16" x14ac:dyDescent="0.3">
      <c r="A43" t="str">
        <f>'Code Couleur'!A858</f>
        <v>AEAT</v>
      </c>
      <c r="B43" s="154" t="str">
        <f>'Code Couleur'!D858</f>
        <v>1UF+1VF+1S</v>
      </c>
      <c r="C43" t="str">
        <f>'Code Couleur'!O858</f>
        <v xml:space="preserve">1 Couleur Flexo + 1 Couleur Sérigraphie + 1 Vernis Flexo </v>
      </c>
      <c r="J43" t="s">
        <v>174</v>
      </c>
      <c r="K43" s="370" t="s">
        <v>292</v>
      </c>
      <c r="L43" s="370" t="s">
        <v>293</v>
      </c>
      <c r="M43" s="370" t="s">
        <v>294</v>
      </c>
      <c r="O43" t="s">
        <v>38</v>
      </c>
      <c r="P43" t="s">
        <v>153</v>
      </c>
    </row>
    <row r="44" spans="1:16" x14ac:dyDescent="0.3">
      <c r="A44" t="str">
        <f>'Code Couleur'!A859</f>
        <v>AEAT</v>
      </c>
      <c r="B44" s="154" t="str">
        <f>'Code Couleur'!D859</f>
        <v>1UF+1VF+1S+1VS</v>
      </c>
      <c r="C44" t="str">
        <f>'Code Couleur'!O859</f>
        <v xml:space="preserve">1 Couleur Flexo + 1 Couleur Sérigraphie + 1 Vernis Flexo + 1 Vernis Sérigraphie </v>
      </c>
      <c r="J44" t="s">
        <v>174</v>
      </c>
      <c r="K44" s="370" t="s">
        <v>295</v>
      </c>
      <c r="L44" s="370" t="s">
        <v>296</v>
      </c>
      <c r="M44" s="370" t="s">
        <v>297</v>
      </c>
      <c r="O44" t="s">
        <v>38</v>
      </c>
      <c r="P44" t="s">
        <v>160</v>
      </c>
    </row>
    <row r="45" spans="1:16" x14ac:dyDescent="0.3">
      <c r="A45" t="str">
        <f>'Code Couleur'!A860</f>
        <v>AEAT</v>
      </c>
      <c r="B45" s="154" t="str">
        <f>'Code Couleur'!D860</f>
        <v>1UF+1VF+1VS</v>
      </c>
      <c r="C45" t="str">
        <f>'Code Couleur'!O860</f>
        <v xml:space="preserve">1 Couleur Flexo + 1 Vernis Flexo + 1 Vernis Sérigraphie </v>
      </c>
      <c r="J45" t="s">
        <v>174</v>
      </c>
      <c r="K45" s="370" t="s">
        <v>298</v>
      </c>
      <c r="L45" s="370" t="s">
        <v>296</v>
      </c>
      <c r="M45" s="370" t="s">
        <v>299</v>
      </c>
      <c r="O45" t="s">
        <v>38</v>
      </c>
      <c r="P45" t="s">
        <v>165</v>
      </c>
    </row>
    <row r="46" spans="1:16" x14ac:dyDescent="0.3">
      <c r="A46" t="str">
        <f>'Code Couleur'!A861</f>
        <v>AEAT</v>
      </c>
      <c r="B46" s="154" t="str">
        <f>'Code Couleur'!D861</f>
        <v>1UF+1VS</v>
      </c>
      <c r="C46" t="str">
        <f>'Code Couleur'!O861</f>
        <v xml:space="preserve">1 Couleur Flexo + 1 Vernis Sérigraphie </v>
      </c>
      <c r="J46" t="s">
        <v>174</v>
      </c>
      <c r="K46" s="371" t="s">
        <v>300</v>
      </c>
      <c r="L46" s="371" t="s">
        <v>301</v>
      </c>
      <c r="M46" s="371" t="s">
        <v>302</v>
      </c>
      <c r="O46" t="s">
        <v>303</v>
      </c>
      <c r="P46" t="s">
        <v>146</v>
      </c>
    </row>
    <row r="47" spans="1:16" x14ac:dyDescent="0.3">
      <c r="A47" t="str">
        <f>'Code Couleur'!A862</f>
        <v>AEAT</v>
      </c>
      <c r="B47" s="154" t="str">
        <f>'Code Couleur'!D862</f>
        <v>1VF</v>
      </c>
      <c r="C47" t="str">
        <f>'Code Couleur'!O862</f>
        <v>1 Vernis Flexo</v>
      </c>
      <c r="J47" t="s">
        <v>174</v>
      </c>
      <c r="K47" s="409" t="s">
        <v>304</v>
      </c>
      <c r="L47" s="409" t="s">
        <v>305</v>
      </c>
      <c r="M47" s="371" t="s">
        <v>306</v>
      </c>
      <c r="O47" t="s">
        <v>303</v>
      </c>
      <c r="P47" t="s">
        <v>153</v>
      </c>
    </row>
    <row r="48" spans="1:16" x14ac:dyDescent="0.3">
      <c r="A48" t="str">
        <f>'Code Couleur'!A863</f>
        <v>AEAT</v>
      </c>
      <c r="B48" s="154" t="str">
        <f>'Code Couleur'!D863</f>
        <v>1VF+1S</v>
      </c>
      <c r="C48" t="str">
        <f>'Code Couleur'!O863</f>
        <v>1 Couleur Sérigraphie + 1 Vernis Flexo</v>
      </c>
      <c r="K48" s="371"/>
      <c r="L48" s="371"/>
      <c r="M48" s="371"/>
      <c r="O48" t="s">
        <v>303</v>
      </c>
      <c r="P48" t="s">
        <v>160</v>
      </c>
    </row>
    <row r="49" spans="1:16" x14ac:dyDescent="0.3">
      <c r="A49" t="str">
        <f>'Code Couleur'!A864</f>
        <v>AEAT</v>
      </c>
      <c r="B49" s="154" t="str">
        <f>'Code Couleur'!D864</f>
        <v>1VF+1S+1VS</v>
      </c>
      <c r="C49" t="str">
        <f>'Code Couleur'!O864</f>
        <v xml:space="preserve">1 Couleur Sérigraphie + 1 Vernis Flexo + 1 Vernis Sérigraphie </v>
      </c>
      <c r="K49" s="409"/>
      <c r="L49" s="409"/>
      <c r="M49" s="371"/>
      <c r="O49" t="s">
        <v>303</v>
      </c>
      <c r="P49" t="s">
        <v>165</v>
      </c>
    </row>
    <row r="50" spans="1:16" x14ac:dyDescent="0.3">
      <c r="A50" t="str">
        <f>'Code Couleur'!A865</f>
        <v>AEAT</v>
      </c>
      <c r="B50" s="154" t="str">
        <f>'Code Couleur'!D865</f>
        <v>1VF+1VS</v>
      </c>
      <c r="C50" t="str">
        <f>'Code Couleur'!O865</f>
        <v xml:space="preserve">1 Vernis Flexo + 1 Vernis Sérigraphie </v>
      </c>
      <c r="O50" s="404" t="s">
        <v>307</v>
      </c>
      <c r="P50" s="405" t="s">
        <v>146</v>
      </c>
    </row>
    <row r="51" spans="1:16" x14ac:dyDescent="0.3">
      <c r="A51" t="str">
        <f>'Code Couleur'!A866</f>
        <v>AEAT</v>
      </c>
      <c r="B51" s="154" t="str">
        <f>'Code Couleur'!D866</f>
        <v>1VS</v>
      </c>
      <c r="C51" t="str">
        <f>'Code Couleur'!O866</f>
        <v xml:space="preserve">1 Vernis Sérigraphie </v>
      </c>
      <c r="O51" s="404" t="s">
        <v>307</v>
      </c>
      <c r="P51" s="405" t="s">
        <v>153</v>
      </c>
    </row>
    <row r="52" spans="1:16" x14ac:dyDescent="0.3">
      <c r="A52" t="str">
        <f>'Code Couleur'!A867</f>
        <v>AEAT</v>
      </c>
      <c r="B52" s="154" t="str">
        <f>'Code Couleur'!D867</f>
        <v>2UF</v>
      </c>
      <c r="C52" t="str">
        <f>'Code Couleur'!O867</f>
        <v>2 Couleurs Flexo</v>
      </c>
      <c r="O52" s="404" t="s">
        <v>307</v>
      </c>
      <c r="P52" s="405" t="s">
        <v>160</v>
      </c>
    </row>
    <row r="53" spans="1:16" x14ac:dyDescent="0.3">
      <c r="A53" t="str">
        <f>'Code Couleur'!A868</f>
        <v>AEAT</v>
      </c>
      <c r="B53" s="154" t="str">
        <f>'Code Couleur'!D868</f>
        <v>2UF+1S</v>
      </c>
      <c r="C53" t="str">
        <f>'Code Couleur'!O868</f>
        <v>2 Couleurs Flexo + 1 Couleur Sérigraphie</v>
      </c>
      <c r="O53" s="404" t="s">
        <v>307</v>
      </c>
      <c r="P53" s="405" t="s">
        <v>165</v>
      </c>
    </row>
    <row r="54" spans="1:16" x14ac:dyDescent="0.3">
      <c r="A54" t="str">
        <f>'Code Couleur'!A869</f>
        <v>AEAT</v>
      </c>
      <c r="B54" s="154" t="str">
        <f>'Code Couleur'!D869</f>
        <v>2UF+1VS</v>
      </c>
      <c r="C54" t="str">
        <f>'Code Couleur'!O869</f>
        <v xml:space="preserve">2 Couleurs Flexo + 1 Vernis Sérigraphie </v>
      </c>
      <c r="O54" s="404" t="s">
        <v>308</v>
      </c>
      <c r="P54" s="405" t="s">
        <v>146</v>
      </c>
    </row>
    <row r="55" spans="1:16" x14ac:dyDescent="0.3">
      <c r="A55" t="str">
        <f>'Code Couleur'!A870</f>
        <v>AEAT</v>
      </c>
      <c r="B55" s="154" t="str">
        <f>'Code Couleur'!D870</f>
        <v>2VF</v>
      </c>
      <c r="C55" t="str">
        <f>'Code Couleur'!O870</f>
        <v>2 Vernis Flexo</v>
      </c>
      <c r="O55" s="404" t="s">
        <v>308</v>
      </c>
      <c r="P55" s="405" t="s">
        <v>153</v>
      </c>
    </row>
    <row r="56" spans="1:16" x14ac:dyDescent="0.3">
      <c r="A56" t="str">
        <f>'Code Couleur'!A871</f>
        <v>AEAT</v>
      </c>
      <c r="B56" s="154" t="str">
        <f>'Code Couleur'!D871</f>
        <v>2VF+1S</v>
      </c>
      <c r="C56" t="str">
        <f>'Code Couleur'!O871</f>
        <v>1 Couleur Sérigraphie + 2 Vernis Flexo</v>
      </c>
      <c r="O56" s="404" t="s">
        <v>308</v>
      </c>
      <c r="P56" s="405" t="s">
        <v>160</v>
      </c>
    </row>
    <row r="57" spans="1:16" x14ac:dyDescent="0.3">
      <c r="A57" t="str">
        <f>'Code Couleur'!A872</f>
        <v>AEAT</v>
      </c>
      <c r="B57" s="154" t="str">
        <f>'Code Couleur'!D872</f>
        <v>2VF+1VS</v>
      </c>
      <c r="C57" t="str">
        <f>'Code Couleur'!O872</f>
        <v xml:space="preserve">2 Vernis Flexo + 1 Vernis Sérigraphie </v>
      </c>
      <c r="O57" s="404" t="s">
        <v>308</v>
      </c>
      <c r="P57" s="405" t="s">
        <v>165</v>
      </c>
    </row>
    <row r="58" spans="1:16" x14ac:dyDescent="0.3">
      <c r="A58" t="str">
        <f>'Code Couleur'!A873</f>
        <v>AELO</v>
      </c>
      <c r="B58" s="154" t="str">
        <f>'Code Couleur'!D873</f>
        <v>Ni couleur ni vernis</v>
      </c>
      <c r="C58" t="str">
        <f>'Code Couleur'!O873</f>
        <v>Ni couleur ni vernis</v>
      </c>
      <c r="O58" s="404" t="s">
        <v>309</v>
      </c>
      <c r="P58" s="405" t="s">
        <v>146</v>
      </c>
    </row>
    <row r="59" spans="1:16" x14ac:dyDescent="0.3">
      <c r="A59" t="str">
        <f>'Code Couleur'!A874</f>
        <v>AELO</v>
      </c>
      <c r="B59" s="154" t="str">
        <f>'Code Couleur'!D874</f>
        <v>1S</v>
      </c>
      <c r="C59" t="str">
        <f>'Code Couleur'!O874</f>
        <v>1 Couleur Sérigraphie</v>
      </c>
      <c r="O59" s="404" t="s">
        <v>309</v>
      </c>
      <c r="P59" s="405" t="s">
        <v>153</v>
      </c>
    </row>
    <row r="60" spans="1:16" x14ac:dyDescent="0.3">
      <c r="A60" t="str">
        <f>'Code Couleur'!A875</f>
        <v>AELO</v>
      </c>
      <c r="B60" s="154" t="str">
        <f>'Code Couleur'!D875</f>
        <v>1S+1VS</v>
      </c>
      <c r="C60" t="str">
        <f>'Code Couleur'!O875</f>
        <v xml:space="preserve">1 Couleur Sérigraphie + 1 Vernis Sérigraphie </v>
      </c>
      <c r="O60" s="404" t="s">
        <v>309</v>
      </c>
      <c r="P60" s="405" t="s">
        <v>160</v>
      </c>
    </row>
    <row r="61" spans="1:16" x14ac:dyDescent="0.3">
      <c r="A61" t="str">
        <f>'Code Couleur'!A876</f>
        <v>AELO</v>
      </c>
      <c r="B61" s="154" t="str">
        <f>'Code Couleur'!D876</f>
        <v>1UF</v>
      </c>
      <c r="C61" t="str">
        <f>'Code Couleur'!O876</f>
        <v>1 Couleur Flexo</v>
      </c>
      <c r="O61" s="404" t="s">
        <v>309</v>
      </c>
      <c r="P61" s="405" t="s">
        <v>165</v>
      </c>
    </row>
    <row r="62" spans="1:16" x14ac:dyDescent="0.3">
      <c r="A62" t="str">
        <f>'Code Couleur'!A877</f>
        <v>AELO</v>
      </c>
      <c r="B62" s="154" t="str">
        <f>'Code Couleur'!D877</f>
        <v>1UF+1S</v>
      </c>
      <c r="C62" t="str">
        <f>'Code Couleur'!O877</f>
        <v>1 Couleur Flexo + 1 Couleur Sérigraphie</v>
      </c>
      <c r="O62" s="404" t="s">
        <v>310</v>
      </c>
      <c r="P62" s="405" t="s">
        <v>146</v>
      </c>
    </row>
    <row r="63" spans="1:16" x14ac:dyDescent="0.3">
      <c r="A63" t="str">
        <f>'Code Couleur'!A878</f>
        <v>AELO</v>
      </c>
      <c r="B63" s="154" t="str">
        <f>'Code Couleur'!D878</f>
        <v>1UF+1S+1VS</v>
      </c>
      <c r="C63" t="str">
        <f>'Code Couleur'!O878</f>
        <v xml:space="preserve">1 Couleur Flexo + 1 Couleur Sérigraphie + 1 Vernis Sérigraphie </v>
      </c>
      <c r="O63" s="404" t="s">
        <v>310</v>
      </c>
      <c r="P63" s="405" t="s">
        <v>153</v>
      </c>
    </row>
    <row r="64" spans="1:16" x14ac:dyDescent="0.3">
      <c r="A64" t="str">
        <f>'Code Couleur'!A879</f>
        <v>AELO</v>
      </c>
      <c r="B64" s="154" t="str">
        <f>'Code Couleur'!D879</f>
        <v>1UF+1VF</v>
      </c>
      <c r="C64" t="str">
        <f>'Code Couleur'!O879</f>
        <v>1 Couleur Flexo + 1 Vernis Flexo</v>
      </c>
      <c r="O64" s="404" t="s">
        <v>310</v>
      </c>
      <c r="P64" s="405" t="s">
        <v>160</v>
      </c>
    </row>
    <row r="65" spans="1:16" x14ac:dyDescent="0.3">
      <c r="A65" t="str">
        <f>'Code Couleur'!A880</f>
        <v>AELO</v>
      </c>
      <c r="B65" s="154" t="str">
        <f>'Code Couleur'!D880</f>
        <v>1UF+1VF+1S</v>
      </c>
      <c r="C65" t="str">
        <f>'Code Couleur'!O880</f>
        <v xml:space="preserve">1 Couleur Flexo + 1 Couleur Sérigraphie + 1 Vernis Flexo </v>
      </c>
      <c r="O65" s="406" t="s">
        <v>310</v>
      </c>
      <c r="P65" s="407" t="s">
        <v>165</v>
      </c>
    </row>
    <row r="66" spans="1:16" x14ac:dyDescent="0.3">
      <c r="A66" t="str">
        <f>'Code Couleur'!A881</f>
        <v>AELO</v>
      </c>
      <c r="B66" s="154" t="str">
        <f>'Code Couleur'!D881</f>
        <v>1UF+1VF+1S+1VS</v>
      </c>
      <c r="C66" t="str">
        <f>'Code Couleur'!O881</f>
        <v xml:space="preserve">1 Couleur Flexo + 1 Couleur Sérigraphie + 1 Vernis Flexo + 1 Vernis Sérigraphie </v>
      </c>
    </row>
    <row r="67" spans="1:16" x14ac:dyDescent="0.3">
      <c r="A67" t="str">
        <f>'Code Couleur'!A882</f>
        <v>AELO</v>
      </c>
      <c r="B67" s="154" t="str">
        <f>'Code Couleur'!D882</f>
        <v>1UF+1VF+1VS</v>
      </c>
      <c r="C67" t="str">
        <f>'Code Couleur'!O882</f>
        <v xml:space="preserve">1 Couleur Flexo + 1 Vernis Flexo + 1 Vernis Sérigraphie </v>
      </c>
    </row>
    <row r="68" spans="1:16" x14ac:dyDescent="0.3">
      <c r="A68" t="str">
        <f>'Code Couleur'!A883</f>
        <v>AELO</v>
      </c>
      <c r="B68" s="154" t="str">
        <f>'Code Couleur'!D883</f>
        <v>1UF+1VS</v>
      </c>
      <c r="C68" t="str">
        <f>'Code Couleur'!O883</f>
        <v xml:space="preserve">1 Couleur Flexo + 1 Vernis Sérigraphie </v>
      </c>
    </row>
    <row r="69" spans="1:16" x14ac:dyDescent="0.3">
      <c r="A69" t="str">
        <f>'Code Couleur'!A884</f>
        <v>AELO</v>
      </c>
      <c r="B69" s="154" t="str">
        <f>'Code Couleur'!D884</f>
        <v>1VF</v>
      </c>
      <c r="C69" t="str">
        <f>'Code Couleur'!O884</f>
        <v>1 Vernis Flexo</v>
      </c>
    </row>
    <row r="70" spans="1:16" x14ac:dyDescent="0.3">
      <c r="A70" t="str">
        <f>'Code Couleur'!A885</f>
        <v>AELO</v>
      </c>
      <c r="B70" s="154" t="str">
        <f>'Code Couleur'!D885</f>
        <v>1VF+1S</v>
      </c>
      <c r="C70" t="str">
        <f>'Code Couleur'!O885</f>
        <v>1 Couleur Sérigraphie + 1 Vernis Flexo</v>
      </c>
    </row>
    <row r="71" spans="1:16" x14ac:dyDescent="0.3">
      <c r="A71" t="str">
        <f>'Code Couleur'!A886</f>
        <v>AELO</v>
      </c>
      <c r="B71" s="154" t="str">
        <f>'Code Couleur'!D886</f>
        <v>1VF+1S+1VS</v>
      </c>
      <c r="C71" t="str">
        <f>'Code Couleur'!O886</f>
        <v xml:space="preserve">1 Couleur Sérigraphie + 1 Vernis Flexo + 1 Vernis Sérigraphie </v>
      </c>
    </row>
    <row r="72" spans="1:16" x14ac:dyDescent="0.3">
      <c r="A72" t="str">
        <f>'Code Couleur'!A887</f>
        <v>AELO</v>
      </c>
      <c r="B72" s="154" t="str">
        <f>'Code Couleur'!D887</f>
        <v>1VF+1VS</v>
      </c>
      <c r="C72" t="str">
        <f>'Code Couleur'!O887</f>
        <v xml:space="preserve">1 Vernis Flexo + 1 Vernis Sérigraphie </v>
      </c>
    </row>
    <row r="73" spans="1:16" x14ac:dyDescent="0.3">
      <c r="A73" t="str">
        <f>'Code Couleur'!A888</f>
        <v>AELO</v>
      </c>
      <c r="B73" s="154" t="str">
        <f>'Code Couleur'!D888</f>
        <v>1VS</v>
      </c>
      <c r="C73" t="str">
        <f>'Code Couleur'!O888</f>
        <v xml:space="preserve">1 Vernis Sérigraphie </v>
      </c>
    </row>
    <row r="74" spans="1:16" x14ac:dyDescent="0.3">
      <c r="A74" t="str">
        <f>'Code Couleur'!A889</f>
        <v>AELO</v>
      </c>
      <c r="B74" s="154" t="str">
        <f>'Code Couleur'!D889</f>
        <v>2UF</v>
      </c>
      <c r="C74" t="str">
        <f>'Code Couleur'!O889</f>
        <v>2 Couleurs Flexo</v>
      </c>
    </row>
    <row r="75" spans="1:16" x14ac:dyDescent="0.3">
      <c r="A75" t="str">
        <f>'Code Couleur'!A890</f>
        <v>AELO</v>
      </c>
      <c r="B75" s="154" t="str">
        <f>'Code Couleur'!D890</f>
        <v>2UF+1S</v>
      </c>
      <c r="C75" t="str">
        <f>'Code Couleur'!O890</f>
        <v>2 Couleurs Flexo + 1 Couleur Sérigraphie</v>
      </c>
    </row>
    <row r="76" spans="1:16" x14ac:dyDescent="0.3">
      <c r="A76" t="str">
        <f>'Code Couleur'!A891</f>
        <v>AELO</v>
      </c>
      <c r="B76" s="154" t="str">
        <f>'Code Couleur'!D891</f>
        <v>2UF+1VS</v>
      </c>
      <c r="C76" t="str">
        <f>'Code Couleur'!O891</f>
        <v xml:space="preserve">2 Couleurs Flexo + 1 Vernis Sérigraphie </v>
      </c>
    </row>
    <row r="77" spans="1:16" x14ac:dyDescent="0.3">
      <c r="A77" t="str">
        <f>'Code Couleur'!A892</f>
        <v>AELO</v>
      </c>
      <c r="B77" s="154" t="str">
        <f>'Code Couleur'!D892</f>
        <v>2VF</v>
      </c>
      <c r="C77" t="str">
        <f>'Code Couleur'!O892</f>
        <v>2 Vernis Flexo</v>
      </c>
    </row>
    <row r="78" spans="1:16" x14ac:dyDescent="0.3">
      <c r="A78" t="str">
        <f>'Code Couleur'!A893</f>
        <v>AELO</v>
      </c>
      <c r="B78" s="154" t="str">
        <f>'Code Couleur'!D893</f>
        <v>2VF+1S</v>
      </c>
      <c r="C78" t="str">
        <f>'Code Couleur'!O893</f>
        <v>1 Couleur Sérigraphie + 2 Vernis Flexo</v>
      </c>
    </row>
    <row r="79" spans="1:16" x14ac:dyDescent="0.3">
      <c r="A79" t="str">
        <f>'Code Couleur'!A894</f>
        <v>AELO</v>
      </c>
      <c r="B79" s="154" t="str">
        <f>'Code Couleur'!D894</f>
        <v>2VF+1VS</v>
      </c>
      <c r="C79" t="str">
        <f>'Code Couleur'!O894</f>
        <v xml:space="preserve">2 Vernis Flexo + 1 Vernis Sérigraphie </v>
      </c>
    </row>
    <row r="80" spans="1:16" x14ac:dyDescent="0.3">
      <c r="A80" t="str">
        <f>'Code Couleur'!A895</f>
        <v>AELI</v>
      </c>
      <c r="B80" s="154" t="str">
        <f>'Code Couleur'!D895</f>
        <v>Ni couleur ni vernis</v>
      </c>
      <c r="C80" t="str">
        <f>'Code Couleur'!O895</f>
        <v>Ni couleur ni vernis</v>
      </c>
    </row>
    <row r="81" spans="1:3" x14ac:dyDescent="0.3">
      <c r="A81" t="str">
        <f>'Code Couleur'!A896</f>
        <v>AELI</v>
      </c>
      <c r="B81" s="154" t="str">
        <f>'Code Couleur'!D896</f>
        <v>1S</v>
      </c>
      <c r="C81" t="str">
        <f>'Code Couleur'!O896</f>
        <v>1 Couleur Sérigraphie</v>
      </c>
    </row>
    <row r="82" spans="1:3" x14ac:dyDescent="0.3">
      <c r="A82" t="str">
        <f>'Code Couleur'!A897</f>
        <v>AELI</v>
      </c>
      <c r="B82" s="154" t="str">
        <f>'Code Couleur'!D897</f>
        <v>1UF</v>
      </c>
      <c r="C82" t="str">
        <f>'Code Couleur'!O897</f>
        <v>1 Couleur Flexo</v>
      </c>
    </row>
    <row r="83" spans="1:3" x14ac:dyDescent="0.3">
      <c r="A83" t="str">
        <f>'Code Couleur'!A898</f>
        <v>AELI</v>
      </c>
      <c r="B83" s="154" t="str">
        <f>'Code Couleur'!D898</f>
        <v>1UF+1S</v>
      </c>
      <c r="C83" t="str">
        <f>'Code Couleur'!O898</f>
        <v>1 Couleur Flexo + 1 Couleur Sérigraphie</v>
      </c>
    </row>
    <row r="84" spans="1:3" x14ac:dyDescent="0.3">
      <c r="A84" t="str">
        <f>'Code Couleur'!A899</f>
        <v>AELI</v>
      </c>
      <c r="B84" s="154" t="str">
        <f>'Code Couleur'!D899</f>
        <v>1UF+1VS</v>
      </c>
      <c r="C84" t="str">
        <f>'Code Couleur'!O899</f>
        <v xml:space="preserve">1 Couleur Flexo + 1 Vernis Sérigraphie </v>
      </c>
    </row>
    <row r="85" spans="1:3" x14ac:dyDescent="0.3">
      <c r="A85" t="str">
        <f>'Code Couleur'!A900</f>
        <v>AELI</v>
      </c>
      <c r="B85" s="154" t="str">
        <f>'Code Couleur'!D900</f>
        <v>1VF</v>
      </c>
      <c r="C85" t="str">
        <f>'Code Couleur'!O900</f>
        <v>1 Vernis Flexo</v>
      </c>
    </row>
    <row r="86" spans="1:3" x14ac:dyDescent="0.3">
      <c r="A86" t="str">
        <f>'Code Couleur'!A901</f>
        <v>AELI</v>
      </c>
      <c r="B86" s="154" t="str">
        <f>'Code Couleur'!D901</f>
        <v>1VF+1VS</v>
      </c>
      <c r="C86" t="str">
        <f>'Code Couleur'!O901</f>
        <v xml:space="preserve">1 Vernis Flexo + 1 Vernis Sérigraphie </v>
      </c>
    </row>
    <row r="87" spans="1:3" x14ac:dyDescent="0.3">
      <c r="A87" t="str">
        <f>'Code Couleur'!A902</f>
        <v>AELI</v>
      </c>
      <c r="B87" s="154" t="str">
        <f>'Code Couleur'!D902</f>
        <v>1VS</v>
      </c>
      <c r="C87" t="str">
        <f>'Code Couleur'!O902</f>
        <v xml:space="preserve">1 Vernis Sérigraphie </v>
      </c>
    </row>
    <row r="88" spans="1:3" x14ac:dyDescent="0.3">
      <c r="A88" t="str">
        <f>'Code Couleur'!A903</f>
        <v>AELI</v>
      </c>
      <c r="B88" s="154" t="str">
        <f>'Code Couleur'!D903</f>
        <v>1S+1VF</v>
      </c>
      <c r="C88" t="str">
        <f>'Code Couleur'!O903</f>
        <v>1 Couleur Sérigraphie + 1 Vernis Flexo</v>
      </c>
    </row>
    <row r="89" spans="1:3" x14ac:dyDescent="0.3">
      <c r="A89" t="str">
        <f>'Code Couleur'!A904</f>
        <v>AELI</v>
      </c>
      <c r="B89" s="154" t="str">
        <f>'Code Couleur'!D904</f>
        <v>1S+2VF</v>
      </c>
      <c r="C89" t="str">
        <f>'Code Couleur'!O904</f>
        <v>1 Couleur Sérigraphie + 2 Vernis Flexo</v>
      </c>
    </row>
    <row r="90" spans="1:3" x14ac:dyDescent="0.3">
      <c r="A90" t="str">
        <f>'Code Couleur'!A905</f>
        <v>AELI</v>
      </c>
      <c r="B90" s="154" t="str">
        <f>'Code Couleur'!D905</f>
        <v>2VF</v>
      </c>
      <c r="C90" t="str">
        <f>'Code Couleur'!O905</f>
        <v>2 Vernis Flexo</v>
      </c>
    </row>
    <row r="91" spans="1:3" x14ac:dyDescent="0.3">
      <c r="A91" t="str">
        <f>'Code Couleur'!A906</f>
        <v>AESU</v>
      </c>
      <c r="B91" s="154" t="str">
        <f>'Code Couleur'!D906</f>
        <v>Ni couleur ni vernis</v>
      </c>
      <c r="C91" t="str">
        <f>'Code Couleur'!O906</f>
        <v>Ni couleur ni vernis</v>
      </c>
    </row>
    <row r="92" spans="1:3" x14ac:dyDescent="0.3">
      <c r="A92" t="str">
        <f>'Code Couleur'!A907</f>
        <v>AESU</v>
      </c>
      <c r="B92" s="154" t="str">
        <f>'Code Couleur'!D907</f>
        <v>1S</v>
      </c>
      <c r="C92" t="str">
        <f>'Code Couleur'!O907</f>
        <v>1 Couleur Sérigraphie</v>
      </c>
    </row>
    <row r="93" spans="1:3" x14ac:dyDescent="0.3">
      <c r="A93" t="str">
        <f>'Code Couleur'!A908</f>
        <v>AESU</v>
      </c>
      <c r="B93" s="154" t="str">
        <f>'Code Couleur'!D908</f>
        <v>1VF</v>
      </c>
      <c r="C93" t="str">
        <f>'Code Couleur'!O908</f>
        <v>1 Vernis Flexo</v>
      </c>
    </row>
    <row r="94" spans="1:3" x14ac:dyDescent="0.3">
      <c r="A94" t="str">
        <f>'Code Couleur'!A909</f>
        <v>AESU</v>
      </c>
      <c r="B94" s="154" t="str">
        <f>'Code Couleur'!D909</f>
        <v>1VF+1VS</v>
      </c>
      <c r="C94" t="str">
        <f>'Code Couleur'!O909</f>
        <v xml:space="preserve">1 Vernis Flexo + 1 Vernis Sérigraphie </v>
      </c>
    </row>
    <row r="95" spans="1:3" x14ac:dyDescent="0.3">
      <c r="A95" t="str">
        <f>'Code Couleur'!A910</f>
        <v>AESU</v>
      </c>
      <c r="B95" s="154" t="str">
        <f>'Code Couleur'!D910</f>
        <v>1VS</v>
      </c>
      <c r="C95" t="str">
        <f>'Code Couleur'!O910</f>
        <v xml:space="preserve">1 Vernis Sérigraphie </v>
      </c>
    </row>
    <row r="96" spans="1:3" x14ac:dyDescent="0.3">
      <c r="A96" t="str">
        <f>'Code Couleur'!A911</f>
        <v>AESU</v>
      </c>
      <c r="B96" s="154" t="str">
        <f>'Code Couleur'!D911</f>
        <v>1S+1VF</v>
      </c>
      <c r="C96" t="str">
        <f>'Code Couleur'!O911</f>
        <v>1 Couleur Sérigraphie + 1 Vernis Flexo</v>
      </c>
    </row>
    <row r="97" spans="1:8" x14ac:dyDescent="0.3">
      <c r="B97" s="154"/>
    </row>
    <row r="98" spans="1:8" x14ac:dyDescent="0.3">
      <c r="B98" s="154"/>
    </row>
    <row r="99" spans="1:8" x14ac:dyDescent="0.3">
      <c r="B99" s="154"/>
      <c r="F99">
        <f>LEN(B120)</f>
        <v>255</v>
      </c>
    </row>
    <row r="100" spans="1:8" x14ac:dyDescent="0.3">
      <c r="B100" s="154"/>
      <c r="F100">
        <f>LEN(B121)</f>
        <v>0</v>
      </c>
    </row>
    <row r="101" spans="1:8" x14ac:dyDescent="0.3">
      <c r="A101" s="20"/>
      <c r="B101" s="227"/>
      <c r="F101">
        <f>LEN(B122)</f>
        <v>0</v>
      </c>
    </row>
    <row r="102" spans="1:8" x14ac:dyDescent="0.3">
      <c r="A102" s="20"/>
      <c r="B102" s="227"/>
    </row>
    <row r="103" spans="1:8" x14ac:dyDescent="0.3">
      <c r="A103" s="20"/>
      <c r="B103" s="227"/>
      <c r="F103">
        <f>LEN(B124)</f>
        <v>187</v>
      </c>
    </row>
    <row r="104" spans="1:8" x14ac:dyDescent="0.3">
      <c r="A104" s="20"/>
      <c r="B104" s="227"/>
      <c r="F104">
        <f>LEN(B125)</f>
        <v>0</v>
      </c>
    </row>
    <row r="105" spans="1:8" x14ac:dyDescent="0.3">
      <c r="A105" s="20"/>
      <c r="B105" s="227"/>
      <c r="F105">
        <f>LEN(B126)</f>
        <v>0</v>
      </c>
      <c r="H105" s="358"/>
    </row>
    <row r="106" spans="1:8" x14ac:dyDescent="0.3">
      <c r="A106" s="20"/>
      <c r="B106" s="227"/>
    </row>
    <row r="107" spans="1:8" x14ac:dyDescent="0.3">
      <c r="A107" s="20"/>
      <c r="B107" s="227"/>
      <c r="F107">
        <f>LEN(B128)</f>
        <v>247</v>
      </c>
    </row>
    <row r="108" spans="1:8" x14ac:dyDescent="0.3">
      <c r="A108" s="20"/>
      <c r="B108" s="227"/>
      <c r="F108">
        <f>LEN(B129)</f>
        <v>0</v>
      </c>
    </row>
    <row r="109" spans="1:8" x14ac:dyDescent="0.3">
      <c r="A109" s="20"/>
      <c r="B109" s="227"/>
      <c r="F109">
        <f>LEN(B130)</f>
        <v>0</v>
      </c>
    </row>
    <row r="110" spans="1:8" x14ac:dyDescent="0.3">
      <c r="A110" s="20"/>
      <c r="B110" s="227"/>
    </row>
    <row r="111" spans="1:8" x14ac:dyDescent="0.3">
      <c r="A111" s="20"/>
      <c r="B111" s="227"/>
      <c r="F111">
        <f>LEN(B132)</f>
        <v>255</v>
      </c>
    </row>
    <row r="112" spans="1:8" x14ac:dyDescent="0.3">
      <c r="A112" s="20"/>
      <c r="B112" s="227"/>
      <c r="F112">
        <f>LEN(B133)</f>
        <v>0</v>
      </c>
    </row>
    <row r="113" spans="1:10" x14ac:dyDescent="0.3">
      <c r="A113" s="20"/>
      <c r="B113" s="227"/>
      <c r="F113">
        <f>LEN(B134)</f>
        <v>0</v>
      </c>
    </row>
    <row r="114" spans="1:10" x14ac:dyDescent="0.3">
      <c r="A114" s="20"/>
      <c r="B114" s="227"/>
      <c r="J114" s="359"/>
    </row>
    <row r="115" spans="1:10" x14ac:dyDescent="0.3">
      <c r="A115" s="20" t="s">
        <v>174</v>
      </c>
      <c r="B115" t="s">
        <v>311</v>
      </c>
      <c r="F115">
        <f>LEN(B136)</f>
        <v>255</v>
      </c>
    </row>
    <row r="116" spans="1:10" x14ac:dyDescent="0.3">
      <c r="F116">
        <f>LEN(B137)</f>
        <v>0</v>
      </c>
    </row>
    <row r="117" spans="1:10" x14ac:dyDescent="0.3">
      <c r="F117">
        <f>LEN(B138)</f>
        <v>0</v>
      </c>
    </row>
    <row r="118" spans="1:10" x14ac:dyDescent="0.3">
      <c r="A118" t="s">
        <v>170</v>
      </c>
      <c r="B118" t="s">
        <v>312</v>
      </c>
    </row>
    <row r="120" spans="1:10" x14ac:dyDescent="0.3">
      <c r="A120" s="357" t="s">
        <v>11</v>
      </c>
      <c r="B120" t="s">
        <v>313</v>
      </c>
    </row>
    <row r="124" spans="1:10" x14ac:dyDescent="0.3">
      <c r="A124" s="357" t="s">
        <v>147</v>
      </c>
      <c r="B124" t="s">
        <v>314</v>
      </c>
    </row>
    <row r="128" spans="1:10" x14ac:dyDescent="0.3">
      <c r="A128" s="357" t="s">
        <v>155</v>
      </c>
      <c r="B128" t="s">
        <v>315</v>
      </c>
    </row>
    <row r="132" spans="1:2" x14ac:dyDescent="0.3">
      <c r="A132" t="s">
        <v>141</v>
      </c>
      <c r="B132" t="s">
        <v>316</v>
      </c>
    </row>
    <row r="136" spans="1:2" x14ac:dyDescent="0.3">
      <c r="A136" t="s">
        <v>139</v>
      </c>
      <c r="B136" t="s">
        <v>317</v>
      </c>
    </row>
    <row r="139" spans="1:2" x14ac:dyDescent="0.3">
      <c r="B139" s="184" t="str">
        <f>+VLOOKUP('Données Devis'!E7,Index!A115:B136,2,FALSE)</f>
        <v>SÄUBERLIN &amp; PFEIFFER S.A. - Chemin Sous-les-Routes 101 - CH - 1618 CHÂTEL-SAINT-DENIS
Tél. : +41 (0) 21 925 42 00 - courrier@saeuberlin.ch - www.autajon.com
CHE-102.141.942 TVA</v>
      </c>
    </row>
  </sheetData>
  <hyperlinks>
    <hyperlink ref="M2" r:id="rId1" xr:uid="{FE98EE9D-5E88-42A4-B3A3-FD8C13F1C499}"/>
    <hyperlink ref="M7" r:id="rId2" xr:uid="{C7AF05C6-E103-43A2-8609-02C327A4CB8E}"/>
    <hyperlink ref="M20" r:id="rId3" xr:uid="{F46FCDF5-FC0B-4209-8275-A3C0927591D0}"/>
  </hyperlinks>
  <pageMargins left="0.7" right="0.7" top="0.75" bottom="0.75" header="0.3" footer="0.3"/>
  <pageSetup paperSize="9" orientation="portrait" r:id="rId4"/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2C89-3050-43A3-A799-BB691B4AA872}">
  <sheetPr codeName="Feuil6">
    <tabColor theme="0" tint="-0.34998626667073579"/>
  </sheetPr>
  <dimension ref="A1:AO28"/>
  <sheetViews>
    <sheetView workbookViewId="0">
      <selection activeCell="E40" sqref="E40"/>
    </sheetView>
  </sheetViews>
  <sheetFormatPr baseColWidth="10" defaultColWidth="11.44140625" defaultRowHeight="14.4" x14ac:dyDescent="0.3"/>
  <cols>
    <col min="1" max="1" width="24.88671875" customWidth="1"/>
    <col min="2" max="2" width="8.5546875" customWidth="1"/>
    <col min="5" max="5" width="9.44140625" customWidth="1"/>
    <col min="7" max="7" width="11.5546875" style="15"/>
    <col min="8" max="41" width="7.6640625" bestFit="1" customWidth="1"/>
  </cols>
  <sheetData>
    <row r="1" spans="1:41" s="3" customFormat="1" x14ac:dyDescent="0.3">
      <c r="F1" s="3" t="s">
        <v>318</v>
      </c>
      <c r="G1" s="3" t="s">
        <v>319</v>
      </c>
    </row>
    <row r="2" spans="1:41" s="3" customFormat="1" x14ac:dyDescent="0.3">
      <c r="E2" s="36" t="s">
        <v>320</v>
      </c>
      <c r="F2" s="37">
        <v>4</v>
      </c>
      <c r="G2" s="38">
        <f>9+9</f>
        <v>18</v>
      </c>
    </row>
    <row r="3" spans="1:41" s="3" customFormat="1" x14ac:dyDescent="0.3">
      <c r="C3" s="39"/>
      <c r="D3" s="40"/>
      <c r="E3" s="40"/>
      <c r="F3" s="40"/>
      <c r="G3" s="40"/>
    </row>
    <row r="4" spans="1:41" s="3" customFormat="1" x14ac:dyDescent="0.3">
      <c r="A4" s="41" t="s">
        <v>321</v>
      </c>
      <c r="B4" s="41" t="s">
        <v>321</v>
      </c>
      <c r="C4" s="42" t="s">
        <v>321</v>
      </c>
      <c r="D4" s="42" t="s">
        <v>321</v>
      </c>
      <c r="E4" s="42" t="s">
        <v>321</v>
      </c>
      <c r="F4" s="41" t="s">
        <v>321</v>
      </c>
      <c r="G4" s="43" t="s">
        <v>321</v>
      </c>
      <c r="H4" s="42" t="s">
        <v>321</v>
      </c>
      <c r="I4" s="42" t="s">
        <v>321</v>
      </c>
      <c r="J4" s="42" t="s">
        <v>321</v>
      </c>
      <c r="K4" s="42" t="s">
        <v>321</v>
      </c>
      <c r="L4" s="42" t="s">
        <v>321</v>
      </c>
      <c r="M4" s="42" t="s">
        <v>321</v>
      </c>
      <c r="N4" s="42" t="s">
        <v>321</v>
      </c>
      <c r="O4" s="42" t="s">
        <v>321</v>
      </c>
      <c r="P4" s="42" t="s">
        <v>321</v>
      </c>
      <c r="Q4" s="42" t="s">
        <v>321</v>
      </c>
      <c r="R4" s="42" t="s">
        <v>321</v>
      </c>
      <c r="S4" s="42" t="s">
        <v>321</v>
      </c>
      <c r="T4" s="42" t="s">
        <v>321</v>
      </c>
      <c r="U4" s="42" t="s">
        <v>321</v>
      </c>
      <c r="V4" s="42" t="s">
        <v>321</v>
      </c>
      <c r="W4" s="42" t="s">
        <v>321</v>
      </c>
      <c r="X4" s="42" t="s">
        <v>321</v>
      </c>
      <c r="Y4" s="42" t="s">
        <v>321</v>
      </c>
      <c r="Z4" s="42" t="s">
        <v>321</v>
      </c>
      <c r="AA4" s="42" t="s">
        <v>321</v>
      </c>
      <c r="AB4" s="42" t="s">
        <v>321</v>
      </c>
      <c r="AC4" s="42" t="s">
        <v>321</v>
      </c>
      <c r="AD4" s="42" t="s">
        <v>321</v>
      </c>
      <c r="AE4" s="42" t="s">
        <v>321</v>
      </c>
      <c r="AF4" s="42" t="s">
        <v>321</v>
      </c>
      <c r="AG4" s="42" t="s">
        <v>321</v>
      </c>
      <c r="AH4" s="42" t="s">
        <v>321</v>
      </c>
      <c r="AI4" s="42" t="s">
        <v>321</v>
      </c>
      <c r="AJ4" s="42" t="s">
        <v>321</v>
      </c>
      <c r="AK4" s="42" t="s">
        <v>321</v>
      </c>
      <c r="AL4" s="42" t="s">
        <v>321</v>
      </c>
      <c r="AM4" s="42" t="s">
        <v>321</v>
      </c>
      <c r="AN4" s="42" t="s">
        <v>321</v>
      </c>
      <c r="AO4" s="43" t="s">
        <v>321</v>
      </c>
    </row>
    <row r="5" spans="1:41" s="8" customFormat="1" ht="43.2" x14ac:dyDescent="0.3">
      <c r="A5" s="44" t="s">
        <v>322</v>
      </c>
      <c r="B5" s="48" t="s">
        <v>323</v>
      </c>
      <c r="C5" s="49" t="s">
        <v>324</v>
      </c>
      <c r="D5" s="49" t="s">
        <v>325</v>
      </c>
      <c r="E5" s="45" t="s">
        <v>326</v>
      </c>
      <c r="F5" s="50" t="s">
        <v>327</v>
      </c>
      <c r="G5" s="50" t="s">
        <v>328</v>
      </c>
      <c r="H5" s="46">
        <v>1</v>
      </c>
      <c r="I5" s="44">
        <v>2</v>
      </c>
      <c r="J5" s="44">
        <v>3</v>
      </c>
      <c r="K5" s="44">
        <v>4</v>
      </c>
      <c r="L5" s="44">
        <v>5</v>
      </c>
      <c r="M5" s="44">
        <v>6</v>
      </c>
      <c r="N5" s="44">
        <v>7</v>
      </c>
      <c r="O5" s="44">
        <v>8</v>
      </c>
      <c r="P5" s="44">
        <v>9</v>
      </c>
      <c r="Q5" s="44">
        <v>10</v>
      </c>
      <c r="R5" s="44">
        <v>11</v>
      </c>
      <c r="S5" s="44">
        <v>12</v>
      </c>
      <c r="T5" s="44">
        <v>13</v>
      </c>
      <c r="U5" s="44">
        <v>14</v>
      </c>
      <c r="V5" s="44">
        <v>15</v>
      </c>
      <c r="W5" s="44">
        <v>16</v>
      </c>
      <c r="X5" s="44">
        <v>17</v>
      </c>
      <c r="Y5" s="44">
        <v>18</v>
      </c>
      <c r="Z5" s="44">
        <v>19</v>
      </c>
      <c r="AA5" s="44">
        <v>20</v>
      </c>
      <c r="AB5" s="44">
        <v>21</v>
      </c>
      <c r="AC5" s="44">
        <v>22</v>
      </c>
      <c r="AD5" s="44">
        <v>23</v>
      </c>
      <c r="AE5" s="44">
        <v>24</v>
      </c>
      <c r="AF5" s="44">
        <v>25</v>
      </c>
      <c r="AG5" s="44">
        <v>26</v>
      </c>
      <c r="AH5" s="44">
        <v>27</v>
      </c>
      <c r="AI5" s="44">
        <v>28</v>
      </c>
      <c r="AJ5" s="44">
        <v>29</v>
      </c>
      <c r="AK5" s="44">
        <v>30</v>
      </c>
      <c r="AL5" s="44">
        <v>31</v>
      </c>
      <c r="AM5" s="44">
        <v>32</v>
      </c>
      <c r="AN5" s="44">
        <v>33</v>
      </c>
      <c r="AO5" s="44">
        <v>34</v>
      </c>
    </row>
    <row r="6" spans="1:41" s="15" customFormat="1" x14ac:dyDescent="0.3">
      <c r="A6" s="47" t="str">
        <f>IF('Paramètres Techniques'!B1="Site",'Données Devis'!$E$7,"MD CERM")&amp;" - HP6000 Offline"</f>
        <v>AESU - HP6000 Offline</v>
      </c>
      <c r="B6" s="47">
        <f>MIN(VLOOKUP(A6,'Paramètres Techniques'!B:H,3,0),330)</f>
        <v>330</v>
      </c>
      <c r="C6" s="47">
        <f>MAX(H6:AO6)</f>
        <v>150</v>
      </c>
      <c r="D6" s="47">
        <f>G6+$F$2</f>
        <v>4</v>
      </c>
      <c r="E6" s="83">
        <f>MAX(MATCH(C6,H6:AO6)-IF('Données Devis'!B33="Non",0,2),1)</f>
        <v>34</v>
      </c>
      <c r="F6" s="47">
        <f>'Données Devis'!$B$16</f>
        <v>0</v>
      </c>
      <c r="G6" s="47">
        <f>'Données Devis'!$B$17</f>
        <v>0</v>
      </c>
      <c r="H6" s="79">
        <f>F6+$G$2</f>
        <v>18</v>
      </c>
      <c r="I6" s="47">
        <f t="shared" ref="I6:AO6" si="0">IF($H6+(($F6+$F$2)*(I$5-1))&gt;$B6,"",$H6+(($F6+$F$2)*(I$5-1)))</f>
        <v>22</v>
      </c>
      <c r="J6" s="47">
        <f>IF($H6+(($F6+$F$2)*(J$5-1))&gt;$B6,"",$H6+(($F6+$F$2)*(J$5-1)))</f>
        <v>26</v>
      </c>
      <c r="K6" s="47">
        <f t="shared" si="0"/>
        <v>30</v>
      </c>
      <c r="L6" s="47">
        <f t="shared" si="0"/>
        <v>34</v>
      </c>
      <c r="M6" s="47">
        <f t="shared" si="0"/>
        <v>38</v>
      </c>
      <c r="N6" s="47">
        <f t="shared" si="0"/>
        <v>42</v>
      </c>
      <c r="O6" s="47">
        <f t="shared" si="0"/>
        <v>46</v>
      </c>
      <c r="P6" s="47">
        <f t="shared" si="0"/>
        <v>50</v>
      </c>
      <c r="Q6" s="47">
        <f t="shared" si="0"/>
        <v>54</v>
      </c>
      <c r="R6" s="47">
        <f t="shared" si="0"/>
        <v>58</v>
      </c>
      <c r="S6" s="47">
        <f t="shared" si="0"/>
        <v>62</v>
      </c>
      <c r="T6" s="47">
        <f t="shared" si="0"/>
        <v>66</v>
      </c>
      <c r="U6" s="47">
        <f t="shared" si="0"/>
        <v>70</v>
      </c>
      <c r="V6" s="47">
        <f t="shared" si="0"/>
        <v>74</v>
      </c>
      <c r="W6" s="47">
        <f t="shared" si="0"/>
        <v>78</v>
      </c>
      <c r="X6" s="47">
        <f t="shared" si="0"/>
        <v>82</v>
      </c>
      <c r="Y6" s="47">
        <f t="shared" si="0"/>
        <v>86</v>
      </c>
      <c r="Z6" s="47">
        <f t="shared" si="0"/>
        <v>90</v>
      </c>
      <c r="AA6" s="47">
        <f t="shared" si="0"/>
        <v>94</v>
      </c>
      <c r="AB6" s="47">
        <f t="shared" si="0"/>
        <v>98</v>
      </c>
      <c r="AC6" s="47">
        <f t="shared" si="0"/>
        <v>102</v>
      </c>
      <c r="AD6" s="47">
        <f t="shared" si="0"/>
        <v>106</v>
      </c>
      <c r="AE6" s="47">
        <f t="shared" si="0"/>
        <v>110</v>
      </c>
      <c r="AF6" s="47">
        <f t="shared" si="0"/>
        <v>114</v>
      </c>
      <c r="AG6" s="47">
        <f t="shared" si="0"/>
        <v>118</v>
      </c>
      <c r="AH6" s="47">
        <f t="shared" si="0"/>
        <v>122</v>
      </c>
      <c r="AI6" s="47">
        <f t="shared" si="0"/>
        <v>126</v>
      </c>
      <c r="AJ6" s="47">
        <f t="shared" si="0"/>
        <v>130</v>
      </c>
      <c r="AK6" s="47">
        <f t="shared" si="0"/>
        <v>134</v>
      </c>
      <c r="AL6" s="47">
        <f t="shared" si="0"/>
        <v>138</v>
      </c>
      <c r="AM6" s="47">
        <f t="shared" si="0"/>
        <v>142</v>
      </c>
      <c r="AN6" s="47">
        <f t="shared" si="0"/>
        <v>146</v>
      </c>
      <c r="AO6" s="47">
        <f t="shared" si="0"/>
        <v>150</v>
      </c>
    </row>
    <row r="8" spans="1:41" s="215" customFormat="1" x14ac:dyDescent="0.3">
      <c r="A8" s="214"/>
      <c r="B8" s="214" t="s">
        <v>329</v>
      </c>
      <c r="C8" s="302" t="s">
        <v>330</v>
      </c>
      <c r="D8" s="214"/>
      <c r="E8" s="214"/>
      <c r="F8" s="214"/>
      <c r="G8" s="214"/>
      <c r="H8" s="214">
        <v>1</v>
      </c>
      <c r="I8" s="214">
        <v>2</v>
      </c>
      <c r="J8" s="214">
        <v>3</v>
      </c>
      <c r="K8" s="214">
        <v>4</v>
      </c>
      <c r="L8" s="214">
        <v>5</v>
      </c>
      <c r="M8" s="214">
        <v>6</v>
      </c>
      <c r="N8" s="214">
        <v>7</v>
      </c>
      <c r="O8" s="214">
        <v>8</v>
      </c>
      <c r="P8" s="214">
        <v>9</v>
      </c>
      <c r="Q8" s="214">
        <v>10</v>
      </c>
      <c r="R8" s="214">
        <v>11</v>
      </c>
      <c r="S8" s="214">
        <v>12</v>
      </c>
      <c r="T8" s="214">
        <v>13</v>
      </c>
      <c r="U8" s="214">
        <v>14</v>
      </c>
      <c r="V8" s="214">
        <v>15</v>
      </c>
      <c r="W8" s="214">
        <v>16</v>
      </c>
      <c r="X8" s="214">
        <v>17</v>
      </c>
      <c r="Y8" s="214">
        <v>18</v>
      </c>
      <c r="Z8" s="214">
        <v>19</v>
      </c>
      <c r="AA8" s="214">
        <v>20</v>
      </c>
      <c r="AB8" s="214">
        <v>21</v>
      </c>
      <c r="AC8" s="214">
        <v>22</v>
      </c>
      <c r="AD8" s="214">
        <v>23</v>
      </c>
      <c r="AE8" s="214">
        <v>24</v>
      </c>
      <c r="AF8" s="214">
        <v>25</v>
      </c>
      <c r="AG8" s="214">
        <v>26</v>
      </c>
      <c r="AH8" s="214">
        <v>27</v>
      </c>
      <c r="AI8" s="214">
        <v>28</v>
      </c>
      <c r="AJ8" s="214">
        <v>29</v>
      </c>
      <c r="AK8" s="214">
        <v>30</v>
      </c>
      <c r="AL8" s="214">
        <v>31</v>
      </c>
      <c r="AM8" s="214">
        <v>32</v>
      </c>
      <c r="AN8" s="214">
        <v>33</v>
      </c>
      <c r="AO8" s="214">
        <v>34</v>
      </c>
    </row>
    <row r="9" spans="1:41" x14ac:dyDescent="0.3">
      <c r="A9" s="213" t="s">
        <v>331</v>
      </c>
      <c r="B9" s="120">
        <v>980</v>
      </c>
      <c r="C9" s="308">
        <f>MAX(H9:AO9)</f>
        <v>136</v>
      </c>
      <c r="D9" s="47">
        <f>G9+$F$2</f>
        <v>4</v>
      </c>
      <c r="E9" s="47">
        <f>MATCH(C9,H9:AO9)</f>
        <v>34</v>
      </c>
      <c r="F9" s="120"/>
      <c r="G9" s="47">
        <f>'Données Devis'!$B$17</f>
        <v>0</v>
      </c>
      <c r="H9" s="120">
        <f>G9+$F$2</f>
        <v>4</v>
      </c>
      <c r="I9" s="120">
        <f>IF($H9+(($G9+$F$2)*(I$5-1))&gt;$B9,"",$H9+(($G9+$F$2)*(I$5-1)))</f>
        <v>8</v>
      </c>
      <c r="J9" s="120">
        <f t="shared" ref="J9:AO19" si="1">IF($H9+(($G9+$F$2)*(J$5-1))&gt;$B9,"",$H9+(($G9+$F$2)*(J$5-1)))</f>
        <v>12</v>
      </c>
      <c r="K9" s="120">
        <f t="shared" si="1"/>
        <v>16</v>
      </c>
      <c r="L9" s="120">
        <f t="shared" si="1"/>
        <v>20</v>
      </c>
      <c r="M9" s="120">
        <f t="shared" si="1"/>
        <v>24</v>
      </c>
      <c r="N9" s="120">
        <f t="shared" si="1"/>
        <v>28</v>
      </c>
      <c r="O9" s="120">
        <f t="shared" si="1"/>
        <v>32</v>
      </c>
      <c r="P9" s="120">
        <f>IF($H9+(($G9+$F$2)*(P$5-1))&gt;$B9,"",$H9+(($G9+$F$2)*(P$5-1)))</f>
        <v>36</v>
      </c>
      <c r="Q9" s="120">
        <f t="shared" si="1"/>
        <v>40</v>
      </c>
      <c r="R9" s="120">
        <f t="shared" si="1"/>
        <v>44</v>
      </c>
      <c r="S9" s="120">
        <f t="shared" si="1"/>
        <v>48</v>
      </c>
      <c r="T9" s="120">
        <f t="shared" si="1"/>
        <v>52</v>
      </c>
      <c r="U9" s="120">
        <f t="shared" si="1"/>
        <v>56</v>
      </c>
      <c r="V9" s="120">
        <f t="shared" si="1"/>
        <v>60</v>
      </c>
      <c r="W9" s="120">
        <f t="shared" si="1"/>
        <v>64</v>
      </c>
      <c r="X9" s="120">
        <f t="shared" si="1"/>
        <v>68</v>
      </c>
      <c r="Y9" s="120">
        <f t="shared" si="1"/>
        <v>72</v>
      </c>
      <c r="Z9" s="120">
        <f t="shared" si="1"/>
        <v>76</v>
      </c>
      <c r="AA9" s="120">
        <f t="shared" si="1"/>
        <v>80</v>
      </c>
      <c r="AB9" s="120">
        <f t="shared" si="1"/>
        <v>84</v>
      </c>
      <c r="AC9" s="120">
        <f t="shared" si="1"/>
        <v>88</v>
      </c>
      <c r="AD9" s="120">
        <f t="shared" si="1"/>
        <v>92</v>
      </c>
      <c r="AE9" s="120">
        <f t="shared" si="1"/>
        <v>96</v>
      </c>
      <c r="AF9" s="120">
        <f t="shared" si="1"/>
        <v>100</v>
      </c>
      <c r="AG9" s="120">
        <f t="shared" si="1"/>
        <v>104</v>
      </c>
      <c r="AH9" s="120">
        <f t="shared" si="1"/>
        <v>108</v>
      </c>
      <c r="AI9" s="120">
        <f t="shared" si="1"/>
        <v>112</v>
      </c>
      <c r="AJ9" s="120">
        <f t="shared" si="1"/>
        <v>116</v>
      </c>
      <c r="AK9" s="120">
        <f t="shared" si="1"/>
        <v>120</v>
      </c>
      <c r="AL9" s="120">
        <f t="shared" si="1"/>
        <v>124</v>
      </c>
      <c r="AM9" s="120">
        <f t="shared" si="1"/>
        <v>128</v>
      </c>
      <c r="AN9" s="120">
        <f t="shared" si="1"/>
        <v>132</v>
      </c>
      <c r="AO9" s="120">
        <f t="shared" si="1"/>
        <v>136</v>
      </c>
    </row>
    <row r="10" spans="1:41" x14ac:dyDescent="0.3">
      <c r="A10" s="120" t="s">
        <v>332</v>
      </c>
      <c r="B10" s="120">
        <v>980</v>
      </c>
      <c r="C10" s="308">
        <f t="shared" ref="C10:C16" si="2">MAX(H10:AO10)</f>
        <v>136</v>
      </c>
      <c r="D10" s="47">
        <f t="shared" ref="D10:D22" si="3">G10+$F$2</f>
        <v>4</v>
      </c>
      <c r="E10" s="47">
        <f t="shared" ref="E10:E22" si="4">MATCH(C10,H10:AO10)</f>
        <v>34</v>
      </c>
      <c r="F10" s="120"/>
      <c r="G10" s="47">
        <f>'Données Devis'!$B$17</f>
        <v>0</v>
      </c>
      <c r="H10" s="120">
        <f t="shared" ref="H10:H21" si="5">G10+$F$2</f>
        <v>4</v>
      </c>
      <c r="I10" s="120">
        <f t="shared" ref="I10:X16" si="6">IF($H10+(($G10+$F$2)*(I$5-1))&gt;$B10,"",$H10+(($G10+$F$2)*(I$5-1)))</f>
        <v>8</v>
      </c>
      <c r="J10" s="120">
        <f t="shared" si="1"/>
        <v>12</v>
      </c>
      <c r="K10" s="120">
        <f t="shared" si="1"/>
        <v>16</v>
      </c>
      <c r="L10" s="120">
        <f t="shared" si="1"/>
        <v>20</v>
      </c>
      <c r="M10" s="120">
        <f t="shared" si="1"/>
        <v>24</v>
      </c>
      <c r="N10" s="120">
        <f t="shared" si="1"/>
        <v>28</v>
      </c>
      <c r="O10" s="120">
        <f t="shared" si="1"/>
        <v>32</v>
      </c>
      <c r="P10" s="120">
        <f t="shared" si="1"/>
        <v>36</v>
      </c>
      <c r="Q10" s="120">
        <f t="shared" si="1"/>
        <v>40</v>
      </c>
      <c r="R10" s="120">
        <f t="shared" si="1"/>
        <v>44</v>
      </c>
      <c r="S10" s="120">
        <f t="shared" si="1"/>
        <v>48</v>
      </c>
      <c r="T10" s="120">
        <f t="shared" si="1"/>
        <v>52</v>
      </c>
      <c r="U10" s="120">
        <f t="shared" si="1"/>
        <v>56</v>
      </c>
      <c r="V10" s="120">
        <f t="shared" si="1"/>
        <v>60</v>
      </c>
      <c r="W10" s="120">
        <f t="shared" si="1"/>
        <v>64</v>
      </c>
      <c r="X10" s="120">
        <f t="shared" si="1"/>
        <v>68</v>
      </c>
      <c r="Y10" s="120">
        <f t="shared" si="1"/>
        <v>72</v>
      </c>
      <c r="Z10" s="120">
        <f t="shared" si="1"/>
        <v>76</v>
      </c>
      <c r="AA10" s="120">
        <f t="shared" si="1"/>
        <v>80</v>
      </c>
      <c r="AB10" s="120">
        <f t="shared" si="1"/>
        <v>84</v>
      </c>
      <c r="AC10" s="120">
        <f t="shared" si="1"/>
        <v>88</v>
      </c>
      <c r="AD10" s="120">
        <f t="shared" si="1"/>
        <v>92</v>
      </c>
      <c r="AE10" s="120">
        <f t="shared" si="1"/>
        <v>96</v>
      </c>
      <c r="AF10" s="120">
        <f t="shared" si="1"/>
        <v>100</v>
      </c>
      <c r="AG10" s="120">
        <f t="shared" si="1"/>
        <v>104</v>
      </c>
      <c r="AH10" s="120">
        <f t="shared" si="1"/>
        <v>108</v>
      </c>
      <c r="AI10" s="120">
        <f t="shared" si="1"/>
        <v>112</v>
      </c>
      <c r="AJ10" s="120">
        <f t="shared" si="1"/>
        <v>116</v>
      </c>
      <c r="AK10" s="120">
        <f t="shared" si="1"/>
        <v>120</v>
      </c>
      <c r="AL10" s="120">
        <f t="shared" si="1"/>
        <v>124</v>
      </c>
      <c r="AM10" s="120">
        <f t="shared" si="1"/>
        <v>128</v>
      </c>
      <c r="AN10" s="120">
        <f t="shared" si="1"/>
        <v>132</v>
      </c>
      <c r="AO10" s="120">
        <f t="shared" si="1"/>
        <v>136</v>
      </c>
    </row>
    <row r="11" spans="1:41" x14ac:dyDescent="0.3">
      <c r="A11" s="120" t="s">
        <v>333</v>
      </c>
      <c r="B11" s="120">
        <v>980</v>
      </c>
      <c r="C11" s="308">
        <f t="shared" si="2"/>
        <v>136</v>
      </c>
      <c r="D11" s="47">
        <f t="shared" si="3"/>
        <v>4</v>
      </c>
      <c r="E11" s="47">
        <f t="shared" si="4"/>
        <v>34</v>
      </c>
      <c r="F11" s="120"/>
      <c r="G11" s="47">
        <f>'Données Devis'!$B$17</f>
        <v>0</v>
      </c>
      <c r="H11" s="120">
        <f t="shared" si="5"/>
        <v>4</v>
      </c>
      <c r="I11" s="120">
        <f t="shared" si="6"/>
        <v>8</v>
      </c>
      <c r="J11" s="120">
        <f t="shared" si="1"/>
        <v>12</v>
      </c>
      <c r="K11" s="120">
        <f t="shared" si="1"/>
        <v>16</v>
      </c>
      <c r="L11" s="120">
        <f t="shared" si="1"/>
        <v>20</v>
      </c>
      <c r="M11" s="120">
        <f t="shared" si="1"/>
        <v>24</v>
      </c>
      <c r="N11" s="120">
        <f t="shared" si="1"/>
        <v>28</v>
      </c>
      <c r="O11" s="120">
        <f t="shared" si="1"/>
        <v>32</v>
      </c>
      <c r="P11" s="120">
        <f t="shared" si="1"/>
        <v>36</v>
      </c>
      <c r="Q11" s="120">
        <f t="shared" si="1"/>
        <v>40</v>
      </c>
      <c r="R11" s="120">
        <f t="shared" si="1"/>
        <v>44</v>
      </c>
      <c r="S11" s="120">
        <f t="shared" si="1"/>
        <v>48</v>
      </c>
      <c r="T11" s="120">
        <f t="shared" si="1"/>
        <v>52</v>
      </c>
      <c r="U11" s="120">
        <f t="shared" si="1"/>
        <v>56</v>
      </c>
      <c r="V11" s="120">
        <f t="shared" si="1"/>
        <v>60</v>
      </c>
      <c r="W11" s="120">
        <f t="shared" si="1"/>
        <v>64</v>
      </c>
      <c r="X11" s="120">
        <f t="shared" si="1"/>
        <v>68</v>
      </c>
      <c r="Y11" s="120">
        <f t="shared" si="1"/>
        <v>72</v>
      </c>
      <c r="Z11" s="120">
        <f t="shared" si="1"/>
        <v>76</v>
      </c>
      <c r="AA11" s="120">
        <f t="shared" si="1"/>
        <v>80</v>
      </c>
      <c r="AB11" s="120">
        <f t="shared" si="1"/>
        <v>84</v>
      </c>
      <c r="AC11" s="120">
        <f t="shared" si="1"/>
        <v>88</v>
      </c>
      <c r="AD11" s="120">
        <f t="shared" si="1"/>
        <v>92</v>
      </c>
      <c r="AE11" s="120">
        <f t="shared" si="1"/>
        <v>96</v>
      </c>
      <c r="AF11" s="120">
        <f t="shared" si="1"/>
        <v>100</v>
      </c>
      <c r="AG11" s="120">
        <f t="shared" si="1"/>
        <v>104</v>
      </c>
      <c r="AH11" s="120">
        <f t="shared" si="1"/>
        <v>108</v>
      </c>
      <c r="AI11" s="120">
        <f t="shared" si="1"/>
        <v>112</v>
      </c>
      <c r="AJ11" s="120">
        <f t="shared" si="1"/>
        <v>116</v>
      </c>
      <c r="AK11" s="120">
        <f t="shared" si="1"/>
        <v>120</v>
      </c>
      <c r="AL11" s="120">
        <f t="shared" si="1"/>
        <v>124</v>
      </c>
      <c r="AM11" s="120">
        <f t="shared" si="1"/>
        <v>128</v>
      </c>
      <c r="AN11" s="120">
        <f t="shared" si="1"/>
        <v>132</v>
      </c>
      <c r="AO11" s="120">
        <f t="shared" si="1"/>
        <v>136</v>
      </c>
    </row>
    <row r="12" spans="1:41" x14ac:dyDescent="0.3">
      <c r="A12" s="120" t="s">
        <v>334</v>
      </c>
      <c r="B12" s="120">
        <v>980</v>
      </c>
      <c r="C12" s="308">
        <f t="shared" si="2"/>
        <v>136</v>
      </c>
      <c r="D12" s="47">
        <f t="shared" si="3"/>
        <v>4</v>
      </c>
      <c r="E12" s="47">
        <f t="shared" si="4"/>
        <v>34</v>
      </c>
      <c r="F12" s="120"/>
      <c r="G12" s="47">
        <f>'Données Devis'!$B$17</f>
        <v>0</v>
      </c>
      <c r="H12" s="120">
        <f t="shared" si="5"/>
        <v>4</v>
      </c>
      <c r="I12" s="120">
        <f t="shared" si="6"/>
        <v>8</v>
      </c>
      <c r="J12" s="120">
        <f t="shared" si="1"/>
        <v>12</v>
      </c>
      <c r="K12" s="120">
        <f t="shared" si="1"/>
        <v>16</v>
      </c>
      <c r="L12" s="120">
        <f t="shared" si="1"/>
        <v>20</v>
      </c>
      <c r="M12" s="120">
        <f t="shared" si="1"/>
        <v>24</v>
      </c>
      <c r="N12" s="120">
        <f t="shared" si="1"/>
        <v>28</v>
      </c>
      <c r="O12" s="120">
        <f t="shared" si="1"/>
        <v>32</v>
      </c>
      <c r="P12" s="120">
        <f t="shared" si="1"/>
        <v>36</v>
      </c>
      <c r="Q12" s="120">
        <f t="shared" si="1"/>
        <v>40</v>
      </c>
      <c r="R12" s="120">
        <f t="shared" si="1"/>
        <v>44</v>
      </c>
      <c r="S12" s="120">
        <f t="shared" si="1"/>
        <v>48</v>
      </c>
      <c r="T12" s="120">
        <f t="shared" si="1"/>
        <v>52</v>
      </c>
      <c r="U12" s="120">
        <f t="shared" si="1"/>
        <v>56</v>
      </c>
      <c r="V12" s="120">
        <f t="shared" si="1"/>
        <v>60</v>
      </c>
      <c r="W12" s="120">
        <f t="shared" si="1"/>
        <v>64</v>
      </c>
      <c r="X12" s="120">
        <f t="shared" si="1"/>
        <v>68</v>
      </c>
      <c r="Y12" s="120">
        <f t="shared" si="1"/>
        <v>72</v>
      </c>
      <c r="Z12" s="120">
        <f t="shared" si="1"/>
        <v>76</v>
      </c>
      <c r="AA12" s="120">
        <f t="shared" si="1"/>
        <v>80</v>
      </c>
      <c r="AB12" s="120">
        <f t="shared" si="1"/>
        <v>84</v>
      </c>
      <c r="AC12" s="120">
        <f t="shared" si="1"/>
        <v>88</v>
      </c>
      <c r="AD12" s="120">
        <f t="shared" si="1"/>
        <v>92</v>
      </c>
      <c r="AE12" s="120">
        <f t="shared" si="1"/>
        <v>96</v>
      </c>
      <c r="AF12" s="120">
        <f t="shared" si="1"/>
        <v>100</v>
      </c>
      <c r="AG12" s="120">
        <f t="shared" si="1"/>
        <v>104</v>
      </c>
      <c r="AH12" s="120">
        <f t="shared" si="1"/>
        <v>108</v>
      </c>
      <c r="AI12" s="120">
        <f t="shared" si="1"/>
        <v>112</v>
      </c>
      <c r="AJ12" s="120">
        <f t="shared" si="1"/>
        <v>116</v>
      </c>
      <c r="AK12" s="120">
        <f t="shared" si="1"/>
        <v>120</v>
      </c>
      <c r="AL12" s="120">
        <f t="shared" si="1"/>
        <v>124</v>
      </c>
      <c r="AM12" s="120">
        <f t="shared" si="1"/>
        <v>128</v>
      </c>
      <c r="AN12" s="120">
        <f t="shared" si="1"/>
        <v>132</v>
      </c>
      <c r="AO12" s="120">
        <f t="shared" si="1"/>
        <v>136</v>
      </c>
    </row>
    <row r="13" spans="1:41" x14ac:dyDescent="0.3">
      <c r="A13" s="120" t="s">
        <v>335</v>
      </c>
      <c r="B13" s="120">
        <v>980</v>
      </c>
      <c r="C13" s="308">
        <f t="shared" si="2"/>
        <v>136</v>
      </c>
      <c r="D13" s="47">
        <f t="shared" si="3"/>
        <v>4</v>
      </c>
      <c r="E13" s="47">
        <f t="shared" si="4"/>
        <v>34</v>
      </c>
      <c r="F13" s="120"/>
      <c r="G13" s="47">
        <f>'Données Devis'!$B$17</f>
        <v>0</v>
      </c>
      <c r="H13" s="120">
        <f t="shared" si="5"/>
        <v>4</v>
      </c>
      <c r="I13" s="120">
        <f t="shared" si="6"/>
        <v>8</v>
      </c>
      <c r="J13" s="120">
        <f t="shared" si="1"/>
        <v>12</v>
      </c>
      <c r="K13" s="120">
        <f t="shared" si="1"/>
        <v>16</v>
      </c>
      <c r="L13" s="120">
        <f t="shared" si="1"/>
        <v>20</v>
      </c>
      <c r="M13" s="120">
        <f t="shared" si="1"/>
        <v>24</v>
      </c>
      <c r="N13" s="120">
        <f t="shared" si="1"/>
        <v>28</v>
      </c>
      <c r="O13" s="120">
        <f t="shared" si="1"/>
        <v>32</v>
      </c>
      <c r="P13" s="120">
        <f t="shared" si="1"/>
        <v>36</v>
      </c>
      <c r="Q13" s="120">
        <f t="shared" si="1"/>
        <v>40</v>
      </c>
      <c r="R13" s="120">
        <f t="shared" si="1"/>
        <v>44</v>
      </c>
      <c r="S13" s="120">
        <f t="shared" si="1"/>
        <v>48</v>
      </c>
      <c r="T13" s="120">
        <f t="shared" si="1"/>
        <v>52</v>
      </c>
      <c r="U13" s="120">
        <f t="shared" si="1"/>
        <v>56</v>
      </c>
      <c r="V13" s="120">
        <f t="shared" si="1"/>
        <v>60</v>
      </c>
      <c r="W13" s="120">
        <f t="shared" si="1"/>
        <v>64</v>
      </c>
      <c r="X13" s="120">
        <f t="shared" si="1"/>
        <v>68</v>
      </c>
      <c r="Y13" s="120">
        <f t="shared" si="1"/>
        <v>72</v>
      </c>
      <c r="Z13" s="120">
        <f t="shared" si="1"/>
        <v>76</v>
      </c>
      <c r="AA13" s="120">
        <f t="shared" si="1"/>
        <v>80</v>
      </c>
      <c r="AB13" s="120">
        <f t="shared" si="1"/>
        <v>84</v>
      </c>
      <c r="AC13" s="120">
        <f t="shared" si="1"/>
        <v>88</v>
      </c>
      <c r="AD13" s="120">
        <f t="shared" si="1"/>
        <v>92</v>
      </c>
      <c r="AE13" s="120">
        <f t="shared" si="1"/>
        <v>96</v>
      </c>
      <c r="AF13" s="120">
        <f t="shared" si="1"/>
        <v>100</v>
      </c>
      <c r="AG13" s="120">
        <f t="shared" si="1"/>
        <v>104</v>
      </c>
      <c r="AH13" s="120">
        <f t="shared" si="1"/>
        <v>108</v>
      </c>
      <c r="AI13" s="120">
        <f t="shared" si="1"/>
        <v>112</v>
      </c>
      <c r="AJ13" s="120">
        <f t="shared" si="1"/>
        <v>116</v>
      </c>
      <c r="AK13" s="120">
        <f t="shared" si="1"/>
        <v>120</v>
      </c>
      <c r="AL13" s="120">
        <f t="shared" si="1"/>
        <v>124</v>
      </c>
      <c r="AM13" s="120">
        <f t="shared" si="1"/>
        <v>128</v>
      </c>
      <c r="AN13" s="120">
        <f t="shared" si="1"/>
        <v>132</v>
      </c>
      <c r="AO13" s="120">
        <f t="shared" si="1"/>
        <v>136</v>
      </c>
    </row>
    <row r="14" spans="1:41" x14ac:dyDescent="0.3">
      <c r="A14" s="120" t="s">
        <v>336</v>
      </c>
      <c r="B14" s="120">
        <v>980</v>
      </c>
      <c r="C14" s="308">
        <f t="shared" si="2"/>
        <v>136</v>
      </c>
      <c r="D14" s="47">
        <f t="shared" si="3"/>
        <v>4</v>
      </c>
      <c r="E14" s="47">
        <f t="shared" si="4"/>
        <v>34</v>
      </c>
      <c r="F14" s="120"/>
      <c r="G14" s="47">
        <f>'Données Devis'!$B$17</f>
        <v>0</v>
      </c>
      <c r="H14" s="120">
        <f t="shared" si="5"/>
        <v>4</v>
      </c>
      <c r="I14" s="120">
        <f t="shared" si="6"/>
        <v>8</v>
      </c>
      <c r="J14" s="120">
        <f t="shared" si="1"/>
        <v>12</v>
      </c>
      <c r="K14" s="120">
        <f t="shared" si="1"/>
        <v>16</v>
      </c>
      <c r="L14" s="120">
        <f t="shared" si="1"/>
        <v>20</v>
      </c>
      <c r="M14" s="120">
        <f t="shared" si="1"/>
        <v>24</v>
      </c>
      <c r="N14" s="120">
        <f t="shared" si="1"/>
        <v>28</v>
      </c>
      <c r="O14" s="120">
        <f t="shared" si="1"/>
        <v>32</v>
      </c>
      <c r="P14" s="120">
        <f t="shared" si="1"/>
        <v>36</v>
      </c>
      <c r="Q14" s="120">
        <f t="shared" si="1"/>
        <v>40</v>
      </c>
      <c r="R14" s="120">
        <f t="shared" si="1"/>
        <v>44</v>
      </c>
      <c r="S14" s="120">
        <f t="shared" si="1"/>
        <v>48</v>
      </c>
      <c r="T14" s="120">
        <f t="shared" si="1"/>
        <v>52</v>
      </c>
      <c r="U14" s="120">
        <f t="shared" si="1"/>
        <v>56</v>
      </c>
      <c r="V14" s="120">
        <f t="shared" si="1"/>
        <v>60</v>
      </c>
      <c r="W14" s="120">
        <f t="shared" si="1"/>
        <v>64</v>
      </c>
      <c r="X14" s="120">
        <f t="shared" si="1"/>
        <v>68</v>
      </c>
      <c r="Y14" s="120">
        <f t="shared" si="1"/>
        <v>72</v>
      </c>
      <c r="Z14" s="120">
        <f t="shared" si="1"/>
        <v>76</v>
      </c>
      <c r="AA14" s="120">
        <f t="shared" si="1"/>
        <v>80</v>
      </c>
      <c r="AB14" s="120">
        <f t="shared" si="1"/>
        <v>84</v>
      </c>
      <c r="AC14" s="120">
        <f t="shared" si="1"/>
        <v>88</v>
      </c>
      <c r="AD14" s="120">
        <f t="shared" si="1"/>
        <v>92</v>
      </c>
      <c r="AE14" s="120">
        <f t="shared" si="1"/>
        <v>96</v>
      </c>
      <c r="AF14" s="120">
        <f t="shared" si="1"/>
        <v>100</v>
      </c>
      <c r="AG14" s="120">
        <f t="shared" si="1"/>
        <v>104</v>
      </c>
      <c r="AH14" s="120">
        <f t="shared" si="1"/>
        <v>108</v>
      </c>
      <c r="AI14" s="120">
        <f t="shared" si="1"/>
        <v>112</v>
      </c>
      <c r="AJ14" s="120">
        <f t="shared" si="1"/>
        <v>116</v>
      </c>
      <c r="AK14" s="120">
        <f t="shared" si="1"/>
        <v>120</v>
      </c>
      <c r="AL14" s="120">
        <f t="shared" si="1"/>
        <v>124</v>
      </c>
      <c r="AM14" s="120">
        <f t="shared" si="1"/>
        <v>128</v>
      </c>
      <c r="AN14" s="120">
        <f t="shared" si="1"/>
        <v>132</v>
      </c>
      <c r="AO14" s="120">
        <f t="shared" si="1"/>
        <v>136</v>
      </c>
    </row>
    <row r="15" spans="1:41" x14ac:dyDescent="0.3">
      <c r="A15" s="120" t="s">
        <v>337</v>
      </c>
      <c r="B15" s="120">
        <v>981</v>
      </c>
      <c r="C15" s="308">
        <f t="shared" ref="C15" si="7">MAX(H15:AO15)</f>
        <v>136</v>
      </c>
      <c r="D15" s="47">
        <f t="shared" ref="D15" si="8">G15+$F$2</f>
        <v>4</v>
      </c>
      <c r="E15" s="47">
        <f t="shared" ref="E15" si="9">MATCH(C15,H15:AO15)</f>
        <v>34</v>
      </c>
      <c r="F15" s="120"/>
      <c r="G15" s="47">
        <f>'Données Devis'!$B$17</f>
        <v>0</v>
      </c>
      <c r="H15" s="120">
        <f t="shared" ref="H15" si="10">G15+$F$2</f>
        <v>4</v>
      </c>
      <c r="I15" s="120">
        <f t="shared" si="6"/>
        <v>8</v>
      </c>
      <c r="J15" s="120">
        <f t="shared" si="6"/>
        <v>12</v>
      </c>
      <c r="K15" s="120">
        <f t="shared" si="6"/>
        <v>16</v>
      </c>
      <c r="L15" s="120">
        <f t="shared" si="6"/>
        <v>20</v>
      </c>
      <c r="M15" s="120">
        <f t="shared" si="6"/>
        <v>24</v>
      </c>
      <c r="N15" s="120">
        <f t="shared" si="6"/>
        <v>28</v>
      </c>
      <c r="O15" s="120">
        <f t="shared" si="6"/>
        <v>32</v>
      </c>
      <c r="P15" s="120">
        <f t="shared" si="6"/>
        <v>36</v>
      </c>
      <c r="Q15" s="120">
        <f t="shared" si="6"/>
        <v>40</v>
      </c>
      <c r="R15" s="120">
        <f t="shared" si="6"/>
        <v>44</v>
      </c>
      <c r="S15" s="120">
        <f t="shared" si="6"/>
        <v>48</v>
      </c>
      <c r="T15" s="120">
        <f t="shared" si="6"/>
        <v>52</v>
      </c>
      <c r="U15" s="120">
        <f t="shared" si="6"/>
        <v>56</v>
      </c>
      <c r="V15" s="120">
        <f t="shared" si="6"/>
        <v>60</v>
      </c>
      <c r="W15" s="120">
        <f t="shared" si="6"/>
        <v>64</v>
      </c>
      <c r="X15" s="120">
        <f t="shared" si="6"/>
        <v>68</v>
      </c>
      <c r="Y15" s="120">
        <f t="shared" ref="Y15:AO15" si="11">IF($H15+(($G15+$F$2)*(Y$5-1))&gt;$B15,"",$H15+(($G15+$F$2)*(Y$5-1)))</f>
        <v>72</v>
      </c>
      <c r="Z15" s="120">
        <f t="shared" si="11"/>
        <v>76</v>
      </c>
      <c r="AA15" s="120">
        <f t="shared" si="11"/>
        <v>80</v>
      </c>
      <c r="AB15" s="120">
        <f t="shared" si="11"/>
        <v>84</v>
      </c>
      <c r="AC15" s="120">
        <f t="shared" si="11"/>
        <v>88</v>
      </c>
      <c r="AD15" s="120">
        <f t="shared" si="11"/>
        <v>92</v>
      </c>
      <c r="AE15" s="120">
        <f t="shared" si="11"/>
        <v>96</v>
      </c>
      <c r="AF15" s="120">
        <f t="shared" si="11"/>
        <v>100</v>
      </c>
      <c r="AG15" s="120">
        <f t="shared" si="11"/>
        <v>104</v>
      </c>
      <c r="AH15" s="120">
        <f t="shared" si="11"/>
        <v>108</v>
      </c>
      <c r="AI15" s="120">
        <f t="shared" si="11"/>
        <v>112</v>
      </c>
      <c r="AJ15" s="120">
        <f t="shared" si="11"/>
        <v>116</v>
      </c>
      <c r="AK15" s="120">
        <f t="shared" si="11"/>
        <v>120</v>
      </c>
      <c r="AL15" s="120">
        <f t="shared" si="11"/>
        <v>124</v>
      </c>
      <c r="AM15" s="120">
        <f t="shared" si="11"/>
        <v>128</v>
      </c>
      <c r="AN15" s="120">
        <f t="shared" si="11"/>
        <v>132</v>
      </c>
      <c r="AO15" s="120">
        <f t="shared" si="11"/>
        <v>136</v>
      </c>
    </row>
    <row r="16" spans="1:41" x14ac:dyDescent="0.3">
      <c r="A16" s="120" t="s">
        <v>338</v>
      </c>
      <c r="B16" s="120">
        <v>980</v>
      </c>
      <c r="C16" s="308">
        <f t="shared" si="2"/>
        <v>136</v>
      </c>
      <c r="D16" s="47">
        <f t="shared" ref="D16" si="12">G16+$F$2</f>
        <v>4</v>
      </c>
      <c r="E16" s="47">
        <f t="shared" ref="E16" si="13">MATCH(C16,H16:AO16)</f>
        <v>34</v>
      </c>
      <c r="F16" s="120"/>
      <c r="G16" s="47">
        <f>'Données Devis'!$B$17</f>
        <v>0</v>
      </c>
      <c r="H16" s="120">
        <f t="shared" ref="H16" si="14">G16+$F$2</f>
        <v>4</v>
      </c>
      <c r="I16" s="120">
        <f t="shared" si="6"/>
        <v>8</v>
      </c>
      <c r="J16" s="120">
        <f t="shared" si="1"/>
        <v>12</v>
      </c>
      <c r="K16" s="120">
        <f t="shared" si="1"/>
        <v>16</v>
      </c>
      <c r="L16" s="120">
        <f t="shared" ref="L16:AO16" si="15">IF($H16+(($G16+$F$2)*(L$5-1))&gt;$B16,"",$H16+(($G16+$F$2)*(L$5-1)))</f>
        <v>20</v>
      </c>
      <c r="M16" s="120">
        <f t="shared" si="15"/>
        <v>24</v>
      </c>
      <c r="N16" s="120">
        <f t="shared" si="15"/>
        <v>28</v>
      </c>
      <c r="O16" s="120">
        <f t="shared" si="15"/>
        <v>32</v>
      </c>
      <c r="P16" s="120">
        <f t="shared" si="15"/>
        <v>36</v>
      </c>
      <c r="Q16" s="120">
        <f t="shared" si="15"/>
        <v>40</v>
      </c>
      <c r="R16" s="120">
        <f t="shared" si="15"/>
        <v>44</v>
      </c>
      <c r="S16" s="120">
        <f t="shared" si="15"/>
        <v>48</v>
      </c>
      <c r="T16" s="120">
        <f t="shared" si="15"/>
        <v>52</v>
      </c>
      <c r="U16" s="120">
        <f t="shared" si="15"/>
        <v>56</v>
      </c>
      <c r="V16" s="120">
        <f t="shared" si="15"/>
        <v>60</v>
      </c>
      <c r="W16" s="120">
        <f t="shared" si="15"/>
        <v>64</v>
      </c>
      <c r="X16" s="120">
        <f t="shared" si="15"/>
        <v>68</v>
      </c>
      <c r="Y16" s="120">
        <f t="shared" si="15"/>
        <v>72</v>
      </c>
      <c r="Z16" s="120">
        <f t="shared" si="15"/>
        <v>76</v>
      </c>
      <c r="AA16" s="120">
        <f t="shared" si="15"/>
        <v>80</v>
      </c>
      <c r="AB16" s="120">
        <f t="shared" si="15"/>
        <v>84</v>
      </c>
      <c r="AC16" s="120">
        <f t="shared" si="15"/>
        <v>88</v>
      </c>
      <c r="AD16" s="120">
        <f t="shared" si="15"/>
        <v>92</v>
      </c>
      <c r="AE16" s="120">
        <f t="shared" si="15"/>
        <v>96</v>
      </c>
      <c r="AF16" s="120">
        <f t="shared" si="15"/>
        <v>100</v>
      </c>
      <c r="AG16" s="120">
        <f t="shared" si="15"/>
        <v>104</v>
      </c>
      <c r="AH16" s="120">
        <f t="shared" si="15"/>
        <v>108</v>
      </c>
      <c r="AI16" s="120">
        <f t="shared" si="15"/>
        <v>112</v>
      </c>
      <c r="AJ16" s="120">
        <f t="shared" si="15"/>
        <v>116</v>
      </c>
      <c r="AK16" s="120">
        <f t="shared" si="15"/>
        <v>120</v>
      </c>
      <c r="AL16" s="120">
        <f t="shared" si="15"/>
        <v>124</v>
      </c>
      <c r="AM16" s="120">
        <f t="shared" si="15"/>
        <v>128</v>
      </c>
      <c r="AN16" s="120">
        <f t="shared" si="15"/>
        <v>132</v>
      </c>
      <c r="AO16" s="120">
        <f t="shared" si="15"/>
        <v>136</v>
      </c>
    </row>
    <row r="17" spans="1:41" x14ac:dyDescent="0.3">
      <c r="C17" s="15"/>
      <c r="D17" s="15"/>
      <c r="E17" s="15"/>
    </row>
    <row r="18" spans="1:41" x14ac:dyDescent="0.3">
      <c r="A18" s="120" t="s">
        <v>339</v>
      </c>
      <c r="B18" s="120">
        <v>305</v>
      </c>
      <c r="C18" s="47">
        <f t="shared" ref="C18:C22" si="16">MAX(H18:AO18)</f>
        <v>136</v>
      </c>
      <c r="D18" s="47">
        <f t="shared" si="3"/>
        <v>4</v>
      </c>
      <c r="E18" s="47">
        <f t="shared" si="4"/>
        <v>34</v>
      </c>
      <c r="F18" s="120"/>
      <c r="G18" s="47">
        <f>'Données Devis'!$B$17</f>
        <v>0</v>
      </c>
      <c r="H18" s="120">
        <f t="shared" si="5"/>
        <v>4</v>
      </c>
      <c r="I18" s="120">
        <f>IF($H18+(($G18+$F$2)*(I$5-1))&gt;$B18,"",$H18+(($G18+$F$2)*(I$5-1)))</f>
        <v>8</v>
      </c>
      <c r="J18" s="120">
        <f t="shared" si="1"/>
        <v>12</v>
      </c>
      <c r="K18" s="120">
        <f t="shared" si="1"/>
        <v>16</v>
      </c>
      <c r="L18" s="120">
        <f t="shared" si="1"/>
        <v>20</v>
      </c>
      <c r="M18" s="120">
        <f t="shared" si="1"/>
        <v>24</v>
      </c>
      <c r="N18" s="120">
        <f t="shared" si="1"/>
        <v>28</v>
      </c>
      <c r="O18" s="120">
        <f t="shared" si="1"/>
        <v>32</v>
      </c>
      <c r="P18" s="120">
        <f t="shared" si="1"/>
        <v>36</v>
      </c>
      <c r="Q18" s="120">
        <f t="shared" si="1"/>
        <v>40</v>
      </c>
      <c r="R18" s="120">
        <f t="shared" si="1"/>
        <v>44</v>
      </c>
      <c r="S18" s="120">
        <f t="shared" si="1"/>
        <v>48</v>
      </c>
      <c r="T18" s="120">
        <f t="shared" si="1"/>
        <v>52</v>
      </c>
      <c r="U18" s="120">
        <f t="shared" si="1"/>
        <v>56</v>
      </c>
      <c r="V18" s="120">
        <f t="shared" si="1"/>
        <v>60</v>
      </c>
      <c r="W18" s="120">
        <f t="shared" si="1"/>
        <v>64</v>
      </c>
      <c r="X18" s="120">
        <f t="shared" si="1"/>
        <v>68</v>
      </c>
      <c r="Y18" s="120">
        <f t="shared" si="1"/>
        <v>72</v>
      </c>
      <c r="Z18" s="120">
        <f t="shared" si="1"/>
        <v>76</v>
      </c>
      <c r="AA18" s="120">
        <f t="shared" si="1"/>
        <v>80</v>
      </c>
      <c r="AB18" s="120">
        <f t="shared" si="1"/>
        <v>84</v>
      </c>
      <c r="AC18" s="120">
        <f t="shared" si="1"/>
        <v>88</v>
      </c>
      <c r="AD18" s="120">
        <f t="shared" si="1"/>
        <v>92</v>
      </c>
      <c r="AE18" s="120">
        <f t="shared" si="1"/>
        <v>96</v>
      </c>
      <c r="AF18" s="120">
        <f t="shared" si="1"/>
        <v>100</v>
      </c>
      <c r="AG18" s="120">
        <f t="shared" si="1"/>
        <v>104</v>
      </c>
      <c r="AH18" s="120">
        <f t="shared" si="1"/>
        <v>108</v>
      </c>
      <c r="AI18" s="120">
        <f t="shared" si="1"/>
        <v>112</v>
      </c>
      <c r="AJ18" s="120">
        <f t="shared" si="1"/>
        <v>116</v>
      </c>
      <c r="AK18" s="120">
        <f t="shared" si="1"/>
        <v>120</v>
      </c>
      <c r="AL18" s="120">
        <f t="shared" si="1"/>
        <v>124</v>
      </c>
      <c r="AM18" s="120">
        <f t="shared" si="1"/>
        <v>128</v>
      </c>
      <c r="AN18" s="120">
        <f t="shared" si="1"/>
        <v>132</v>
      </c>
      <c r="AO18" s="120">
        <f t="shared" si="1"/>
        <v>136</v>
      </c>
    </row>
    <row r="19" spans="1:41" x14ac:dyDescent="0.3">
      <c r="A19" s="120" t="s">
        <v>340</v>
      </c>
      <c r="B19" s="120">
        <v>356</v>
      </c>
      <c r="C19" s="47">
        <f t="shared" si="16"/>
        <v>136</v>
      </c>
      <c r="D19" s="47">
        <f t="shared" si="3"/>
        <v>4</v>
      </c>
      <c r="E19" s="47">
        <f t="shared" si="4"/>
        <v>34</v>
      </c>
      <c r="F19" s="120"/>
      <c r="G19" s="47">
        <f>'Données Devis'!$B$17</f>
        <v>0</v>
      </c>
      <c r="H19" s="120">
        <f t="shared" si="5"/>
        <v>4</v>
      </c>
      <c r="I19" s="120">
        <f t="shared" ref="I19:J23" si="17">IF($H19+(($G19+$F$2)*(I$5-1))&gt;$B19,"",$H19+(($G19+$F$2)*(I$5-1)))</f>
        <v>8</v>
      </c>
      <c r="J19" s="120">
        <f t="shared" si="17"/>
        <v>12</v>
      </c>
      <c r="K19" s="120">
        <f t="shared" si="1"/>
        <v>16</v>
      </c>
      <c r="L19" s="120">
        <f t="shared" si="1"/>
        <v>20</v>
      </c>
      <c r="M19" s="120">
        <f t="shared" si="1"/>
        <v>24</v>
      </c>
      <c r="N19" s="120">
        <f t="shared" si="1"/>
        <v>28</v>
      </c>
      <c r="O19" s="120">
        <f t="shared" si="1"/>
        <v>32</v>
      </c>
      <c r="P19" s="120">
        <f t="shared" si="1"/>
        <v>36</v>
      </c>
      <c r="Q19" s="120">
        <f t="shared" si="1"/>
        <v>40</v>
      </c>
      <c r="R19" s="120">
        <f t="shared" si="1"/>
        <v>44</v>
      </c>
      <c r="S19" s="120">
        <f t="shared" si="1"/>
        <v>48</v>
      </c>
      <c r="T19" s="120">
        <f t="shared" si="1"/>
        <v>52</v>
      </c>
      <c r="U19" s="120">
        <f t="shared" si="1"/>
        <v>56</v>
      </c>
      <c r="V19" s="120">
        <f t="shared" si="1"/>
        <v>60</v>
      </c>
      <c r="W19" s="120">
        <f t="shared" si="1"/>
        <v>64</v>
      </c>
      <c r="X19" s="120">
        <f t="shared" si="1"/>
        <v>68</v>
      </c>
      <c r="Y19" s="120">
        <f t="shared" si="1"/>
        <v>72</v>
      </c>
      <c r="Z19" s="120">
        <f t="shared" si="1"/>
        <v>76</v>
      </c>
      <c r="AA19" s="120">
        <f t="shared" si="1"/>
        <v>80</v>
      </c>
      <c r="AB19" s="120">
        <f t="shared" si="1"/>
        <v>84</v>
      </c>
      <c r="AC19" s="120">
        <f t="shared" si="1"/>
        <v>88</v>
      </c>
      <c r="AD19" s="120">
        <f t="shared" si="1"/>
        <v>92</v>
      </c>
      <c r="AE19" s="120">
        <f t="shared" si="1"/>
        <v>96</v>
      </c>
      <c r="AF19" s="120">
        <f t="shared" si="1"/>
        <v>100</v>
      </c>
      <c r="AG19" s="120">
        <f t="shared" si="1"/>
        <v>104</v>
      </c>
      <c r="AH19" s="120">
        <f t="shared" si="1"/>
        <v>108</v>
      </c>
      <c r="AI19" s="120">
        <f t="shared" si="1"/>
        <v>112</v>
      </c>
      <c r="AJ19" s="120">
        <f t="shared" si="1"/>
        <v>116</v>
      </c>
      <c r="AK19" s="120">
        <f t="shared" si="1"/>
        <v>120</v>
      </c>
      <c r="AL19" s="120">
        <f t="shared" si="1"/>
        <v>124</v>
      </c>
      <c r="AM19" s="120">
        <f t="shared" si="1"/>
        <v>128</v>
      </c>
      <c r="AN19" s="120">
        <f t="shared" si="1"/>
        <v>132</v>
      </c>
      <c r="AO19" s="120">
        <f t="shared" ref="J19:AO24" si="18">IF($H19+(($G19+$F$2)*(AO$5-1))&gt;$B19,"",$H19+(($G19+$F$2)*(AO$5-1)))</f>
        <v>136</v>
      </c>
    </row>
    <row r="20" spans="1:41" x14ac:dyDescent="0.3">
      <c r="A20" s="120" t="s">
        <v>341</v>
      </c>
      <c r="B20" s="379">
        <v>330</v>
      </c>
      <c r="C20" s="47">
        <f t="shared" si="16"/>
        <v>136</v>
      </c>
      <c r="D20" s="47">
        <f t="shared" si="3"/>
        <v>4</v>
      </c>
      <c r="E20" s="47">
        <f t="shared" si="4"/>
        <v>34</v>
      </c>
      <c r="F20" s="120"/>
      <c r="G20" s="47">
        <f>'Données Devis'!$B$17</f>
        <v>0</v>
      </c>
      <c r="H20" s="120">
        <f t="shared" si="5"/>
        <v>4</v>
      </c>
      <c r="I20" s="120">
        <f t="shared" si="17"/>
        <v>8</v>
      </c>
      <c r="J20" s="120">
        <f t="shared" si="18"/>
        <v>12</v>
      </c>
      <c r="K20" s="120">
        <f t="shared" si="18"/>
        <v>16</v>
      </c>
      <c r="L20" s="120">
        <f t="shared" si="18"/>
        <v>20</v>
      </c>
      <c r="M20" s="120">
        <f t="shared" si="18"/>
        <v>24</v>
      </c>
      <c r="N20" s="120">
        <f t="shared" si="18"/>
        <v>28</v>
      </c>
      <c r="O20" s="120">
        <f t="shared" si="18"/>
        <v>32</v>
      </c>
      <c r="P20" s="120">
        <f t="shared" si="18"/>
        <v>36</v>
      </c>
      <c r="Q20" s="120">
        <f t="shared" si="18"/>
        <v>40</v>
      </c>
      <c r="R20" s="120">
        <f t="shared" si="18"/>
        <v>44</v>
      </c>
      <c r="S20" s="120">
        <f t="shared" si="18"/>
        <v>48</v>
      </c>
      <c r="T20" s="120">
        <f t="shared" si="18"/>
        <v>52</v>
      </c>
      <c r="U20" s="120">
        <f t="shared" si="18"/>
        <v>56</v>
      </c>
      <c r="V20" s="120">
        <f t="shared" si="18"/>
        <v>60</v>
      </c>
      <c r="W20" s="120">
        <f t="shared" si="18"/>
        <v>64</v>
      </c>
      <c r="X20" s="120">
        <f t="shared" si="18"/>
        <v>68</v>
      </c>
      <c r="Y20" s="120">
        <f t="shared" si="18"/>
        <v>72</v>
      </c>
      <c r="Z20" s="120">
        <f t="shared" si="18"/>
        <v>76</v>
      </c>
      <c r="AA20" s="120">
        <f t="shared" si="18"/>
        <v>80</v>
      </c>
      <c r="AB20" s="120">
        <f t="shared" si="18"/>
        <v>84</v>
      </c>
      <c r="AC20" s="120">
        <f t="shared" si="18"/>
        <v>88</v>
      </c>
      <c r="AD20" s="120">
        <f t="shared" si="18"/>
        <v>92</v>
      </c>
      <c r="AE20" s="120">
        <f t="shared" si="18"/>
        <v>96</v>
      </c>
      <c r="AF20" s="120">
        <f t="shared" si="18"/>
        <v>100</v>
      </c>
      <c r="AG20" s="120">
        <f t="shared" si="18"/>
        <v>104</v>
      </c>
      <c r="AH20" s="120">
        <f t="shared" si="18"/>
        <v>108</v>
      </c>
      <c r="AI20" s="120">
        <f t="shared" si="18"/>
        <v>112</v>
      </c>
      <c r="AJ20" s="120">
        <f t="shared" si="18"/>
        <v>116</v>
      </c>
      <c r="AK20" s="120">
        <f t="shared" si="18"/>
        <v>120</v>
      </c>
      <c r="AL20" s="120">
        <f t="shared" si="18"/>
        <v>124</v>
      </c>
      <c r="AM20" s="120">
        <f t="shared" si="18"/>
        <v>128</v>
      </c>
      <c r="AN20" s="120">
        <f t="shared" si="18"/>
        <v>132</v>
      </c>
      <c r="AO20" s="120">
        <f t="shared" si="18"/>
        <v>136</v>
      </c>
    </row>
    <row r="21" spans="1:41" x14ac:dyDescent="0.3">
      <c r="A21" s="120" t="s">
        <v>342</v>
      </c>
      <c r="B21" s="120">
        <v>320</v>
      </c>
      <c r="C21" s="47">
        <f t="shared" si="16"/>
        <v>136</v>
      </c>
      <c r="D21" s="47">
        <f t="shared" si="3"/>
        <v>4</v>
      </c>
      <c r="E21" s="47">
        <f t="shared" si="4"/>
        <v>34</v>
      </c>
      <c r="F21" s="120"/>
      <c r="G21" s="47">
        <f>'Données Devis'!$B$17</f>
        <v>0</v>
      </c>
      <c r="H21" s="120">
        <f t="shared" si="5"/>
        <v>4</v>
      </c>
      <c r="I21" s="120">
        <f t="shared" si="17"/>
        <v>8</v>
      </c>
      <c r="J21" s="120">
        <f t="shared" si="18"/>
        <v>12</v>
      </c>
      <c r="K21" s="120">
        <f t="shared" si="18"/>
        <v>16</v>
      </c>
      <c r="L21" s="120">
        <f t="shared" si="18"/>
        <v>20</v>
      </c>
      <c r="M21" s="120">
        <f t="shared" si="18"/>
        <v>24</v>
      </c>
      <c r="N21" s="120">
        <f t="shared" si="18"/>
        <v>28</v>
      </c>
      <c r="O21" s="120">
        <f t="shared" si="18"/>
        <v>32</v>
      </c>
      <c r="P21" s="120">
        <f t="shared" si="18"/>
        <v>36</v>
      </c>
      <c r="Q21" s="120">
        <f t="shared" si="18"/>
        <v>40</v>
      </c>
      <c r="R21" s="120">
        <f t="shared" si="18"/>
        <v>44</v>
      </c>
      <c r="S21" s="120">
        <f t="shared" si="18"/>
        <v>48</v>
      </c>
      <c r="T21" s="120">
        <f t="shared" si="18"/>
        <v>52</v>
      </c>
      <c r="U21" s="120">
        <f t="shared" si="18"/>
        <v>56</v>
      </c>
      <c r="V21" s="120">
        <f t="shared" si="18"/>
        <v>60</v>
      </c>
      <c r="W21" s="120">
        <f t="shared" si="18"/>
        <v>64</v>
      </c>
      <c r="X21" s="120">
        <f t="shared" si="18"/>
        <v>68</v>
      </c>
      <c r="Y21" s="120">
        <f t="shared" si="18"/>
        <v>72</v>
      </c>
      <c r="Z21" s="120">
        <f t="shared" si="18"/>
        <v>76</v>
      </c>
      <c r="AA21" s="120">
        <f t="shared" si="18"/>
        <v>80</v>
      </c>
      <c r="AB21" s="120">
        <f t="shared" si="18"/>
        <v>84</v>
      </c>
      <c r="AC21" s="120">
        <f t="shared" si="18"/>
        <v>88</v>
      </c>
      <c r="AD21" s="120">
        <f t="shared" si="18"/>
        <v>92</v>
      </c>
      <c r="AE21" s="120">
        <f t="shared" si="18"/>
        <v>96</v>
      </c>
      <c r="AF21" s="120">
        <f t="shared" si="18"/>
        <v>100</v>
      </c>
      <c r="AG21" s="120">
        <f t="shared" si="18"/>
        <v>104</v>
      </c>
      <c r="AH21" s="120">
        <f t="shared" si="18"/>
        <v>108</v>
      </c>
      <c r="AI21" s="120">
        <f t="shared" si="18"/>
        <v>112</v>
      </c>
      <c r="AJ21" s="120">
        <f t="shared" si="18"/>
        <v>116</v>
      </c>
      <c r="AK21" s="120">
        <f t="shared" si="18"/>
        <v>120</v>
      </c>
      <c r="AL21" s="120">
        <f t="shared" si="18"/>
        <v>124</v>
      </c>
      <c r="AM21" s="120">
        <f t="shared" si="18"/>
        <v>128</v>
      </c>
      <c r="AN21" s="120">
        <f t="shared" si="18"/>
        <v>132</v>
      </c>
      <c r="AO21" s="120">
        <f t="shared" si="18"/>
        <v>136</v>
      </c>
    </row>
    <row r="22" spans="1:41" x14ac:dyDescent="0.3">
      <c r="A22" s="120" t="s">
        <v>343</v>
      </c>
      <c r="B22" s="120">
        <v>320</v>
      </c>
      <c r="C22" s="47">
        <f t="shared" si="16"/>
        <v>136</v>
      </c>
      <c r="D22" s="47">
        <f t="shared" si="3"/>
        <v>4</v>
      </c>
      <c r="E22" s="47">
        <f t="shared" si="4"/>
        <v>34</v>
      </c>
      <c r="F22" s="120"/>
      <c r="G22" s="47">
        <f>'Données Devis'!$B$17</f>
        <v>0</v>
      </c>
      <c r="H22" s="120">
        <f>G22+$F$2</f>
        <v>4</v>
      </c>
      <c r="I22" s="120">
        <f t="shared" si="17"/>
        <v>8</v>
      </c>
      <c r="J22" s="120">
        <f t="shared" si="18"/>
        <v>12</v>
      </c>
      <c r="K22" s="120">
        <f t="shared" si="18"/>
        <v>16</v>
      </c>
      <c r="L22" s="120">
        <f t="shared" si="18"/>
        <v>20</v>
      </c>
      <c r="M22" s="120">
        <f t="shared" si="18"/>
        <v>24</v>
      </c>
      <c r="N22" s="120">
        <f t="shared" si="18"/>
        <v>28</v>
      </c>
      <c r="O22" s="120">
        <f t="shared" si="18"/>
        <v>32</v>
      </c>
      <c r="P22" s="120">
        <f t="shared" si="18"/>
        <v>36</v>
      </c>
      <c r="Q22" s="120">
        <f t="shared" si="18"/>
        <v>40</v>
      </c>
      <c r="R22" s="120">
        <f t="shared" si="18"/>
        <v>44</v>
      </c>
      <c r="S22" s="120">
        <f t="shared" si="18"/>
        <v>48</v>
      </c>
      <c r="T22" s="120">
        <f t="shared" si="18"/>
        <v>52</v>
      </c>
      <c r="U22" s="120">
        <f t="shared" si="18"/>
        <v>56</v>
      </c>
      <c r="V22" s="120">
        <f t="shared" si="18"/>
        <v>60</v>
      </c>
      <c r="W22" s="120">
        <f t="shared" si="18"/>
        <v>64</v>
      </c>
      <c r="X22" s="120">
        <f t="shared" si="18"/>
        <v>68</v>
      </c>
      <c r="Y22" s="120">
        <f t="shared" si="18"/>
        <v>72</v>
      </c>
      <c r="Z22" s="120">
        <f t="shared" si="18"/>
        <v>76</v>
      </c>
      <c r="AA22" s="120">
        <f t="shared" si="18"/>
        <v>80</v>
      </c>
      <c r="AB22" s="120">
        <f t="shared" si="18"/>
        <v>84</v>
      </c>
      <c r="AC22" s="120">
        <f t="shared" si="18"/>
        <v>88</v>
      </c>
      <c r="AD22" s="120">
        <f t="shared" si="18"/>
        <v>92</v>
      </c>
      <c r="AE22" s="120">
        <f t="shared" si="18"/>
        <v>96</v>
      </c>
      <c r="AF22" s="120">
        <f t="shared" si="18"/>
        <v>100</v>
      </c>
      <c r="AG22" s="120">
        <f t="shared" si="18"/>
        <v>104</v>
      </c>
      <c r="AH22" s="120">
        <f t="shared" si="18"/>
        <v>108</v>
      </c>
      <c r="AI22" s="120">
        <f t="shared" si="18"/>
        <v>112</v>
      </c>
      <c r="AJ22" s="120">
        <f t="shared" si="18"/>
        <v>116</v>
      </c>
      <c r="AK22" s="120">
        <f t="shared" si="18"/>
        <v>120</v>
      </c>
      <c r="AL22" s="120">
        <f t="shared" si="18"/>
        <v>124</v>
      </c>
      <c r="AM22" s="120">
        <f t="shared" si="18"/>
        <v>128</v>
      </c>
      <c r="AN22" s="120">
        <f t="shared" si="18"/>
        <v>132</v>
      </c>
      <c r="AO22" s="120">
        <f t="shared" si="18"/>
        <v>136</v>
      </c>
    </row>
    <row r="23" spans="1:41" x14ac:dyDescent="0.3">
      <c r="A23" s="120" t="s">
        <v>344</v>
      </c>
      <c r="B23" s="120">
        <v>320</v>
      </c>
      <c r="C23" s="47">
        <f t="shared" ref="C23" si="19">MAX(H23:AO23)</f>
        <v>136</v>
      </c>
      <c r="D23" s="47">
        <f t="shared" ref="D23" si="20">G23+$F$2</f>
        <v>4</v>
      </c>
      <c r="E23" s="47">
        <f t="shared" ref="E23" si="21">MATCH(C23,H23:AO23)</f>
        <v>34</v>
      </c>
      <c r="F23" s="120"/>
      <c r="G23" s="47">
        <f>'Données Devis'!$B$17</f>
        <v>0</v>
      </c>
      <c r="H23" s="120">
        <f>G23+$F$2</f>
        <v>4</v>
      </c>
      <c r="I23" s="120">
        <f t="shared" si="17"/>
        <v>8</v>
      </c>
      <c r="J23" s="120">
        <f t="shared" si="18"/>
        <v>12</v>
      </c>
      <c r="K23" s="120">
        <f t="shared" si="18"/>
        <v>16</v>
      </c>
      <c r="L23" s="120">
        <f t="shared" si="18"/>
        <v>20</v>
      </c>
      <c r="M23" s="120">
        <f t="shared" si="18"/>
        <v>24</v>
      </c>
      <c r="N23" s="120">
        <f t="shared" si="18"/>
        <v>28</v>
      </c>
      <c r="O23" s="120">
        <f t="shared" si="18"/>
        <v>32</v>
      </c>
      <c r="P23" s="120">
        <f t="shared" si="18"/>
        <v>36</v>
      </c>
      <c r="Q23" s="120">
        <f t="shared" si="18"/>
        <v>40</v>
      </c>
      <c r="R23" s="120">
        <f t="shared" si="18"/>
        <v>44</v>
      </c>
      <c r="S23" s="120">
        <f t="shared" si="18"/>
        <v>48</v>
      </c>
      <c r="T23" s="120">
        <f t="shared" si="18"/>
        <v>52</v>
      </c>
      <c r="U23" s="120">
        <f t="shared" si="18"/>
        <v>56</v>
      </c>
      <c r="V23" s="120">
        <f t="shared" si="18"/>
        <v>60</v>
      </c>
      <c r="W23" s="120">
        <f t="shared" si="18"/>
        <v>64</v>
      </c>
      <c r="X23" s="120">
        <f t="shared" si="18"/>
        <v>68</v>
      </c>
      <c r="Y23" s="120">
        <f t="shared" si="18"/>
        <v>72</v>
      </c>
      <c r="Z23" s="120">
        <f t="shared" si="18"/>
        <v>76</v>
      </c>
      <c r="AA23" s="120">
        <f t="shared" si="18"/>
        <v>80</v>
      </c>
      <c r="AB23" s="120">
        <f t="shared" si="18"/>
        <v>84</v>
      </c>
      <c r="AC23" s="120">
        <f t="shared" si="18"/>
        <v>88</v>
      </c>
      <c r="AD23" s="120">
        <f t="shared" si="18"/>
        <v>92</v>
      </c>
      <c r="AE23" s="120">
        <f t="shared" si="18"/>
        <v>96</v>
      </c>
      <c r="AF23" s="120">
        <f t="shared" si="18"/>
        <v>100</v>
      </c>
      <c r="AG23" s="120">
        <f t="shared" si="18"/>
        <v>104</v>
      </c>
      <c r="AH23" s="120">
        <f t="shared" si="18"/>
        <v>108</v>
      </c>
      <c r="AI23" s="120">
        <f t="shared" si="18"/>
        <v>112</v>
      </c>
      <c r="AJ23" s="120">
        <f t="shared" si="18"/>
        <v>116</v>
      </c>
      <c r="AK23" s="120">
        <f t="shared" si="18"/>
        <v>120</v>
      </c>
      <c r="AL23" s="120">
        <f t="shared" si="18"/>
        <v>124</v>
      </c>
      <c r="AM23" s="120">
        <f t="shared" si="18"/>
        <v>128</v>
      </c>
      <c r="AN23" s="120">
        <f t="shared" si="18"/>
        <v>132</v>
      </c>
      <c r="AO23" s="120">
        <f t="shared" si="18"/>
        <v>136</v>
      </c>
    </row>
    <row r="24" spans="1:41" x14ac:dyDescent="0.3">
      <c r="A24" s="120" t="s">
        <v>345</v>
      </c>
      <c r="B24" s="120">
        <v>305</v>
      </c>
      <c r="C24" s="47">
        <f t="shared" ref="C24" si="22">MAX(H24:AO24)</f>
        <v>136</v>
      </c>
      <c r="D24" s="47">
        <f t="shared" ref="D24" si="23">G24+$F$2</f>
        <v>4</v>
      </c>
      <c r="E24" s="47">
        <f t="shared" ref="E24" si="24">MATCH(C24,H24:AO24)</f>
        <v>34</v>
      </c>
      <c r="F24" s="120"/>
      <c r="G24" s="47">
        <f>'Données Devis'!$B$17</f>
        <v>0</v>
      </c>
      <c r="H24" s="120">
        <f t="shared" ref="H24" si="25">G24+$F$2</f>
        <v>4</v>
      </c>
      <c r="I24" s="120">
        <f>IF($H24+(($G24+$F$2)*(I$5-1))&gt;$B24,"",$H24+(($G24+$F$2)*(I$5-1)))</f>
        <v>8</v>
      </c>
      <c r="J24" s="120">
        <f t="shared" si="18"/>
        <v>12</v>
      </c>
      <c r="K24" s="120">
        <f t="shared" si="18"/>
        <v>16</v>
      </c>
      <c r="L24" s="120">
        <f t="shared" si="18"/>
        <v>20</v>
      </c>
      <c r="M24" s="120">
        <f t="shared" si="18"/>
        <v>24</v>
      </c>
      <c r="N24" s="120">
        <f t="shared" si="18"/>
        <v>28</v>
      </c>
      <c r="O24" s="120">
        <f t="shared" si="18"/>
        <v>32</v>
      </c>
      <c r="P24" s="120">
        <f t="shared" si="18"/>
        <v>36</v>
      </c>
      <c r="Q24" s="120">
        <f t="shared" si="18"/>
        <v>40</v>
      </c>
      <c r="R24" s="120">
        <f t="shared" si="18"/>
        <v>44</v>
      </c>
      <c r="S24" s="120">
        <f t="shared" si="18"/>
        <v>48</v>
      </c>
      <c r="T24" s="120">
        <f t="shared" si="18"/>
        <v>52</v>
      </c>
      <c r="U24" s="120">
        <f t="shared" si="18"/>
        <v>56</v>
      </c>
      <c r="V24" s="120">
        <f t="shared" si="18"/>
        <v>60</v>
      </c>
      <c r="W24" s="120">
        <f t="shared" si="18"/>
        <v>64</v>
      </c>
      <c r="X24" s="120">
        <f t="shared" si="18"/>
        <v>68</v>
      </c>
      <c r="Y24" s="120">
        <f t="shared" si="18"/>
        <v>72</v>
      </c>
      <c r="Z24" s="120">
        <f t="shared" si="18"/>
        <v>76</v>
      </c>
      <c r="AA24" s="120">
        <f t="shared" si="18"/>
        <v>80</v>
      </c>
      <c r="AB24" s="120">
        <f t="shared" si="18"/>
        <v>84</v>
      </c>
      <c r="AC24" s="120">
        <f t="shared" si="18"/>
        <v>88</v>
      </c>
      <c r="AD24" s="120">
        <f t="shared" si="18"/>
        <v>92</v>
      </c>
      <c r="AE24" s="120">
        <f t="shared" si="18"/>
        <v>96</v>
      </c>
      <c r="AF24" s="120">
        <f t="shared" si="18"/>
        <v>100</v>
      </c>
      <c r="AG24" s="120">
        <f t="shared" si="18"/>
        <v>104</v>
      </c>
      <c r="AH24" s="120">
        <f t="shared" si="18"/>
        <v>108</v>
      </c>
      <c r="AI24" s="120">
        <f t="shared" si="18"/>
        <v>112</v>
      </c>
      <c r="AJ24" s="120">
        <f t="shared" si="18"/>
        <v>116</v>
      </c>
      <c r="AK24" s="120">
        <f t="shared" si="18"/>
        <v>120</v>
      </c>
      <c r="AL24" s="120">
        <f t="shared" si="18"/>
        <v>124</v>
      </c>
      <c r="AM24" s="120">
        <f t="shared" si="18"/>
        <v>128</v>
      </c>
      <c r="AN24" s="120">
        <f t="shared" si="18"/>
        <v>132</v>
      </c>
      <c r="AO24" s="120">
        <f t="shared" si="18"/>
        <v>136</v>
      </c>
    </row>
    <row r="25" spans="1:41" x14ac:dyDescent="0.3">
      <c r="C25" s="15"/>
      <c r="D25" s="15"/>
      <c r="E25" s="15"/>
      <c r="I25" t="str">
        <f t="shared" ref="I25" si="26">IF($H25+(($G25+$F$2)*(I$5-1))&gt;$B25,"",$H25+(($G25+$F$2)*(I$5-1)))</f>
        <v/>
      </c>
      <c r="J25" t="str">
        <f t="shared" ref="J25:AO25" si="27">IF($H25+(($G25+$F$2)*(J$5-1))&gt;$B25,"",$H25+(($G25+$F$2)*(J$5-1)))</f>
        <v/>
      </c>
      <c r="K25" t="str">
        <f t="shared" si="27"/>
        <v/>
      </c>
      <c r="L25" t="str">
        <f t="shared" si="27"/>
        <v/>
      </c>
      <c r="M25" t="str">
        <f t="shared" si="27"/>
        <v/>
      </c>
      <c r="N25" t="str">
        <f t="shared" si="27"/>
        <v/>
      </c>
      <c r="O25" t="str">
        <f t="shared" si="27"/>
        <v/>
      </c>
      <c r="P25" t="str">
        <f t="shared" si="27"/>
        <v/>
      </c>
      <c r="Q25" t="str">
        <f t="shared" si="27"/>
        <v/>
      </c>
      <c r="R25" t="str">
        <f t="shared" si="27"/>
        <v/>
      </c>
      <c r="S25" t="str">
        <f t="shared" si="27"/>
        <v/>
      </c>
      <c r="T25" t="str">
        <f t="shared" si="27"/>
        <v/>
      </c>
      <c r="U25" t="str">
        <f t="shared" si="27"/>
        <v/>
      </c>
      <c r="V25" t="str">
        <f t="shared" si="27"/>
        <v/>
      </c>
      <c r="W25" t="str">
        <f t="shared" si="27"/>
        <v/>
      </c>
      <c r="X25" t="str">
        <f t="shared" si="27"/>
        <v/>
      </c>
      <c r="Y25" t="str">
        <f t="shared" si="27"/>
        <v/>
      </c>
      <c r="Z25" t="str">
        <f t="shared" si="27"/>
        <v/>
      </c>
      <c r="AA25" t="str">
        <f t="shared" si="27"/>
        <v/>
      </c>
      <c r="AB25" t="str">
        <f t="shared" si="27"/>
        <v/>
      </c>
      <c r="AC25" t="str">
        <f t="shared" si="27"/>
        <v/>
      </c>
      <c r="AD25" t="str">
        <f t="shared" si="27"/>
        <v/>
      </c>
      <c r="AE25" t="str">
        <f t="shared" si="27"/>
        <v/>
      </c>
      <c r="AF25" t="str">
        <f t="shared" si="27"/>
        <v/>
      </c>
      <c r="AG25" t="str">
        <f t="shared" si="27"/>
        <v/>
      </c>
      <c r="AH25" t="str">
        <f t="shared" si="27"/>
        <v/>
      </c>
      <c r="AI25" t="str">
        <f t="shared" si="27"/>
        <v/>
      </c>
      <c r="AJ25" t="str">
        <f t="shared" si="27"/>
        <v/>
      </c>
      <c r="AK25" t="str">
        <f t="shared" si="27"/>
        <v/>
      </c>
      <c r="AL25" t="str">
        <f t="shared" si="27"/>
        <v/>
      </c>
      <c r="AM25" t="str">
        <f t="shared" si="27"/>
        <v/>
      </c>
      <c r="AN25" t="str">
        <f t="shared" si="27"/>
        <v/>
      </c>
      <c r="AO25" t="str">
        <f t="shared" si="27"/>
        <v/>
      </c>
    </row>
    <row r="26" spans="1:41" x14ac:dyDescent="0.3">
      <c r="B26" t="s">
        <v>346</v>
      </c>
      <c r="C26" s="15"/>
      <c r="D26" s="15"/>
      <c r="E26" s="15"/>
    </row>
    <row r="27" spans="1:41" x14ac:dyDescent="0.3">
      <c r="C27" s="15"/>
      <c r="D27" s="15"/>
      <c r="E27" s="15"/>
    </row>
    <row r="28" spans="1:41" x14ac:dyDescent="0.3">
      <c r="C28" s="15"/>
      <c r="D28" s="15"/>
      <c r="E28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EB0-E818-4B9E-A572-09C1070D8D3C}">
  <sheetPr codeName="Feuil7">
    <tabColor theme="0" tint="-0.34998626667073579"/>
  </sheetPr>
  <dimension ref="A1:EI11"/>
  <sheetViews>
    <sheetView workbookViewId="0">
      <selection activeCell="E40" sqref="E40"/>
    </sheetView>
  </sheetViews>
  <sheetFormatPr baseColWidth="10" defaultColWidth="11.44140625" defaultRowHeight="14.4" outlineLevelCol="1" x14ac:dyDescent="0.3"/>
  <cols>
    <col min="1" max="1" width="9.109375" customWidth="1"/>
    <col min="2" max="2" width="19.44140625" customWidth="1"/>
    <col min="3" max="3" width="16.6640625" customWidth="1"/>
    <col min="4" max="4" width="22.44140625" customWidth="1"/>
    <col min="5" max="5" width="18.88671875" customWidth="1"/>
    <col min="6" max="7" width="7.33203125" customWidth="1"/>
    <col min="8" max="8" width="1.6640625" customWidth="1"/>
    <col min="9" max="9" width="10.109375" customWidth="1" outlineLevel="1"/>
    <col min="10" max="11" width="9.6640625" customWidth="1" outlineLevel="1"/>
    <col min="12" max="12" width="9.33203125" customWidth="1" outlineLevel="1"/>
    <col min="13" max="13" width="16.44140625" customWidth="1" outlineLevel="1"/>
    <col min="14" max="14" width="8.44140625" customWidth="1" outlineLevel="1"/>
    <col min="15" max="15" width="10.5546875" customWidth="1" outlineLevel="1"/>
    <col min="16" max="16" width="9.6640625" customWidth="1" outlineLevel="1"/>
    <col min="17" max="17" width="7" customWidth="1" outlineLevel="1"/>
    <col min="18" max="18" width="9.109375" customWidth="1" outlineLevel="1"/>
    <col min="19" max="19" width="11.33203125" customWidth="1" outlineLevel="1"/>
    <col min="20" max="20" width="11.33203125" bestFit="1" customWidth="1"/>
    <col min="21" max="21" width="1.33203125" customWidth="1"/>
    <col min="22" max="23" width="11.33203125" bestFit="1" customWidth="1"/>
    <col min="24" max="24" width="11.33203125" customWidth="1"/>
    <col min="25" max="30" width="11.33203125" bestFit="1" customWidth="1"/>
    <col min="31" max="31" width="11.33203125" customWidth="1"/>
    <col min="32" max="32" width="9.6640625" bestFit="1" customWidth="1"/>
    <col min="33" max="33" width="1.109375" customWidth="1"/>
    <col min="34" max="38" width="11.33203125" bestFit="1" customWidth="1"/>
    <col min="39" max="39" width="0.6640625" customWidth="1"/>
    <col min="40" max="40" width="14.33203125" customWidth="1"/>
    <col min="41" max="41" width="8.109375" customWidth="1"/>
    <col min="42" max="42" width="10.6640625" bestFit="1" customWidth="1"/>
    <col min="43" max="43" width="11.33203125" bestFit="1" customWidth="1"/>
    <col min="44" max="44" width="1.33203125" customWidth="1"/>
    <col min="45" max="45" width="14.109375" customWidth="1"/>
    <col min="46" max="46" width="8.109375" customWidth="1"/>
    <col min="47" max="47" width="10.6640625" bestFit="1" customWidth="1"/>
    <col min="48" max="48" width="11.33203125" bestFit="1" customWidth="1"/>
    <col min="49" max="49" width="1.33203125" customWidth="1"/>
    <col min="50" max="50" width="8.44140625" bestFit="1" customWidth="1"/>
    <col min="51" max="51" width="11.44140625" bestFit="1" customWidth="1"/>
    <col min="52" max="52" width="10" bestFit="1" customWidth="1"/>
    <col min="53" max="53" width="10.5546875" bestFit="1" customWidth="1"/>
    <col min="54" max="54" width="1.33203125" customWidth="1"/>
    <col min="55" max="55" width="32.88671875" customWidth="1"/>
    <col min="56" max="56" width="9.33203125" bestFit="1" customWidth="1"/>
    <col min="57" max="57" width="10" bestFit="1" customWidth="1"/>
    <col min="58" max="58" width="10.5546875" bestFit="1" customWidth="1"/>
    <col min="59" max="59" width="1.33203125" customWidth="1"/>
    <col min="60" max="60" width="16.109375" customWidth="1"/>
    <col min="61" max="61" width="9.33203125" bestFit="1" customWidth="1"/>
    <col min="62" max="62" width="10" bestFit="1" customWidth="1"/>
    <col min="63" max="63" width="10.5546875" bestFit="1" customWidth="1"/>
    <col min="64" max="64" width="1.5546875" customWidth="1"/>
    <col min="65" max="65" width="19.6640625" bestFit="1" customWidth="1"/>
    <col min="66" max="66" width="9.33203125" bestFit="1" customWidth="1"/>
    <col min="67" max="67" width="8" customWidth="1"/>
    <col min="68" max="68" width="8.6640625" customWidth="1"/>
    <col min="69" max="69" width="10.44140625" customWidth="1"/>
    <col min="70" max="71" width="10.88671875" customWidth="1"/>
    <col min="72" max="72" width="9.6640625" customWidth="1"/>
    <col min="73" max="73" width="10.88671875" customWidth="1"/>
    <col min="74" max="74" width="7.33203125" customWidth="1"/>
    <col min="75" max="75" width="1.44140625" customWidth="1"/>
    <col min="76" max="77" width="9.6640625" bestFit="1" customWidth="1"/>
    <col min="78" max="78" width="1.44140625" customWidth="1"/>
    <col min="79" max="79" width="8.33203125" customWidth="1"/>
    <col min="80" max="81" width="8" customWidth="1"/>
    <col min="82" max="82" width="1.33203125" customWidth="1"/>
    <col min="83" max="83" width="11.88671875" bestFit="1" customWidth="1"/>
    <col min="84" max="92" width="9.33203125" customWidth="1"/>
    <col min="93" max="94" width="12.33203125" customWidth="1"/>
    <col min="95" max="100" width="9.33203125" customWidth="1"/>
    <col min="101" max="101" width="1.5546875" customWidth="1"/>
    <col min="102" max="102" width="10.109375" customWidth="1"/>
    <col min="103" max="103" width="10.44140625" customWidth="1"/>
    <col min="104" max="104" width="1.33203125" customWidth="1"/>
    <col min="105" max="105" width="10.109375" customWidth="1"/>
    <col min="106" max="107" width="9.33203125" customWidth="1"/>
    <col min="108" max="108" width="1.6640625" customWidth="1"/>
    <col min="109" max="109" width="18.109375" customWidth="1"/>
    <col min="110" max="113" width="9.33203125" customWidth="1"/>
    <col min="114" max="114" width="1.88671875" customWidth="1"/>
    <col min="115" max="116" width="9.33203125" customWidth="1"/>
    <col min="117" max="117" width="2.33203125" customWidth="1"/>
    <col min="118" max="118" width="8.5546875" bestFit="1" customWidth="1"/>
    <col min="119" max="119" width="9.33203125" bestFit="1" customWidth="1"/>
    <col min="120" max="120" width="8.6640625" bestFit="1" customWidth="1"/>
    <col min="121" max="121" width="9.33203125" bestFit="1" customWidth="1"/>
    <col min="122" max="122" width="8.5546875" bestFit="1" customWidth="1"/>
    <col min="123" max="123" width="8.33203125" bestFit="1" customWidth="1"/>
    <col min="124" max="124" width="8.5546875" bestFit="1" customWidth="1"/>
    <col min="125" max="125" width="8.33203125" bestFit="1" customWidth="1"/>
    <col min="126" max="126" width="1.5546875" customWidth="1"/>
    <col min="127" max="127" width="13.33203125" customWidth="1"/>
    <col min="128" max="128" width="8.109375" bestFit="1" customWidth="1"/>
    <col min="129" max="130" width="8.33203125" bestFit="1" customWidth="1"/>
    <col min="131" max="131" width="1.5546875" customWidth="1"/>
    <col min="132" max="132" width="10.6640625" bestFit="1" customWidth="1"/>
    <col min="133" max="133" width="9.33203125" bestFit="1" customWidth="1"/>
    <col min="134" max="134" width="1.5546875" customWidth="1"/>
    <col min="135" max="135" width="11.5546875" customWidth="1"/>
    <col min="136" max="136" width="9.33203125" customWidth="1"/>
    <col min="137" max="137" width="2.33203125" customWidth="1"/>
    <col min="138" max="138" width="11.44140625" customWidth="1"/>
  </cols>
  <sheetData>
    <row r="1" spans="1:139" s="51" customFormat="1" ht="24" customHeight="1" x14ac:dyDescent="0.3">
      <c r="H1" s="99"/>
      <c r="I1" s="448" t="s">
        <v>31</v>
      </c>
      <c r="J1" s="449"/>
      <c r="K1" s="450"/>
      <c r="L1" s="448" t="s">
        <v>347</v>
      </c>
      <c r="M1" s="449"/>
      <c r="N1" s="449"/>
      <c r="O1" s="449"/>
      <c r="P1" s="449"/>
      <c r="Q1" s="449"/>
      <c r="R1" s="450"/>
      <c r="S1" s="59" t="s">
        <v>132</v>
      </c>
      <c r="T1" s="59" t="s">
        <v>321</v>
      </c>
      <c r="U1" s="100"/>
      <c r="V1" s="59" t="s">
        <v>348</v>
      </c>
      <c r="W1" s="59" t="s">
        <v>31</v>
      </c>
      <c r="X1" s="52"/>
      <c r="Y1" s="448" t="s">
        <v>347</v>
      </c>
      <c r="Z1" s="449"/>
      <c r="AA1" s="449"/>
      <c r="AB1" s="449"/>
      <c r="AC1" s="450"/>
      <c r="AD1" s="59"/>
      <c r="AE1" s="59"/>
      <c r="AF1" s="59"/>
      <c r="AH1" s="53"/>
      <c r="AI1" s="53"/>
      <c r="AJ1" s="53"/>
      <c r="AK1" s="53"/>
      <c r="AL1" s="52"/>
      <c r="AM1" s="100"/>
      <c r="AN1" s="54"/>
      <c r="AO1" s="55"/>
      <c r="AP1" s="55"/>
      <c r="AQ1" s="56"/>
      <c r="AR1" s="100"/>
      <c r="AS1" s="54"/>
      <c r="AT1" s="55"/>
      <c r="AU1" s="55"/>
      <c r="AV1" s="56"/>
      <c r="AW1" s="100"/>
      <c r="AX1" s="54"/>
      <c r="AY1" s="55"/>
      <c r="AZ1" s="55"/>
      <c r="BA1" s="56"/>
      <c r="BB1" s="100"/>
      <c r="BC1" s="54"/>
      <c r="BD1" s="55"/>
      <c r="BE1" s="55"/>
      <c r="BF1" s="56"/>
      <c r="BG1" s="100"/>
      <c r="BH1" s="54"/>
      <c r="BI1" s="55"/>
      <c r="BJ1" s="55"/>
      <c r="BK1" s="56"/>
      <c r="BL1" s="100"/>
      <c r="BM1" s="448" t="s">
        <v>349</v>
      </c>
      <c r="BN1" s="449"/>
      <c r="BO1" s="449"/>
      <c r="BP1" s="449"/>
      <c r="BQ1" s="449"/>
      <c r="BR1" s="449"/>
      <c r="BS1" s="449"/>
      <c r="BT1" s="449"/>
      <c r="BU1" s="449"/>
      <c r="BV1" s="449"/>
      <c r="BW1" s="449"/>
      <c r="BX1" s="449"/>
      <c r="BY1" s="449"/>
      <c r="BZ1" s="449"/>
      <c r="CA1" s="449"/>
      <c r="CB1" s="449"/>
      <c r="CC1" s="450"/>
      <c r="CD1" s="100"/>
      <c r="CE1" s="451" t="s">
        <v>347</v>
      </c>
      <c r="CF1" s="452"/>
      <c r="CG1" s="452"/>
      <c r="CH1" s="452"/>
      <c r="CI1" s="452"/>
      <c r="CJ1" s="452"/>
      <c r="CK1" s="452"/>
      <c r="CL1" s="452"/>
      <c r="CM1" s="452"/>
      <c r="CN1" s="452"/>
      <c r="CO1" s="452"/>
      <c r="CP1" s="452"/>
      <c r="CQ1" s="452"/>
      <c r="CR1" s="452"/>
      <c r="CS1" s="452"/>
      <c r="CT1" s="452"/>
      <c r="CU1" s="452"/>
      <c r="CV1" s="452"/>
      <c r="CW1" s="452"/>
      <c r="CX1" s="452"/>
      <c r="CY1" s="452"/>
      <c r="CZ1" s="452"/>
      <c r="DA1" s="452"/>
      <c r="DB1" s="452"/>
      <c r="DC1" s="453"/>
      <c r="DD1" s="100"/>
      <c r="DE1" s="448" t="s">
        <v>132</v>
      </c>
      <c r="DF1" s="449"/>
      <c r="DG1" s="449"/>
      <c r="DH1" s="449"/>
      <c r="DI1" s="449"/>
      <c r="DJ1" s="449"/>
      <c r="DK1" s="449"/>
      <c r="DL1" s="450"/>
      <c r="DM1" s="100"/>
      <c r="DN1" s="52"/>
      <c r="DO1" s="57"/>
      <c r="DP1" s="52"/>
      <c r="DQ1" s="53"/>
      <c r="DR1" s="52"/>
      <c r="DS1" s="57"/>
      <c r="DT1" s="52"/>
      <c r="DU1" s="57"/>
      <c r="DV1" s="58"/>
      <c r="DW1" s="59" t="s">
        <v>321</v>
      </c>
      <c r="DX1" s="59" t="s">
        <v>321</v>
      </c>
      <c r="DY1" s="59" t="s">
        <v>321</v>
      </c>
      <c r="DZ1" s="59" t="s">
        <v>321</v>
      </c>
      <c r="EA1"/>
      <c r="EB1" s="59" t="s">
        <v>321</v>
      </c>
      <c r="EC1" s="59" t="s">
        <v>321</v>
      </c>
      <c r="ED1"/>
      <c r="EE1" s="59"/>
      <c r="EF1" s="59"/>
      <c r="EH1" s="59"/>
    </row>
    <row r="2" spans="1:139" s="61" customFormat="1" ht="60" x14ac:dyDescent="0.3">
      <c r="A2" s="75" t="s">
        <v>350</v>
      </c>
      <c r="B2" s="75" t="s">
        <v>351</v>
      </c>
      <c r="C2" s="75" t="s">
        <v>352</v>
      </c>
      <c r="D2" s="75" t="s">
        <v>353</v>
      </c>
      <c r="E2" s="75" t="s">
        <v>354</v>
      </c>
      <c r="F2" s="69" t="s">
        <v>355</v>
      </c>
      <c r="G2" s="70" t="s">
        <v>356</v>
      </c>
      <c r="H2"/>
      <c r="I2" s="69" t="s">
        <v>357</v>
      </c>
      <c r="J2" s="71" t="s">
        <v>358</v>
      </c>
      <c r="K2" s="71" t="s">
        <v>359</v>
      </c>
      <c r="L2" s="69" t="s">
        <v>360</v>
      </c>
      <c r="M2" s="71" t="s">
        <v>361</v>
      </c>
      <c r="N2" s="71" t="s">
        <v>362</v>
      </c>
      <c r="O2" s="71" t="s">
        <v>363</v>
      </c>
      <c r="P2" s="71" t="s">
        <v>364</v>
      </c>
      <c r="Q2" s="71" t="s">
        <v>365</v>
      </c>
      <c r="R2" s="70" t="s">
        <v>366</v>
      </c>
      <c r="S2" s="72" t="s">
        <v>367</v>
      </c>
      <c r="T2" s="72" t="s">
        <v>368</v>
      </c>
      <c r="U2" s="15"/>
      <c r="V2" s="72" t="s">
        <v>369</v>
      </c>
      <c r="W2" s="72" t="s">
        <v>370</v>
      </c>
      <c r="X2" s="69" t="s">
        <v>371</v>
      </c>
      <c r="Y2" s="69" t="s">
        <v>372</v>
      </c>
      <c r="Z2" s="71" t="s">
        <v>373</v>
      </c>
      <c r="AA2" s="71" t="s">
        <v>374</v>
      </c>
      <c r="AB2" s="71" t="s">
        <v>375</v>
      </c>
      <c r="AC2" s="70" t="s">
        <v>376</v>
      </c>
      <c r="AD2" s="72" t="s">
        <v>377</v>
      </c>
      <c r="AE2" s="72" t="s">
        <v>378</v>
      </c>
      <c r="AF2" s="72" t="s">
        <v>379</v>
      </c>
      <c r="AH2" s="72" t="s">
        <v>380</v>
      </c>
      <c r="AI2" s="71" t="s">
        <v>381</v>
      </c>
      <c r="AJ2" s="71" t="s">
        <v>382</v>
      </c>
      <c r="AK2" s="71" t="s">
        <v>383</v>
      </c>
      <c r="AL2" s="72" t="s">
        <v>384</v>
      </c>
      <c r="AM2" s="15"/>
      <c r="AN2" s="73" t="s">
        <v>385</v>
      </c>
      <c r="AO2" s="71" t="s">
        <v>386</v>
      </c>
      <c r="AP2" s="71" t="s">
        <v>387</v>
      </c>
      <c r="AQ2" s="70" t="s">
        <v>388</v>
      </c>
      <c r="AR2" s="15"/>
      <c r="AS2" s="73" t="s">
        <v>389</v>
      </c>
      <c r="AT2" s="71" t="s">
        <v>386</v>
      </c>
      <c r="AU2" s="71" t="s">
        <v>387</v>
      </c>
      <c r="AV2" s="70" t="s">
        <v>388</v>
      </c>
      <c r="AW2" s="15"/>
      <c r="AX2" s="73" t="s">
        <v>46</v>
      </c>
      <c r="AY2" s="71" t="s">
        <v>390</v>
      </c>
      <c r="AZ2" s="71" t="s">
        <v>391</v>
      </c>
      <c r="BA2" s="70" t="s">
        <v>392</v>
      </c>
      <c r="BB2" s="15"/>
      <c r="BC2" s="74" t="s">
        <v>393</v>
      </c>
      <c r="BD2" s="71" t="s">
        <v>394</v>
      </c>
      <c r="BE2" s="71" t="s">
        <v>395</v>
      </c>
      <c r="BF2" s="70" t="s">
        <v>396</v>
      </c>
      <c r="BG2" s="15"/>
      <c r="BH2" s="74" t="s">
        <v>397</v>
      </c>
      <c r="BI2" s="71" t="s">
        <v>394</v>
      </c>
      <c r="BJ2" s="71" t="s">
        <v>395</v>
      </c>
      <c r="BK2" s="70" t="s">
        <v>396</v>
      </c>
      <c r="BL2" s="15"/>
      <c r="BM2" s="101" t="s">
        <v>322</v>
      </c>
      <c r="BN2" s="102" t="s">
        <v>398</v>
      </c>
      <c r="BO2" s="102" t="s">
        <v>399</v>
      </c>
      <c r="BP2" s="102" t="s">
        <v>400</v>
      </c>
      <c r="BQ2" s="103" t="s">
        <v>401</v>
      </c>
      <c r="BR2" s="102" t="s">
        <v>402</v>
      </c>
      <c r="BS2" s="102" t="s">
        <v>403</v>
      </c>
      <c r="BT2" s="102" t="s">
        <v>404</v>
      </c>
      <c r="BU2" s="103" t="s">
        <v>405</v>
      </c>
      <c r="BV2" s="103" t="s">
        <v>406</v>
      </c>
      <c r="BW2" s="15"/>
      <c r="BX2" s="104" t="s">
        <v>407</v>
      </c>
      <c r="BY2" s="103" t="s">
        <v>408</v>
      </c>
      <c r="BZ2" s="15"/>
      <c r="CA2" s="104" t="s">
        <v>409</v>
      </c>
      <c r="CB2" s="72" t="s">
        <v>410</v>
      </c>
      <c r="CC2" s="103" t="s">
        <v>411</v>
      </c>
      <c r="CD2" s="15"/>
      <c r="CE2" s="101" t="s">
        <v>322</v>
      </c>
      <c r="CF2" s="102" t="s">
        <v>398</v>
      </c>
      <c r="CG2" s="102" t="s">
        <v>399</v>
      </c>
      <c r="CH2" s="102" t="s">
        <v>400</v>
      </c>
      <c r="CI2" s="102" t="s">
        <v>412</v>
      </c>
      <c r="CJ2" s="102" t="s">
        <v>413</v>
      </c>
      <c r="CK2" s="102" t="s">
        <v>414</v>
      </c>
      <c r="CL2" s="102" t="s">
        <v>415</v>
      </c>
      <c r="CM2" s="103" t="s">
        <v>416</v>
      </c>
      <c r="CN2" s="103" t="s">
        <v>417</v>
      </c>
      <c r="CO2" s="101" t="s">
        <v>418</v>
      </c>
      <c r="CP2" s="101" t="s">
        <v>419</v>
      </c>
      <c r="CQ2" s="102" t="s">
        <v>420</v>
      </c>
      <c r="CR2" s="102" t="s">
        <v>421</v>
      </c>
      <c r="CS2" s="102" t="s">
        <v>422</v>
      </c>
      <c r="CT2" s="102" t="s">
        <v>423</v>
      </c>
      <c r="CU2" s="103" t="s">
        <v>424</v>
      </c>
      <c r="CV2" s="103" t="s">
        <v>425</v>
      </c>
      <c r="CW2" s="15"/>
      <c r="CX2" s="104" t="s">
        <v>426</v>
      </c>
      <c r="CY2" s="103" t="s">
        <v>427</v>
      </c>
      <c r="CZ2" s="15"/>
      <c r="DA2" s="104" t="s">
        <v>409</v>
      </c>
      <c r="DB2" s="104" t="s">
        <v>428</v>
      </c>
      <c r="DC2" s="103" t="s">
        <v>429</v>
      </c>
      <c r="DD2" s="15"/>
      <c r="DE2" s="101" t="s">
        <v>322</v>
      </c>
      <c r="DF2" s="102" t="s">
        <v>398</v>
      </c>
      <c r="DG2" s="102" t="s">
        <v>399</v>
      </c>
      <c r="DH2" s="103" t="s">
        <v>430</v>
      </c>
      <c r="DI2" s="103" t="s">
        <v>431</v>
      </c>
      <c r="DJ2" s="15"/>
      <c r="DK2" s="104" t="s">
        <v>432</v>
      </c>
      <c r="DL2" s="103" t="s">
        <v>433</v>
      </c>
      <c r="DM2" s="15"/>
      <c r="DN2" s="69" t="s">
        <v>434</v>
      </c>
      <c r="DO2" s="70" t="s">
        <v>435</v>
      </c>
      <c r="DP2" s="71" t="s">
        <v>436</v>
      </c>
      <c r="DQ2" s="71" t="s">
        <v>437</v>
      </c>
      <c r="DR2" s="69" t="s">
        <v>438</v>
      </c>
      <c r="DS2" s="70" t="s">
        <v>439</v>
      </c>
      <c r="DT2" s="69" t="s">
        <v>440</v>
      </c>
      <c r="DU2" s="70" t="s">
        <v>441</v>
      </c>
      <c r="DV2" s="60"/>
      <c r="DW2" s="72" t="s">
        <v>442</v>
      </c>
      <c r="DX2" s="72" t="s">
        <v>443</v>
      </c>
      <c r="DY2" s="72" t="s">
        <v>444</v>
      </c>
      <c r="DZ2" s="70" t="s">
        <v>445</v>
      </c>
      <c r="EA2"/>
      <c r="EB2" s="69" t="s">
        <v>446</v>
      </c>
      <c r="EC2" s="72" t="s">
        <v>447</v>
      </c>
      <c r="ED2"/>
      <c r="EE2" s="72" t="s">
        <v>448</v>
      </c>
      <c r="EF2" s="72" t="s">
        <v>449</v>
      </c>
      <c r="EH2" s="72" t="s">
        <v>450</v>
      </c>
    </row>
    <row r="3" spans="1:139" s="15" customFormat="1" x14ac:dyDescent="0.3">
      <c r="A3" s="76">
        <f>'Données Devis'!B11</f>
        <v>140000</v>
      </c>
      <c r="B3" s="155" t="str">
        <f>IF('Paramètres Techniques'!$B$1="Site",'Données Devis'!$E$7,"MD CERM")&amp;" - HP6000 Offline"</f>
        <v>AESU - HP6000 Offline</v>
      </c>
      <c r="C3" s="76" t="str">
        <f>IF('Paramètres Techniques'!$B$1="Site",'Données Devis'!$E$7,"MD CERM")&amp;" - "&amp;'Données Devis'!$B$25</f>
        <v xml:space="preserve">AESU - </v>
      </c>
      <c r="D3" s="76" t="str">
        <f>IFERROR(VLOOKUP('Données Devis'!E7,'Paramètres Techniques'!A:H,2,0),"")</f>
        <v>AESU-Cartes</v>
      </c>
      <c r="E3" s="76">
        <f>'Données Devis'!B29</f>
        <v>0</v>
      </c>
      <c r="F3" s="77">
        <f>Pose!$E$6</f>
        <v>34</v>
      </c>
      <c r="G3" s="78">
        <f>Pose!$B$6</f>
        <v>330</v>
      </c>
      <c r="H3"/>
      <c r="I3" s="87" t="str">
        <f>IFERROR(VLOOKUP(C3,'Code Couleur'!B:I,6,0),"")</f>
        <v/>
      </c>
      <c r="J3" s="144">
        <f>IFERROR(VLOOKUP(B3,'Paramètres Techniques'!$B:$AK,36,0)*('Données Devis'!$B$15-1),"")</f>
        <v>-20</v>
      </c>
      <c r="K3" s="144">
        <f>IF('Données Devis'!$B$26="Oui",VLOOKUP(BM3,'Paramètres Techniques'!B:AX,32,0),0)</f>
        <v>0</v>
      </c>
      <c r="L3" s="87" t="e">
        <f>VLOOKUP(D3&amp;"-"&amp;E3,'Code Couleur'!B:I,6,0)</f>
        <v>#N/A</v>
      </c>
      <c r="M3" s="144">
        <f>IF('Données Devis'!B29="",0,
VLOOKUP(D3,'Paramètres Techniques'!B:S,17,0)*('Données Devis'!$B$15-1)*VLOOKUP(D3&amp;"-"&amp;E3,'Code Couleur'!B:J,9,0)+
VLOOKUP(D3,'Paramètres Techniques'!B:S,18,0)*('Données Devis'!$B$15-1)*VLOOKUP(D3&amp;"-"&amp;E3,'Code Couleur'!B:O,10,0))</f>
        <v>0</v>
      </c>
      <c r="N3" s="144">
        <f>IF('Données Devis'!B31="",0,IF('Données Devis'!B33="Oui",VLOOKUP(D3&amp;"-"&amp;'Données Devis'!A33,'Paramètres Techniques'!A:F,6,0),VLOOKUP(VLOOKUP('Données Devis'!E7,'Paramètres Techniques'!A:B,2,0)&amp;"-"&amp;"Dorure",'Paramètres Techniques'!A:F,6,0)))*IF('Données Devis'!B32="",1,2)</f>
        <v>0</v>
      </c>
      <c r="O3" s="144">
        <f>IF('Données Devis'!B34&lt;&gt;"Non",VLOOKUP(D3&amp;"-"&amp;'Données Devis'!A34,'Paramètres Techniques'!A:F,6,0)*'Données Devis'!B34,0)</f>
        <v>0</v>
      </c>
      <c r="P3" s="144">
        <f>IF('Données Devis'!B35&lt;&gt;"Non",VLOOKUP(D3&amp;"-"&amp;'Données Devis'!A35,'Paramètres Techniques'!A:F,6,0)*'Données Devis'!B35,0)</f>
        <v>0</v>
      </c>
      <c r="Q3" s="144">
        <f>IF('Données Devis'!B36&lt;&gt;"Non",VLOOKUP(D3&amp;"-"&amp;'Données Devis'!A36,'Paramètres Techniques'!A:F,6,0)*'Données Devis'!B36,0)</f>
        <v>0</v>
      </c>
      <c r="R3" s="145">
        <f>IF('Données Devis'!B37&lt;&gt;"Non",IFERROR(VLOOKUP(D3&amp;"-"&amp;'Données Devis'!A37,'Paramètres Techniques'!A:F,6,0),0),0)</f>
        <v>0</v>
      </c>
      <c r="S3" s="143">
        <f>VLOOKUP('Données Devis'!B40,'Paramètres Techniques'!A:C,3,0)</f>
        <v>0</v>
      </c>
      <c r="T3" s="143" t="e">
        <f>SUM(I3:S3)</f>
        <v>#N/A</v>
      </c>
      <c r="V3" s="203">
        <f>Calcul!A3*(Pose!D6/1000)/Calcul!F3</f>
        <v>16.470588235294116</v>
      </c>
      <c r="W3" s="139" t="e">
        <f>VLOOKUP(C3,'Code Couleur'!B:F,5,0)*V3</f>
        <v>#N/A</v>
      </c>
      <c r="X3" s="140" t="e">
        <f>VLOOKUP(D3&amp;"-"&amp;E3,'Code Couleur'!B:O,5,0)*V3</f>
        <v>#N/A</v>
      </c>
      <c r="Y3" s="140">
        <f>IF('Données Devis'!$B$31="",0,IF('Données Devis'!$B$33="Oui",VLOOKUP(VLOOKUP('Données Devis'!$E$7,'Paramètres Techniques'!A:B,2,0)&amp;"-"&amp;'Données Devis'!$A$33,'Paramètres Techniques'!A:G,7,0),VLOOKUP(VLOOKUP('Données Devis'!$E$7,'Paramètres Techniques'!A:B,2,0)&amp;"-"&amp;"Dorure",'Paramètres Techniques'!A:G,7,0)))*IF('Données Devis'!$B$32="",1,2)*V3</f>
        <v>0</v>
      </c>
      <c r="Z3" s="141">
        <f>IF('Données Devis'!$B$34&lt;&gt;"Non",VLOOKUP(VLOOKUP('Données Devis'!$E$7,'Paramètres Techniques'!A:B,2,0)&amp;"-"&amp;'Données Devis'!$A$34,'Paramètres Techniques'!A:G,7,0)*'Données Devis'!$B$34,0)*V3</f>
        <v>0</v>
      </c>
      <c r="AA3" s="141">
        <f>IF('Données Devis'!$B$35&lt;&gt;"Non",VLOOKUP(VLOOKUP('Données Devis'!$E$7,'Paramètres Techniques'!A:B,2,0)&amp;"-"&amp;'Données Devis'!$A$35,'Paramètres Techniques'!A:G,7,0)*'Données Devis'!$B$35,0)*V3</f>
        <v>0</v>
      </c>
      <c r="AB3" s="141">
        <f>IF('Données Devis'!$B$36&lt;&gt;"Non",VLOOKUP(VLOOKUP('Données Devis'!$E$7,'Paramètres Techniques'!A:B,2,0)&amp;"-"&amp;'Données Devis'!$A$36,'Paramètres Techniques'!A:G,7,0)*'Données Devis'!$B$36,0)*V3</f>
        <v>0</v>
      </c>
      <c r="AC3" s="142">
        <f>IF('Données Devis'!$B$37&lt;&gt;"Non",IFERROR(VLOOKUP(VLOOKUP('Données Devis'!$E$7,'Paramètres Techniques'!A:B,2,0)&amp;"-"&amp;'Données Devis'!$A$37,'Paramètres Techniques'!A:G,7,0),0),0)*V3</f>
        <v>0</v>
      </c>
      <c r="AD3" s="139">
        <f>VLOOKUP('Données Devis'!$B$40,'Paramètres Techniques'!A:G,7,0)*V3</f>
        <v>0</v>
      </c>
      <c r="AE3" s="139" t="e">
        <f>(SUM(T3:AD3)+AF3)/VLOOKUP(B3,'Paramètres Techniques'!B:AD,28,0)*VLOOKUP(B3,'Paramètres Techniques'!B:AD,29,0)</f>
        <v>#N/A</v>
      </c>
      <c r="AF3" s="203" t="e">
        <f>(L3+N3+O3+P3+Q3+R3+S3+V3+X3+Y3+Z3+AA3+AB3+AC3+AD3)/VLOOKUP(D3,'Paramètres Techniques'!B:AD,28,0)*VLOOKUP(D3,'Paramètres Techniques'!B:AD,29,0)</f>
        <v>#N/A</v>
      </c>
      <c r="AG3" s="66"/>
      <c r="AH3" s="143" t="e">
        <f>SUM(T3:AF3)</f>
        <v>#N/A</v>
      </c>
      <c r="AI3" s="144" t="e">
        <f>T3*(G3/1000)</f>
        <v>#N/A</v>
      </c>
      <c r="AJ3" s="144">
        <f>V3*(G3/1000)</f>
        <v>5.4352941176470582</v>
      </c>
      <c r="AK3" s="144" t="e">
        <f>SUM(W3:AF3)*(G3/1000)</f>
        <v>#N/A</v>
      </c>
      <c r="AL3" s="143" t="e">
        <f>AI3+AJ3+AK3</f>
        <v>#N/A</v>
      </c>
      <c r="AN3" s="84">
        <f>'Données Devis'!$B$31</f>
        <v>0</v>
      </c>
      <c r="AO3" s="269">
        <f>IF(AN3=0,0,VLOOKUP(AN3,'Liste MP'!W:Y,3,0))</f>
        <v>0</v>
      </c>
      <c r="AP3" s="85" t="e">
        <f>AO3*(T3-I3-J3-K3)*270/1000*(1+'Paramètres Techniques'!$B$99)</f>
        <v>#N/A</v>
      </c>
      <c r="AQ3" s="86" t="e">
        <f>AO3*(V3+S3+AD3+AF3+X3)*270/1000*(1+'Paramètres Techniques'!$B$99)</f>
        <v>#N/A</v>
      </c>
      <c r="AS3" s="84">
        <f>'Données Devis'!$B$32</f>
        <v>0</v>
      </c>
      <c r="AT3" s="269">
        <f>IF(AS3=0,0,VLOOKUP(AS3,'Liste MP'!W:Y,3,0))</f>
        <v>0</v>
      </c>
      <c r="AU3" s="85" t="e">
        <f>AT3*(T3-I3-J3-K3)*270/1000*(1+'Paramètres Techniques'!$B$99)</f>
        <v>#N/A</v>
      </c>
      <c r="AV3" s="86" t="e">
        <f>AT3*(V3+S3+AD3+AF3+X3)*270/1000*(1+'Paramètres Techniques'!$B$99)</f>
        <v>#N/A</v>
      </c>
      <c r="AX3" s="84" t="str">
        <f>IF('Données Devis'!B37&lt;&gt;"Non","PP TC MATT TRANSPARENT SOFT TOUCH 17 / AP901 / WG62","")</f>
        <v/>
      </c>
      <c r="AY3" s="269">
        <f>IF('Données Devis'!B37="Non",0,VLOOKUP(AX3,Tableau6[[#All],[Libellé]:[Prix (Hors FG)]],3,0))</f>
        <v>0</v>
      </c>
      <c r="AZ3" s="273" t="e">
        <f>AY3*(T3-I3-J3-K3)*G3/1000*(1+'Paramètres Techniques'!$B$99)</f>
        <v>#N/A</v>
      </c>
      <c r="BA3" s="274" t="e">
        <f>AY3*(V3+S3+AD3+AF3+X3)*G3/1000*(1+'Paramètres Techniques'!$B$99)</f>
        <v>#N/A</v>
      </c>
      <c r="BC3" s="84" t="str">
        <f>'Données Devis'!$B$20&amp;" / "&amp;'Données Devis'!$B$21&amp;" / "&amp;'Données Devis'!$B$22</f>
        <v>Frozen Orion Diamond / Lavable / Glassine</v>
      </c>
      <c r="BD3" s="269">
        <f>VLOOKUP(BC3,'Liste MP'!D:I,6,0)</f>
        <v>1.69726</v>
      </c>
      <c r="BE3" s="85" t="e">
        <f>BD3*AI3*(1+'Paramètres Techniques'!$B$99)</f>
        <v>#N/A</v>
      </c>
      <c r="BF3" s="86" t="e">
        <f>BD3*(AJ3+AK3)*(1+'Paramètres Techniques'!$B$99)</f>
        <v>#N/A</v>
      </c>
      <c r="BH3" s="84" t="str">
        <f>IF('Données Devis'!B34="Non","","NONE / NONE / LINER PET23 IL LR  ")</f>
        <v/>
      </c>
      <c r="BI3" s="269">
        <f>IF('Données Devis'!B34="Non",0,VLOOKUP(Calcul!BH3,Tableau5[[Adhesif]:[Prix]],4,0))</f>
        <v>0</v>
      </c>
      <c r="BJ3" s="85" t="e">
        <f>BI3*AI3*(1+'Paramètres Techniques'!$B$99)</f>
        <v>#N/A</v>
      </c>
      <c r="BK3" s="86" t="e">
        <f>BI3*(AJ3+AK3)*(1+'Paramètres Techniques'!$B$99)</f>
        <v>#N/A</v>
      </c>
      <c r="BM3" s="87" t="str">
        <f>B3</f>
        <v>AESU - HP6000 Offline</v>
      </c>
      <c r="BN3" s="94">
        <f>VLOOKUP(BM3,'Paramètres Techniques'!B:K,10,0)</f>
        <v>210</v>
      </c>
      <c r="BO3" s="90">
        <f>VLOOKUP(BM3,'Paramètres Techniques'!B:L,11,0)*VLOOKUP(BM3,Pose!$9:$17,3,0)/1000</f>
        <v>489.6</v>
      </c>
      <c r="BP3" s="88" t="e">
        <f>VLOOKUP(C3,'Code Couleur'!B:E,4,0)</f>
        <v>#N/A</v>
      </c>
      <c r="BQ3" s="91" t="e">
        <f>BO3*(1-BP3)</f>
        <v>#N/A</v>
      </c>
      <c r="BR3" s="92" t="e">
        <f>VLOOKUP(C3,'Code Couleur'!B:H,7,0)</f>
        <v>#N/A</v>
      </c>
      <c r="BS3" s="93">
        <f>VLOOKUP(BM3,'Paramètres Techniques'!B:G,6,0)</f>
        <v>0.41666666666666669</v>
      </c>
      <c r="BT3" s="93">
        <f>VLOOKUP(BM3,'Paramètres Techniques'!B:AK,35,0)*('Données Devis'!$B$15-1)</f>
        <v>-3.3333333333333333E-2</v>
      </c>
      <c r="BU3" s="277">
        <f>IF('Données Devis'!$B$26="Oui",VLOOKUP(BM3,'Paramètres Techniques'!B:AH,31,0),0)</f>
        <v>0</v>
      </c>
      <c r="BV3" s="95" t="e">
        <f>SUM(BR3:BU3)*BN3</f>
        <v>#N/A</v>
      </c>
      <c r="BX3" s="150" t="e">
        <f>(SUM(T3:AD3)+AF3)/VLOOKUP(B3,'Paramètres Techniques'!B:AD,28,0)*VLOOKUP(B3,'Paramètres Techniques'!B:AD,27,0)</f>
        <v>#N/A</v>
      </c>
      <c r="BY3" s="97" t="e">
        <f>IF(A3=0,0,BX3*BN3)</f>
        <v>#N/A</v>
      </c>
      <c r="CA3" s="146" t="e">
        <f>AH3-AE3-I3-J3-K3</f>
        <v>#N/A</v>
      </c>
      <c r="CB3" s="151" t="e">
        <f>CA3/BQ3</f>
        <v>#N/A</v>
      </c>
      <c r="CC3" s="97" t="e">
        <f>CB3*BN3</f>
        <v>#N/A</v>
      </c>
      <c r="CE3" s="87" t="str">
        <f>D3</f>
        <v>AESU-Cartes</v>
      </c>
      <c r="CF3" s="94">
        <f>VLOOKUP(CE3,'Paramètres Techniques'!B:K,10,0)</f>
        <v>107</v>
      </c>
      <c r="CG3" s="90">
        <f>VLOOKUP(CE3,'Paramètres Techniques'!B:L,11,0)*VLOOKUP(CE3,Pose!$18:$24,3,0)/1000</f>
        <v>1224</v>
      </c>
      <c r="CH3" s="88" t="e">
        <f>IF('Données Devis'!$B$29="Ni couleur ni vernis",0,VLOOKUP(D3&amp;"-"&amp;E3,'Code Couleur'!B:E,4,0))</f>
        <v>#N/A</v>
      </c>
      <c r="CI3" s="90" t="str">
        <f>IF('Données Devis'!$B$31="","",IF('Données Devis'!$B$33&lt;&gt;"Non",VLOOKUP(VLOOKUP('Données Devis'!$E$7,'Paramètres Techniques'!A:B,2,0)&amp;"-"&amp;'Données Devis'!$A$33,'Paramètres Techniques'!A:X,8,0),VLOOKUP(VLOOKUP('Données Devis'!$E$7,'Paramètres Techniques'!A:B,2,0)&amp;"-"&amp;"Dorure",'Paramètres Techniques'!A:X,8,0))*VLOOKUP(CE3,Pose!$18:$24,3,0)/1000)</f>
        <v/>
      </c>
      <c r="CJ3" s="90" t="str">
        <f>IF('Données Devis'!$B$34&lt;&gt;"Non",VLOOKUP(VLOOKUP('Données Devis'!$E$7,'Paramètres Techniques'!A:B,2,0)&amp;"-"&amp;'Données Devis'!$A$34,'Paramètres Techniques'!A:X,8,0)*VLOOKUP(CE3,Pose!$18:$24,3,0)/1000,"")</f>
        <v/>
      </c>
      <c r="CK3" s="90" t="str">
        <f>IF('Données Devis'!$B$35&lt;&gt;"Non",VLOOKUP(VLOOKUP('Données Devis'!$E$7,'Paramètres Techniques'!A:B,2,0)&amp;"-"&amp;'Données Devis'!$A$35,'Paramètres Techniques'!A:X,8,0)*VLOOKUP(CE3,Pose!$18:$24,3,0)/1000,"")</f>
        <v/>
      </c>
      <c r="CL3" s="90" t="str">
        <f>IF('Données Devis'!$B$36&lt;&gt;"Non",VLOOKUP(VLOOKUP('Données Devis'!$E$7,'Paramètres Techniques'!A:B,2,0)&amp;"-"&amp;'Données Devis'!$A$36,'Paramètres Techniques'!A:X,8,0)*VLOOKUP(CE3,Pose!$18:$24,3,0)/1000,"")</f>
        <v/>
      </c>
      <c r="CM3" s="90" t="str">
        <f>IF('Données Devis'!$B$37&lt;&gt;"Non",IFERROR(VLOOKUP(VLOOKUP('Données Devis'!$E$7,'Paramètres Techniques'!A:B,2,0)&amp;"-"&amp;'Données Devis'!$A$37,'Paramètres Techniques'!A:X,8,0),99999)*VLOOKUP(CE3,Pose!$18:$24,3,0)/1000,"")</f>
        <v/>
      </c>
      <c r="CN3" s="147" t="e">
        <f>MIN(CG3*(1-CH3),CI3,CJ3,CK3,CL3,CM3)</f>
        <v>#N/A</v>
      </c>
      <c r="CO3" s="230" t="e">
        <f>VLOOKUP(D3&amp;"-"&amp;E3,'Code Couleur'!B:I,7,0)</f>
        <v>#N/A</v>
      </c>
      <c r="CP3" s="204">
        <f>IF('Données Devis'!B29="",0,
VLOOKUP(D3,'Paramètres Techniques'!B:S,13,0)*('Données Devis'!$B$15-1)*VLOOKUP(D3&amp;"-"&amp;E3,'Code Couleur'!B:J,9,0)+
VLOOKUP(D3,'Paramètres Techniques'!B:S,14,0)*('Données Devis'!$B$15-1)*VLOOKUP(D3&amp;"-"&amp;E3,'Code Couleur'!B:O,10,0))</f>
        <v>0</v>
      </c>
      <c r="CQ3" s="82">
        <f>IF('Données Devis'!$B$31="",0,IF('Données Devis'!$B$33="Oui",VLOOKUP(VLOOKUP('Données Devis'!$E$7,'Paramètres Techniques'!A:B,2,0)&amp;"-"&amp;'Données Devis'!$A$33,'Paramètres Techniques'!A:F,5,0),VLOOKUP(VLOOKUP('Données Devis'!$E$7,'Paramètres Techniques'!A:B,2,0)&amp;"-"&amp;"Dorure",'Paramètres Techniques'!A:F,5,0)))*IF('Données Devis'!$B$32="",1,2)</f>
        <v>0</v>
      </c>
      <c r="CR3" s="82">
        <f>IF('Données Devis'!$B$34&lt;&gt;"Non",VLOOKUP(VLOOKUP('Données Devis'!$E$7,'Paramètres Techniques'!A:B,2,0)&amp;"-"&amp;'Données Devis'!$A$34,'Paramètres Techniques'!A:F,5,0)*'Données Devis'!$B$34,0)</f>
        <v>0</v>
      </c>
      <c r="CS3" s="82">
        <f>IF('Données Devis'!$B$35&lt;&gt;"Non",VLOOKUP(VLOOKUP('Données Devis'!$E$7,'Paramètres Techniques'!A:B,2,0)&amp;"-"&amp;'Données Devis'!$A$35,'Paramètres Techniques'!A:F,5,0)*'Données Devis'!$B$35,0)</f>
        <v>0</v>
      </c>
      <c r="CT3" s="82">
        <f>IF('Données Devis'!$B$36&lt;&gt;"Non",VLOOKUP(VLOOKUP('Données Devis'!$E$7,'Paramètres Techniques'!A:B,2,0)&amp;"-"&amp;'Données Devis'!$A$36,'Paramètres Techniques'!A:F,5,0)*'Données Devis'!$B$36,0)</f>
        <v>0</v>
      </c>
      <c r="CU3" s="82">
        <f>IF('Données Devis'!$B$37&lt;&gt;"Non",VLOOKUP(VLOOKUP('Données Devis'!$E$7,'Paramètres Techniques'!A:B,2,0)&amp;"-"&amp;'Données Devis'!$A$37,'Paramètres Techniques'!A:F,5,0)*'Données Devis'!$B$37,0)</f>
        <v>0</v>
      </c>
      <c r="CV3" s="233" t="e">
        <f>SUM(CO3:CU3)*CF3</f>
        <v>#N/A</v>
      </c>
      <c r="CX3" s="148" t="e">
        <f>(L3+N3+O3+P3+Q3+R3+S3+V3+X3+Y3+Z3+AA3+AB3+AC3+AD3)/VLOOKUP(CE3,'Paramètres Techniques'!B:AD,28,0)*VLOOKUP(CE3,'Paramètres Techniques'!B:AD,27,0)</f>
        <v>#N/A</v>
      </c>
      <c r="CY3" s="97" t="e">
        <f>CX3*CF3</f>
        <v>#N/A</v>
      </c>
      <c r="DA3" s="96" t="e">
        <f>V3+X3</f>
        <v>#N/A</v>
      </c>
      <c r="DB3" s="150" t="e">
        <f>DA3/CN3</f>
        <v>#N/A</v>
      </c>
      <c r="DC3" s="97" t="e">
        <f>DB3*CF3</f>
        <v>#N/A</v>
      </c>
      <c r="DE3" s="87" t="str">
        <f>'Données Devis'!$B$40</f>
        <v>-</v>
      </c>
      <c r="DF3" s="94">
        <f>VLOOKUP(DE3,'Paramètres Techniques'!A:F,6,0)</f>
        <v>0</v>
      </c>
      <c r="DG3" s="90">
        <f>VLOOKUP(DE3,'Paramètres Techniques'!A:E,5,0)</f>
        <v>3000</v>
      </c>
      <c r="DH3" s="89">
        <f>VLOOKUP(DE3,'Paramètres Techniques'!A:D,4,0)</f>
        <v>0</v>
      </c>
      <c r="DI3" s="95">
        <f>VLOOKUP(DE3,'Paramètres Techniques'!A:D,4,0)*DF3</f>
        <v>0</v>
      </c>
      <c r="DK3" s="150">
        <f>(V3+AD3)/DG3</f>
        <v>5.4901960784313718E-3</v>
      </c>
      <c r="DL3" s="97">
        <f>DK3*DF3</f>
        <v>0</v>
      </c>
      <c r="DN3" s="111">
        <f>IFERROR(VLOOKUP(D3&amp;"-"&amp;E3,'Code Couleur'!B:J,9,0)*'Paramètres Techniques'!$F$104/1000*'Paramètres Techniques'!$B$104,0)+
IFERROR(VLOOKUP(D3&amp;"-"&amp;E3,'Code Couleur'!B:K,10,0)*'Paramètres Techniques'!$F$105/1000*'Paramètres Techniques'!$B$105,0)</f>
        <v>0</v>
      </c>
      <c r="DO3" s="86">
        <f>IFERROR(VLOOKUP(D3&amp;"-"&amp;E3,'Code Couleur'!B:Y,11,0)*'Paramètres Techniques'!$F$107/1000*'Paramètres Techniques'!$B$107,0)+
IFERROR(VLOOKUP(D3&amp;"-"&amp;E3,'Code Couleur'!B:Y,12,0)*'Paramètres Techniques'!$F$108/1000*'Paramètres Techniques'!$B$108,0)</f>
        <v>0</v>
      </c>
      <c r="DP3" s="115">
        <f>IFERROR(VLOOKUP(D3&amp;"-"&amp;E3,'Code Couleur'!B:J,9,0)*'Paramètres Techniques'!$E$104/1000*'Paramètres Techniques'!$B$104*'Paramètres Techniques'!$G$104*((SUM(L3:S3)+V3+AD3+AF3)*G3/1000),0)+
IFERROR(VLOOKUP(D3&amp;"-"&amp;E3,'Code Couleur'!B:K,10,0)*'Paramètres Techniques'!$E$105/1000*'Paramètres Techniques'!$B$105*'Paramètres Techniques'!$G$105*((SUM(L3:S3)+V3+AD3+AF3)*G3/1000),0)</f>
        <v>0</v>
      </c>
      <c r="DQ3" s="86">
        <f>IFERROR(VLOOKUP(D3&amp;"-"&amp;E3,'Code Couleur'!B:Y,11,0)*'Paramètres Techniques'!$E$107/1000*'Paramètres Techniques'!$B$107*'Paramètres Techniques'!$G$107*((SUM(L3:S3)+X3+V3+AD3+AF3)*G3/1000),0)+
IFERROR(VLOOKUP(D3&amp;"-"&amp;E3,'Code Couleur'!B:Y,12,0)*'Paramètres Techniques'!$E$108/1000*'Paramètres Techniques'!$B$108*'Paramètres Techniques'!$G$108*((SUM(L3:S3)+X3+V3+AD3+AF3)*G3/1000),0)</f>
        <v>0</v>
      </c>
      <c r="DR3" s="112" t="e">
        <f>(I3+J3+K3)/(VLOOKUP(BM3,Pose!$9:$16,3,0)/1000)*VLOOKUP(C3,'Code Couleur'!$B:$N,13,0)</f>
        <v>#VALUE!</v>
      </c>
      <c r="DS3" s="86" t="e">
        <f>DR3/1000*VLOOKUP(C3,'Code Couleur'!B:I,8,0)</f>
        <v>#VALUE!</v>
      </c>
      <c r="DT3" s="144" t="e">
        <f>(AH3-I3-J3-K3)/(VLOOKUP(BM3,Pose!$9:$16,3,0)/1000)*VLOOKUP(C3,'Code Couleur'!$B:$N,13,0)</f>
        <v>#N/A</v>
      </c>
      <c r="DU3" s="113" t="e">
        <f>DT3/1000*VLOOKUP(C3,'Code Couleur'!B:I,8,0)</f>
        <v>#N/A</v>
      </c>
      <c r="DW3" s="95" t="e">
        <f>IF('Données Devis'!B29="",0,
(SUM(L3:S3)+X3+V3+AD3+AF3)/(VLOOKUP(CE3,Pose!$18:$24,3,0)/1000)*VLOOKUP(D3&amp;"-"&amp;E3,'Code Couleur'!B:N,13,0)*1/1000)+
VLOOKUP(D3,'Paramètres Techniques'!B:AM,38,0)*'Données Devis'!$B$15*(1+'Paramètres Techniques'!B99)*VLOOKUP(D3&amp;"-"&amp;E3,'Code Couleur'!B:N,13,0)</f>
        <v>#N/A</v>
      </c>
      <c r="DX3" s="95" t="e">
        <f>MAX('Paramètres Techniques'!$B$101*(Calcul!BE3+Calcul!BF3),'Paramètres Techniques'!$D$101)</f>
        <v>#N/A</v>
      </c>
      <c r="DY3" s="95" t="e">
        <f>'Paramètres Techniques'!$B$102*(Calcul!BE3+Calcul!BF3)</f>
        <v>#N/A</v>
      </c>
      <c r="DZ3" s="95">
        <v>50</v>
      </c>
      <c r="EA3"/>
      <c r="EB3" s="153" t="e">
        <f>AP3+AQ3+AU3+AV3+AZ3+BA3+BE3+BF3+BV3+BY3+CC3+CV3+CY3+DC3+DI3+DL3+DN3+DO3+DP3+DQ3+DS3+DU3+DZ3+DW3+DX3+DY3+BJ3+BK3</f>
        <v>#N/A</v>
      </c>
      <c r="EC3" s="152" t="e">
        <f>EB3/A3*1000</f>
        <v>#N/A</v>
      </c>
      <c r="ED3"/>
      <c r="EE3" s="152" t="e">
        <f>EB3/0.8</f>
        <v>#N/A</v>
      </c>
      <c r="EF3" s="152" t="e">
        <f>EC3/0.8</f>
        <v>#N/A</v>
      </c>
      <c r="EG3" s="174"/>
      <c r="EH3" s="152" t="e">
        <f>AP3+AQ3+AU3+AV3+AZ3+BA3+BE3+BF3+DN3+DO3+DP3+DQ3+DS3+DU3+DW3+DX3+DY3+BJ3+BK3</f>
        <v>#N/A</v>
      </c>
      <c r="EI3" s="176" t="str">
        <f>IFERROR((EE3-EH3)/EE3,"")</f>
        <v/>
      </c>
    </row>
    <row r="4" spans="1:139" s="15" customFormat="1" x14ac:dyDescent="0.3">
      <c r="A4" s="76">
        <f>'Données Devis'!B12</f>
        <v>0</v>
      </c>
      <c r="B4" s="155" t="str">
        <f>IF('Paramètres Techniques'!$B$1="Site",'Données Devis'!$E$7,"MD CERM")&amp;" - HP6000 Offline"</f>
        <v>AESU - HP6000 Offline</v>
      </c>
      <c r="C4" s="76" t="str">
        <f>IF('Paramètres Techniques'!$B$1="Site",'Données Devis'!$E$7,"MD CERM")&amp;" - "&amp;'Données Devis'!$B$25</f>
        <v xml:space="preserve">AESU - </v>
      </c>
      <c r="D4" s="76" t="str">
        <f>D3</f>
        <v>AESU-Cartes</v>
      </c>
      <c r="E4" s="76">
        <f>E3</f>
        <v>0</v>
      </c>
      <c r="F4" s="77">
        <f>F3</f>
        <v>34</v>
      </c>
      <c r="G4" s="78">
        <f>G3</f>
        <v>330</v>
      </c>
      <c r="H4"/>
      <c r="I4" s="87" t="str">
        <f t="shared" ref="I4:Q4" si="0">I3</f>
        <v/>
      </c>
      <c r="J4" s="144">
        <f t="shared" si="0"/>
        <v>-20</v>
      </c>
      <c r="K4" s="144">
        <f>IF('Données Devis'!$B$26="Oui",VLOOKUP(BM4,'Paramètres Techniques'!B:AX,32,0),0)</f>
        <v>0</v>
      </c>
      <c r="L4" s="87" t="e">
        <f t="shared" si="0"/>
        <v>#N/A</v>
      </c>
      <c r="M4" s="144">
        <f>M3</f>
        <v>0</v>
      </c>
      <c r="N4" s="144">
        <f t="shared" si="0"/>
        <v>0</v>
      </c>
      <c r="O4" s="144">
        <f t="shared" si="0"/>
        <v>0</v>
      </c>
      <c r="P4" s="144">
        <f t="shared" si="0"/>
        <v>0</v>
      </c>
      <c r="Q4" s="144">
        <f t="shared" si="0"/>
        <v>0</v>
      </c>
      <c r="R4" s="145">
        <f>R3</f>
        <v>0</v>
      </c>
      <c r="S4" s="143">
        <f>S3</f>
        <v>0</v>
      </c>
      <c r="T4" s="143" t="e">
        <f t="shared" ref="T4:T6" si="1">SUM(I4:S4)</f>
        <v>#N/A</v>
      </c>
      <c r="V4" s="139">
        <f>Calcul!A4*(Pose!D6/1000)/Calcul!F4</f>
        <v>0</v>
      </c>
      <c r="W4" s="139" t="e">
        <f>VLOOKUP(C4,'Code Couleur'!B:F,5,0)*V4</f>
        <v>#N/A</v>
      </c>
      <c r="X4" s="140" t="e">
        <f>VLOOKUP(D3&amp;"-"&amp;E3,'Code Couleur'!B:O,5,0)*V4</f>
        <v>#N/A</v>
      </c>
      <c r="Y4" s="140">
        <f>IF('Données Devis'!$B$31="",0,IF('Données Devis'!$B$33="Oui",VLOOKUP(VLOOKUP('Données Devis'!$E$7,'Paramètres Techniques'!A:B,2,0)&amp;"-"&amp;'Données Devis'!$A$33,'Paramètres Techniques'!A:G,7,0),VLOOKUP(VLOOKUP('Données Devis'!$E$7,'Paramètres Techniques'!A:B,2,0)&amp;"-"&amp;"Dorure",'Paramètres Techniques'!A:G,7,0)))*IF('Données Devis'!$B$32="",1,2)*V4</f>
        <v>0</v>
      </c>
      <c r="Z4" s="141">
        <f>IF('Données Devis'!$B$34&lt;&gt;"Non",VLOOKUP(VLOOKUP('Données Devis'!$E$7,'Paramètres Techniques'!A:B,2,0)&amp;"-"&amp;'Données Devis'!$A$34,'Paramètres Techniques'!A:G,7,0)*'Données Devis'!$B$34,0)*V4</f>
        <v>0</v>
      </c>
      <c r="AA4" s="141">
        <f>IF('Données Devis'!$B$35&lt;&gt;"Non",VLOOKUP(VLOOKUP('Données Devis'!$E$7,'Paramètres Techniques'!A:B,2,0)&amp;"-"&amp;'Données Devis'!$A$35,'Paramètres Techniques'!A:G,7,0)*'Données Devis'!$B$35,0)*V4</f>
        <v>0</v>
      </c>
      <c r="AB4" s="141">
        <f>IF('Données Devis'!$B$36&lt;&gt;"Non",VLOOKUP(VLOOKUP('Données Devis'!$E$7,'Paramètres Techniques'!A:B,2,0)&amp;"-"&amp;'Données Devis'!$A$36,'Paramètres Techniques'!A:G,7,0)*'Données Devis'!$B$36,0)*V4</f>
        <v>0</v>
      </c>
      <c r="AC4" s="142">
        <f>IF('Données Devis'!$B$37&lt;&gt;"Non",IFERROR(VLOOKUP(VLOOKUP('Données Devis'!$E$7,'Paramètres Techniques'!A:B,2,0)&amp;"-"&amp;'Données Devis'!$A$37,'Paramètres Techniques'!A:G,7,0),0),0)*V4</f>
        <v>0</v>
      </c>
      <c r="AD4" s="139">
        <f>VLOOKUP('Données Devis'!$B$40,'Paramètres Techniques'!A:G,7,0)*V4</f>
        <v>0</v>
      </c>
      <c r="AE4" s="139" t="e">
        <f>(SUM(T4:AD4)+AF4)/VLOOKUP(B4,'Paramètres Techniques'!B:AD,28,0)*VLOOKUP(B4,'Paramètres Techniques'!B:AD,29,0)</f>
        <v>#N/A</v>
      </c>
      <c r="AF4" s="139" t="e">
        <f>(L4+N4+O4+P4+Q4+R4+S4+V4+X4+Y4+Z4+AA4+AB4+AC4+AD4)/VLOOKUP(D4,'Paramètres Techniques'!B:AD,28,0)*VLOOKUP(D4,'Paramètres Techniques'!B:AD,29,0)</f>
        <v>#N/A</v>
      </c>
      <c r="AG4" s="66"/>
      <c r="AH4" s="143" t="e">
        <f t="shared" ref="AH4:AH6" si="2">SUM(T4:AF4)</f>
        <v>#N/A</v>
      </c>
      <c r="AI4" s="144" t="e">
        <f t="shared" ref="AI4:AI6" si="3">T4*(G4/1000)</f>
        <v>#N/A</v>
      </c>
      <c r="AJ4" s="144">
        <f t="shared" ref="AJ4:AJ6" si="4">V4*(G4/1000)</f>
        <v>0</v>
      </c>
      <c r="AK4" s="144" t="e">
        <f t="shared" ref="AK4:AK6" si="5">SUM(W4:AF4)*(G4/1000)</f>
        <v>#N/A</v>
      </c>
      <c r="AL4" s="143" t="e">
        <f t="shared" ref="AL4:AL6" si="6">AI4+AJ4+AK4</f>
        <v>#N/A</v>
      </c>
      <c r="AN4" s="84">
        <f>'Données Devis'!$B$31</f>
        <v>0</v>
      </c>
      <c r="AO4" s="269">
        <f>IF(AN4=0,0,VLOOKUP(AN4,'Liste MP'!W:Y,3,0))</f>
        <v>0</v>
      </c>
      <c r="AP4" s="85">
        <f>IF(A4=0,0,AO4*(T4-I4-J4-K4)*270/1000*(1+'Paramètres Techniques'!$B$99))</f>
        <v>0</v>
      </c>
      <c r="AQ4" s="86">
        <f>IF(A4=0,0,AO4*(V4+S4+AD4+AF4+X4)*270/1000*(1+'Paramètres Techniques'!$B$99))</f>
        <v>0</v>
      </c>
      <c r="AS4" s="84">
        <f>'Données Devis'!$B$32</f>
        <v>0</v>
      </c>
      <c r="AT4" s="269">
        <f>IF(AS4=0,0,VLOOKUP(AS4,'Liste MP'!W:Y,3,0))</f>
        <v>0</v>
      </c>
      <c r="AU4" s="85">
        <f>IF(A4=0,0,AT4*(T4-I4-J4-K4)*270/1000*(1+'Paramètres Techniques'!$B$99))</f>
        <v>0</v>
      </c>
      <c r="AV4" s="86">
        <f>IF(A4=0,0,AT4*(V4+S4+AD4+AF4+X4)*270/1000*(1+'Paramètres Techniques'!$B$99))</f>
        <v>0</v>
      </c>
      <c r="AX4" s="84" t="str">
        <f t="shared" ref="AX4:AY6" si="7">AX3</f>
        <v/>
      </c>
      <c r="AY4" s="276">
        <f t="shared" si="7"/>
        <v>0</v>
      </c>
      <c r="AZ4" s="273">
        <f>IF(A4=0,0,AY4*(T4-I4-J4-K4)*G4/1000*(1+'Paramètres Techniques'!$B$99))</f>
        <v>0</v>
      </c>
      <c r="BA4" s="274">
        <f>IF(A4=0,0,AY4*(V4+S4+AD4+AF4+X4)*G4/1000*(1+'Paramètres Techniques'!$B$99))</f>
        <v>0</v>
      </c>
      <c r="BC4" s="84" t="str">
        <f>'Données Devis'!$B$20&amp;" / "&amp;'Données Devis'!$B$21&amp;" / "&amp;'Données Devis'!$B$22</f>
        <v>Frozen Orion Diamond / Lavable / Glassine</v>
      </c>
      <c r="BD4" s="269">
        <f>VLOOKUP(BC4,'Liste MP'!D:I,6,0)</f>
        <v>1.69726</v>
      </c>
      <c r="BE4" s="85">
        <f>IF(A4=0,0,BD4*AI4*(1+'Paramètres Techniques'!$B$99))</f>
        <v>0</v>
      </c>
      <c r="BF4" s="86">
        <f>IF(A4=0,0,BD4*(AJ4+AK4)*(1+'Paramètres Techniques'!$B$99))</f>
        <v>0</v>
      </c>
      <c r="BH4" s="84" t="str">
        <f>BH3</f>
        <v/>
      </c>
      <c r="BI4" s="269">
        <f>BI3</f>
        <v>0</v>
      </c>
      <c r="BJ4" s="85">
        <f>IF(A4=0,0,BI4*AI4*(1+'Paramètres Techniques'!$B$99))</f>
        <v>0</v>
      </c>
      <c r="BK4" s="86">
        <f>IF(A4=0,0,BI4*(AJ4+AK4)*(1+'Paramètres Techniques'!$B$99))</f>
        <v>0</v>
      </c>
      <c r="BM4" s="87" t="str">
        <f t="shared" ref="BM4:BM6" si="8">B4</f>
        <v>AESU - HP6000 Offline</v>
      </c>
      <c r="BN4" s="94">
        <f>VLOOKUP(BM4,'Paramètres Techniques'!B:K,10,0)</f>
        <v>210</v>
      </c>
      <c r="BO4" s="90">
        <f>VLOOKUP(BM4,'Paramètres Techniques'!B:L,11,0)*VLOOKUP(BM3,Pose!$9:$16,3,0)/1000</f>
        <v>489.6</v>
      </c>
      <c r="BP4" s="88" t="e">
        <f>VLOOKUP(C4,'Code Couleur'!B:E,4,0)</f>
        <v>#N/A</v>
      </c>
      <c r="BQ4" s="91" t="e">
        <f t="shared" ref="BQ4:BQ6" si="9">BO4*(1-BP4)</f>
        <v>#N/A</v>
      </c>
      <c r="BR4" s="92" t="e">
        <f>VLOOKUP(C4,'Code Couleur'!B:H,7,0)</f>
        <v>#N/A</v>
      </c>
      <c r="BS4" s="93">
        <f>VLOOKUP(BM4,'Paramètres Techniques'!B:G,6,0)</f>
        <v>0.41666666666666669</v>
      </c>
      <c r="BT4" s="93">
        <f>VLOOKUP(BM4,'Paramètres Techniques'!B:AK,35,0)*('Données Devis'!$B$15-1)</f>
        <v>-3.3333333333333333E-2</v>
      </c>
      <c r="BU4" s="277">
        <f>IF('Données Devis'!$B$26="Oui",VLOOKUP(BM4,'Paramètres Techniques'!B:AH,31,0),0)</f>
        <v>0</v>
      </c>
      <c r="BV4" s="95">
        <f>IF(A4=0,0,SUM(BR4:BU4)*BN4)</f>
        <v>0</v>
      </c>
      <c r="BX4" s="151" t="e">
        <f>(SUM(T4:AD4)+AF4)/VLOOKUP(B4,'Paramètres Techniques'!B:AD,28,0)*VLOOKUP(B4,'Paramètres Techniques'!B:AD,27,0)</f>
        <v>#N/A</v>
      </c>
      <c r="BY4" s="97">
        <f t="shared" ref="BY4:BY6" si="10">IF(A4=0,0,BX4*BN4)</f>
        <v>0</v>
      </c>
      <c r="CA4" s="146" t="e">
        <f t="shared" ref="CA4:CA6" si="11">AH4-AE4-I4-J4-K4</f>
        <v>#N/A</v>
      </c>
      <c r="CB4" s="151" t="e">
        <f t="shared" ref="CB4:CB6" si="12">CA4/BQ4</f>
        <v>#N/A</v>
      </c>
      <c r="CC4" s="97">
        <f>IF(A4=0,0,CB4*BN4)</f>
        <v>0</v>
      </c>
      <c r="CE4" s="87" t="str">
        <f t="shared" ref="CE4:CE6" si="13">D4</f>
        <v>AESU-Cartes</v>
      </c>
      <c r="CF4" s="94">
        <f>VLOOKUP(CE4,'Paramètres Techniques'!B:K,10,0)</f>
        <v>107</v>
      </c>
      <c r="CG4" s="90">
        <f>VLOOKUP(CE4,'Paramètres Techniques'!B:L,11,0)*VLOOKUP(CE4,Pose!$18:$24,3,0)/1000</f>
        <v>1224</v>
      </c>
      <c r="CH4" s="88" t="e">
        <f>IF('Données Devis'!$B$29="Ni couleur ni vernis",0,VLOOKUP(D4&amp;"-"&amp;E4,'Code Couleur'!B:E,4,0))</f>
        <v>#N/A</v>
      </c>
      <c r="CI4" s="90" t="str">
        <f>IF('Données Devis'!$B$31="","",IF('Données Devis'!$B$33&lt;&gt;"Non",VLOOKUP(VLOOKUP('Données Devis'!$E$7,'Paramètres Techniques'!A:B,2,0)&amp;"-"&amp;'Données Devis'!$A$33,'Paramètres Techniques'!A:X,8,0),VLOOKUP(VLOOKUP('Données Devis'!$E$7,'Paramètres Techniques'!A:B,2,0)&amp;"-"&amp;"Dorure",'Paramètres Techniques'!A:X,8,0))*VLOOKUP(CE4,Pose!$18:$24,3,0)/1000)</f>
        <v/>
      </c>
      <c r="CJ4" s="90" t="str">
        <f>IF('Données Devis'!$B$34="Oui",VLOOKUP(VLOOKUP('Données Devis'!$E$7,'Paramètres Techniques'!A:B,2,0)&amp;"-"&amp;'Données Devis'!$A$34,'Paramètres Techniques'!A:X,8,0)*VLOOKUP(CE3,Pose!$18:$24,3,0)/1000,"")</f>
        <v/>
      </c>
      <c r="CK4" s="90" t="str">
        <f>IF('Données Devis'!$B$35&lt;&gt;"Non",VLOOKUP(VLOOKUP('Données Devis'!$E$7,'Paramètres Techniques'!A:B,2,0)&amp;"-"&amp;'Données Devis'!$A$35,'Paramètres Techniques'!A:X,8,0)*VLOOKUP(CE4,Pose!$18:$24,3,0)/1000,"")</f>
        <v/>
      </c>
      <c r="CL4" s="90" t="str">
        <f>IF('Données Devis'!$B$36&lt;&gt;"Non",VLOOKUP(VLOOKUP('Données Devis'!$E$7,'Paramètres Techniques'!A:B,2,0)&amp;"-"&amp;'Données Devis'!$A$36,'Paramètres Techniques'!A:X,8,0)*VLOOKUP(CE4,Pose!$18:$24,3,0)/1000,"")</f>
        <v/>
      </c>
      <c r="CM4" s="90" t="str">
        <f>IF('Données Devis'!$B$37&lt;&gt;"Non",IFERROR(VLOOKUP(VLOOKUP('Données Devis'!$E$7,'Paramètres Techniques'!A:B,2,0)&amp;"-"&amp;'Données Devis'!$A$37,'Paramètres Techniques'!A:X,8,0),99999)*VLOOKUP(CE4,Pose!$18:$24,3,0)/1000,"")</f>
        <v/>
      </c>
      <c r="CN4" s="147" t="e">
        <f t="shared" ref="CN4:CN6" si="14">MIN(CG4*(1-CH4),CI4,CJ4,CK4,CL4,CM4)</f>
        <v>#N/A</v>
      </c>
      <c r="CO4" s="230" t="e">
        <f>VLOOKUP(D4&amp;"-"&amp;E4,'Code Couleur'!B:I,7,0)</f>
        <v>#N/A</v>
      </c>
      <c r="CP4" s="204">
        <f>CP3</f>
        <v>0</v>
      </c>
      <c r="CQ4" s="82">
        <f>IF('Données Devis'!$B$31="",0,IF('Données Devis'!$B$33="Oui",VLOOKUP(VLOOKUP('Données Devis'!$E$7,'Paramètres Techniques'!A:B,2,0)&amp;"-"&amp;'Données Devis'!$A$33,'Paramètres Techniques'!A:F,5,0),VLOOKUP(VLOOKUP('Données Devis'!$E$7,'Paramètres Techniques'!A:B,2,0)&amp;"-"&amp;"Dorure",'Paramètres Techniques'!A:F,5,0)))*IF('Données Devis'!$B$32="",1,2)</f>
        <v>0</v>
      </c>
      <c r="CR4" s="82">
        <f>IF('Données Devis'!$B$34&lt;&gt;"Non",VLOOKUP(VLOOKUP('Données Devis'!$E$7,'Paramètres Techniques'!A:B,2,0)&amp;"-"&amp;'Données Devis'!$A$34,'Paramètres Techniques'!A:F,5,0)*'Données Devis'!$B$34,0)</f>
        <v>0</v>
      </c>
      <c r="CS4" s="82">
        <f>IF('Données Devis'!$B$35&lt;&gt;"Non",VLOOKUP(VLOOKUP('Données Devis'!$E$7,'Paramètres Techniques'!A:B,2,0)&amp;"-"&amp;'Données Devis'!$A$35,'Paramètres Techniques'!A:F,5,0)*'Données Devis'!$B$35,0)</f>
        <v>0</v>
      </c>
      <c r="CT4" s="82">
        <f>IF('Données Devis'!$B$36&lt;&gt;"Non",VLOOKUP(VLOOKUP('Données Devis'!$E$7,'Paramètres Techniques'!A:B,2,0)&amp;"-"&amp;'Données Devis'!$A$36,'Paramètres Techniques'!A:F,5,0)*'Données Devis'!$B$36,0)</f>
        <v>0</v>
      </c>
      <c r="CU4" s="82">
        <f>IF('Données Devis'!$B$37&lt;&gt;"Non",VLOOKUP(VLOOKUP('Données Devis'!$E$7,'Paramètres Techniques'!A:B,2,0)&amp;"-"&amp;'Données Devis'!$A$37,'Paramètres Techniques'!A:F,5,0)*'Données Devis'!$B$37,0)</f>
        <v>0</v>
      </c>
      <c r="CV4" s="98">
        <f>IF(A4=0,0,SUM(CO4:CU4)*CF4)</f>
        <v>0</v>
      </c>
      <c r="CX4" s="149" t="e">
        <f>(L4+N4+O4+P4+Q4+R4+S4+V4+X4+Y4+Z4+AA4+AB4+AC4+AD4)/VLOOKUP(CE4,'Paramètres Techniques'!B:AD,28,0)*VLOOKUP(CE4,'Paramètres Techniques'!B:AD,27,0)</f>
        <v>#N/A</v>
      </c>
      <c r="CY4" s="97">
        <f>IF(A4=0,0,CX4*CF4)</f>
        <v>0</v>
      </c>
      <c r="DA4" s="96" t="e">
        <f t="shared" ref="DA4:DA6" si="15">V4+X4</f>
        <v>#N/A</v>
      </c>
      <c r="DB4" s="151" t="e">
        <f t="shared" ref="DB4:DB6" si="16">DA4/CN4</f>
        <v>#N/A</v>
      </c>
      <c r="DC4" s="97">
        <f>IF(A4=0,0,DB4*CF4)</f>
        <v>0</v>
      </c>
      <c r="DE4" s="87" t="str">
        <f>'Données Devis'!$B$40</f>
        <v>-</v>
      </c>
      <c r="DF4" s="94">
        <f>VLOOKUP(DE4,'Paramètres Techniques'!A:F,6,0)</f>
        <v>0</v>
      </c>
      <c r="DG4" s="90">
        <f>VLOOKUP(DE4,'Paramètres Techniques'!A:E,5,0)</f>
        <v>3000</v>
      </c>
      <c r="DH4" s="89">
        <f>VLOOKUP(DE4,'Paramètres Techniques'!A:D,4,0)</f>
        <v>0</v>
      </c>
      <c r="DI4" s="95">
        <f>IF(A4=0,0,VLOOKUP(DE4,'Paramètres Techniques'!A:D,4,0)*DF4)</f>
        <v>0</v>
      </c>
      <c r="DK4" s="151">
        <f t="shared" ref="DK4:DK6" si="17">(V4+AD4)/DG4</f>
        <v>0</v>
      </c>
      <c r="DL4" s="97">
        <f>IF(A4=0,0,DK4*DF4)</f>
        <v>0</v>
      </c>
      <c r="DN4" s="111">
        <f>IFERROR(VLOOKUP(D4&amp;"-"&amp;E4,'Code Couleur'!B:J,9,0)*'Paramètres Techniques'!$F$104/1000*'Paramètres Techniques'!$B$104,0)+
IFERROR(VLOOKUP(D4&amp;"-"&amp;E4,'Code Couleur'!B:K,10,0)*'Paramètres Techniques'!$F$105/1000*'Paramètres Techniques'!$B$105,0)</f>
        <v>0</v>
      </c>
      <c r="DO4" s="86">
        <f>IF(A4=0,0,IFERROR(VLOOKUP(D4&amp;"-"&amp;E4,'Code Couleur'!B:Y,11,0)*'Paramètres Techniques'!$F$107/1000*'Paramètres Techniques'!$B$107,0)+
IFERROR(VLOOKUP(D4&amp;"-"&amp;E4,'Code Couleur'!B:Y,12,0)*'Paramètres Techniques'!$F$108/1000*'Paramètres Techniques'!$B$108,0))</f>
        <v>0</v>
      </c>
      <c r="DP4" s="115">
        <f>IFERROR(VLOOKUP(D4&amp;"-"&amp;E4,'Code Couleur'!B:J,9,0)*'Paramètres Techniques'!$E$104/1000*'Paramètres Techniques'!$B$104*'Paramètres Techniques'!$G$104*((SUM(L4:S4)+V4+AD4+AF4)*G4/1000),0)+
IFERROR(VLOOKUP(D4&amp;"-"&amp;E4,'Code Couleur'!B:K,10,0)*'Paramètres Techniques'!$E$105/1000*'Paramètres Techniques'!$B$105*'Paramètres Techniques'!$G$105*((SUM(L4:S4)+V4+AD4+AF4)*G4/1000),0)</f>
        <v>0</v>
      </c>
      <c r="DQ4" s="86">
        <f>IFERROR(VLOOKUP(D4&amp;"-"&amp;E4,'Code Couleur'!B:Y,11,0)*'Paramètres Techniques'!$E$107/1000*'Paramètres Techniques'!$B$107*'Paramètres Techniques'!$G$107*((SUM(L4:S4)+X4+V4+AD4+AF4)*G4/1000),0)+
IFERROR(VLOOKUP(D4&amp;"-"&amp;E4,'Code Couleur'!B:Y,12,0)*'Paramètres Techniques'!$E$108/1000*'Paramètres Techniques'!$B$108*'Paramètres Techniques'!$G$108*((SUM(L4:S4)+X4+V4+AD4+AF4)*G4/1000),0)</f>
        <v>0</v>
      </c>
      <c r="DR4" s="112" t="e">
        <f>(I4+J4+K4)/(VLOOKUP(BM4,Pose!$9:$16,3,0)/1000)*VLOOKUP(C4,'Code Couleur'!$B:$N,13,0)</f>
        <v>#VALUE!</v>
      </c>
      <c r="DS4" s="86">
        <f>IF(A4=0,0,DR4/1000*VLOOKUP(C4,'Code Couleur'!B:I,8,0))</f>
        <v>0</v>
      </c>
      <c r="DT4" s="144" t="e">
        <f>(AH4-I4-J4-K4)/(VLOOKUP(BM4,Pose!$9:$16,3,0)/1000)*VLOOKUP(C4,'Code Couleur'!$B:$N,13,0)</f>
        <v>#N/A</v>
      </c>
      <c r="DU4" s="113">
        <f>IF(A4=0,0,DT4/1000*VLOOKUP(C4,'Code Couleur'!B:I,8,0))</f>
        <v>0</v>
      </c>
      <c r="DW4" s="95">
        <f>IF('Données Devis'!B29="",0,IF(A4=0,0,(SUM(L4:S4)+X4+V4+AD4+AF4)/(VLOOKUP(CE3,Pose!$18:$24,3,0)/1000)*VLOOKUP(D4&amp;"-"&amp;E4,'Code Couleur'!B:N,13,0)*1/1000+
VLOOKUP(D3,'Paramètres Techniques'!B:AM,38,0)*'Données Devis'!B15*(1+'Paramètres Techniques'!B99)*VLOOKUP(D3&amp;"-"&amp;E3,'Code Couleur'!B:N,13,0)))</f>
        <v>0</v>
      </c>
      <c r="DX4" s="95">
        <f>IF(A4=0,0,MAX('Paramètres Techniques'!$B$101*(Calcul!BE4+Calcul!BF4),'Paramètres Techniques'!$D$101))</f>
        <v>0</v>
      </c>
      <c r="DY4" s="95">
        <f>IF(A4=0,0,'Paramètres Techniques'!$B$102*(Calcul!BE4+Calcul!BF4))</f>
        <v>0</v>
      </c>
      <c r="DZ4" s="95">
        <f>IF(A4=0,0,50)</f>
        <v>0</v>
      </c>
      <c r="EA4"/>
      <c r="EB4" s="153">
        <f t="shared" ref="EB4:EB6" si="18">AP4+AQ4+AU4+AV4+AZ4+BA4+BE4+BF4+BV4+BY4+CC4+CV4+CY4+DC4+DI4+DL4+DN4+DO4+DP4+DQ4+DS4+DU4+DZ4+DW4+DX4+DY4+BJ4+BK4</f>
        <v>0</v>
      </c>
      <c r="EC4" s="152">
        <f>IF(A4=0,0,EB4/A4*1000)</f>
        <v>0</v>
      </c>
      <c r="ED4"/>
      <c r="EE4" s="152">
        <f t="shared" ref="EE4:EE6" si="19">EB4/0.8</f>
        <v>0</v>
      </c>
      <c r="EF4" s="152">
        <f t="shared" ref="EF4:EF6" si="20">EC4/0.8</f>
        <v>0</v>
      </c>
      <c r="EG4" s="174"/>
      <c r="EH4" s="152">
        <f t="shared" ref="EH4:EH6" si="21">AP4+AQ4+AU4+AV4+AZ4+BA4+BE4+BF4+DN4+DO4+DP4+DQ4+DS4+DU4+DW4+DX4+DY4+BJ4+BK4</f>
        <v>0</v>
      </c>
      <c r="EI4" s="176" t="str">
        <f t="shared" ref="EI4:EI6" si="22">IFERROR((EE4-EH4)/EE4,"")</f>
        <v/>
      </c>
    </row>
    <row r="5" spans="1:139" s="15" customFormat="1" x14ac:dyDescent="0.3">
      <c r="A5" s="76">
        <f>'Données Devis'!B13</f>
        <v>0</v>
      </c>
      <c r="B5" s="155" t="str">
        <f>IF('Paramètres Techniques'!$B$1="Site",'Données Devis'!$E$7,"MD CERM")&amp;" - HP6000 Offline"</f>
        <v>AESU - HP6000 Offline</v>
      </c>
      <c r="C5" s="76" t="str">
        <f>IF('Paramètres Techniques'!$B$1="Site",'Données Devis'!$E$7,"MD CERM")&amp;" - "&amp;'Données Devis'!$B$25</f>
        <v xml:space="preserve">AESU - </v>
      </c>
      <c r="D5" s="76" t="str">
        <f t="shared" ref="D5:D6" si="23">D4</f>
        <v>AESU-Cartes</v>
      </c>
      <c r="E5" s="76">
        <f t="shared" ref="E5:E6" si="24">E4</f>
        <v>0</v>
      </c>
      <c r="F5" s="77">
        <f t="shared" ref="F5:F6" si="25">F4</f>
        <v>34</v>
      </c>
      <c r="G5" s="78">
        <f t="shared" ref="G5:G6" si="26">G4</f>
        <v>330</v>
      </c>
      <c r="H5"/>
      <c r="I5" s="87" t="str">
        <f t="shared" ref="I5:I6" si="27">I4</f>
        <v/>
      </c>
      <c r="J5" s="144">
        <f t="shared" ref="J5:J6" si="28">J4</f>
        <v>-20</v>
      </c>
      <c r="K5" s="144">
        <f>IF('Données Devis'!$B$26="Oui",VLOOKUP(BM5,'Paramètres Techniques'!B:AX,32,0),0)</f>
        <v>0</v>
      </c>
      <c r="L5" s="87" t="e">
        <f t="shared" ref="L5:L6" si="29">L4</f>
        <v>#N/A</v>
      </c>
      <c r="M5" s="144">
        <f>M4</f>
        <v>0</v>
      </c>
      <c r="N5" s="144">
        <f t="shared" ref="N5:N6" si="30">N4</f>
        <v>0</v>
      </c>
      <c r="O5" s="144">
        <f t="shared" ref="O5:O6" si="31">O4</f>
        <v>0</v>
      </c>
      <c r="P5" s="144">
        <f t="shared" ref="P5:P6" si="32">P4</f>
        <v>0</v>
      </c>
      <c r="Q5" s="144">
        <f t="shared" ref="Q5:Q6" si="33">Q4</f>
        <v>0</v>
      </c>
      <c r="R5" s="145">
        <f>R4</f>
        <v>0</v>
      </c>
      <c r="S5" s="143">
        <f>S4</f>
        <v>0</v>
      </c>
      <c r="T5" s="143" t="e">
        <f t="shared" si="1"/>
        <v>#N/A</v>
      </c>
      <c r="V5" s="139">
        <f>Calcul!A5*(Pose!D6/1000)/Calcul!F5</f>
        <v>0</v>
      </c>
      <c r="W5" s="139" t="e">
        <f>VLOOKUP(C5,'Code Couleur'!B:F,5,0)*V5</f>
        <v>#N/A</v>
      </c>
      <c r="X5" s="140" t="e">
        <f>VLOOKUP(D3&amp;"-"&amp;E3,'Code Couleur'!B:O,5,0)*V5</f>
        <v>#N/A</v>
      </c>
      <c r="Y5" s="140">
        <f>IF('Données Devis'!$B$31="",0,IF('Données Devis'!$B$33="Oui",VLOOKUP(VLOOKUP('Données Devis'!$E$7,'Paramètres Techniques'!A:B,2,0)&amp;"-"&amp;'Données Devis'!$A$33,'Paramètres Techniques'!A:G,7,0),VLOOKUP(VLOOKUP('Données Devis'!$E$7,'Paramètres Techniques'!A:B,2,0)&amp;"-"&amp;"Dorure",'Paramètres Techniques'!A:G,7,0)))*IF('Données Devis'!$B$32="",1,2)*V5</f>
        <v>0</v>
      </c>
      <c r="Z5" s="141">
        <f>IF('Données Devis'!$B$34&lt;&gt;"Non",VLOOKUP(VLOOKUP('Données Devis'!$E$7,'Paramètres Techniques'!A:B,2,0)&amp;"-"&amp;'Données Devis'!$A$34,'Paramètres Techniques'!A:G,7,0)*'Données Devis'!$B$34,0)*V5</f>
        <v>0</v>
      </c>
      <c r="AA5" s="141">
        <f>IF('Données Devis'!$B$35&lt;&gt;"Non",VLOOKUP(VLOOKUP('Données Devis'!$E$7,'Paramètres Techniques'!A:B,2,0)&amp;"-"&amp;'Données Devis'!$A$35,'Paramètres Techniques'!A:G,7,0)*'Données Devis'!$B$35,0)*V5</f>
        <v>0</v>
      </c>
      <c r="AB5" s="141">
        <f>IF('Données Devis'!$B$36&lt;&gt;"Non",VLOOKUP(VLOOKUP('Données Devis'!$E$7,'Paramètres Techniques'!A:B,2,0)&amp;"-"&amp;'Données Devis'!$A$36,'Paramètres Techniques'!A:G,7,0)*'Données Devis'!$B$36,0)*V5</f>
        <v>0</v>
      </c>
      <c r="AC5" s="142">
        <f>IF('Données Devis'!$B$37&lt;&gt;"Non",IFERROR(VLOOKUP(VLOOKUP('Données Devis'!$E$7,'Paramètres Techniques'!A:B,2,0)&amp;"-"&amp;'Données Devis'!$A$37,'Paramètres Techniques'!A:G,7,0),0),0)*V5</f>
        <v>0</v>
      </c>
      <c r="AD5" s="139">
        <f>VLOOKUP('Données Devis'!$B$40,'Paramètres Techniques'!A:G,7,0)*V5</f>
        <v>0</v>
      </c>
      <c r="AE5" s="139" t="e">
        <f>(SUM(T5:AD5)+AF5)/VLOOKUP(B5,'Paramètres Techniques'!B:AD,28,0)*VLOOKUP(B5,'Paramètres Techniques'!B:AD,29,0)</f>
        <v>#N/A</v>
      </c>
      <c r="AF5" s="139" t="e">
        <f>(L5+N5+O5+P5+Q5+R5+S5+V5+X5+Y5+Z5+AA5+AB5+AC5+AD5)/VLOOKUP(D5,'Paramètres Techniques'!B:AD,28,0)*VLOOKUP(D5,'Paramètres Techniques'!B:AD,29,0)</f>
        <v>#N/A</v>
      </c>
      <c r="AG5" s="66"/>
      <c r="AH5" s="143" t="e">
        <f t="shared" si="2"/>
        <v>#N/A</v>
      </c>
      <c r="AI5" s="144" t="e">
        <f t="shared" si="3"/>
        <v>#N/A</v>
      </c>
      <c r="AJ5" s="144">
        <f t="shared" si="4"/>
        <v>0</v>
      </c>
      <c r="AK5" s="144" t="e">
        <f t="shared" si="5"/>
        <v>#N/A</v>
      </c>
      <c r="AL5" s="143" t="e">
        <f t="shared" si="6"/>
        <v>#N/A</v>
      </c>
      <c r="AN5" s="84">
        <f>'Données Devis'!$B$31</f>
        <v>0</v>
      </c>
      <c r="AO5" s="269">
        <f>IF(AN5=0,0,VLOOKUP(AN5,'Liste MP'!W:Y,3,0))</f>
        <v>0</v>
      </c>
      <c r="AP5" s="85">
        <f>IF(A5=0,0,AO5*(T5-I5-J5-K5)*270/1000*(1+'Paramètres Techniques'!$B$99))</f>
        <v>0</v>
      </c>
      <c r="AQ5" s="86">
        <f>IF(A5=0,0,AO5*(V5+S5+AD5+AF5+X5)*270/1000*(1+'Paramètres Techniques'!$B$99))</f>
        <v>0</v>
      </c>
      <c r="AS5" s="84">
        <f>'Données Devis'!$B$32</f>
        <v>0</v>
      </c>
      <c r="AT5" s="269">
        <f>IF(AS5=0,0,VLOOKUP(AS5,'Liste MP'!W:Y,3,0))</f>
        <v>0</v>
      </c>
      <c r="AU5" s="85">
        <f>IF(A5=0,0,AT5*(T5-I5-J5-K5)*270/1000*(1+'Paramètres Techniques'!$B$99))</f>
        <v>0</v>
      </c>
      <c r="AV5" s="86">
        <f>IF(A5=0,0,AT5*(V5+S5+AD5+AF5+X5)*270/1000*(1+'Paramètres Techniques'!$B$99))</f>
        <v>0</v>
      </c>
      <c r="AX5" s="84" t="str">
        <f t="shared" si="7"/>
        <v/>
      </c>
      <c r="AY5" s="276">
        <f t="shared" si="7"/>
        <v>0</v>
      </c>
      <c r="AZ5" s="273">
        <f>IF(A5=0,0,AY5*(T5-I5-J5-K5)*G5/1000*(1+'Paramètres Techniques'!$B$99))</f>
        <v>0</v>
      </c>
      <c r="BA5" s="274">
        <f>IF(A5=0,0,AY5*(V5+S5+AD5+AF5+X5)*G5/1000*(1+'Paramètres Techniques'!$B$99))</f>
        <v>0</v>
      </c>
      <c r="BC5" s="84" t="str">
        <f>'Données Devis'!$B$20&amp;" / "&amp;'Données Devis'!$B$21&amp;" / "&amp;'Données Devis'!$B$22</f>
        <v>Frozen Orion Diamond / Lavable / Glassine</v>
      </c>
      <c r="BD5" s="269">
        <f>VLOOKUP(BC5,'Liste MP'!D:I,6,0)</f>
        <v>1.69726</v>
      </c>
      <c r="BE5" s="85">
        <f>IF(A5=0,0,BD5*AI5*(1+'Paramètres Techniques'!$B$99))</f>
        <v>0</v>
      </c>
      <c r="BF5" s="86">
        <f>IF(A5=0,0,BD5*(AJ5+AK5)*(1+'Paramètres Techniques'!$B$99))</f>
        <v>0</v>
      </c>
      <c r="BH5" s="84" t="str">
        <f t="shared" ref="BH5:BH6" si="34">BH4</f>
        <v/>
      </c>
      <c r="BI5" s="269">
        <f t="shared" ref="BI5:BI6" si="35">BI4</f>
        <v>0</v>
      </c>
      <c r="BJ5" s="85">
        <f>IF(A5=0,0,BI5*AI5*(1+'Paramètres Techniques'!$B$99))</f>
        <v>0</v>
      </c>
      <c r="BK5" s="86">
        <f>IF(A5=0,0,BI5*(AJ5+AK5)*(1+'Paramètres Techniques'!$B$99))</f>
        <v>0</v>
      </c>
      <c r="BM5" s="87" t="str">
        <f t="shared" si="8"/>
        <v>AESU - HP6000 Offline</v>
      </c>
      <c r="BN5" s="94">
        <f>VLOOKUP(BM5,'Paramètres Techniques'!B:K,10,0)</f>
        <v>210</v>
      </c>
      <c r="BO5" s="90">
        <f>VLOOKUP(BM5,'Paramètres Techniques'!B:L,11,0)*VLOOKUP(BM3,Pose!$9:$16,3,0)/1000</f>
        <v>489.6</v>
      </c>
      <c r="BP5" s="88" t="e">
        <f>VLOOKUP(C5,'Code Couleur'!B:E,4,0)</f>
        <v>#N/A</v>
      </c>
      <c r="BQ5" s="91" t="e">
        <f t="shared" si="9"/>
        <v>#N/A</v>
      </c>
      <c r="BR5" s="92" t="e">
        <f>VLOOKUP(C5,'Code Couleur'!B:H,7,0)</f>
        <v>#N/A</v>
      </c>
      <c r="BS5" s="93">
        <f>VLOOKUP(BM5,'Paramètres Techniques'!B:G,6,0)</f>
        <v>0.41666666666666669</v>
      </c>
      <c r="BT5" s="93">
        <f>VLOOKUP(BM5,'Paramètres Techniques'!B:AK,35,0)*('Données Devis'!$B$15-1)</f>
        <v>-3.3333333333333333E-2</v>
      </c>
      <c r="BU5" s="277">
        <f>IF('Données Devis'!$B$26="Oui",VLOOKUP(BM5,'Paramètres Techniques'!B:AH,31,0),0)</f>
        <v>0</v>
      </c>
      <c r="BV5" s="95">
        <f t="shared" ref="BV5:BV6" si="36">IF(A5=0,0,SUM(BR5:BU5)*BN5)</f>
        <v>0</v>
      </c>
      <c r="BX5" s="151" t="e">
        <f>(SUM(T5:AD5)+AF5)/VLOOKUP(B5,'Paramètres Techniques'!B:AD,28,0)*VLOOKUP(B5,'Paramètres Techniques'!B:AD,27,0)</f>
        <v>#N/A</v>
      </c>
      <c r="BY5" s="97">
        <f t="shared" si="10"/>
        <v>0</v>
      </c>
      <c r="CA5" s="146" t="e">
        <f t="shared" si="11"/>
        <v>#N/A</v>
      </c>
      <c r="CB5" s="151" t="e">
        <f t="shared" si="12"/>
        <v>#N/A</v>
      </c>
      <c r="CC5" s="97">
        <f t="shared" ref="CC5:CC6" si="37">IF(A5=0,0,CB5*BN5)</f>
        <v>0</v>
      </c>
      <c r="CE5" s="87" t="str">
        <f t="shared" si="13"/>
        <v>AESU-Cartes</v>
      </c>
      <c r="CF5" s="94">
        <f>VLOOKUP(CE5,'Paramètres Techniques'!B:K,10,0)</f>
        <v>107</v>
      </c>
      <c r="CG5" s="90">
        <f>VLOOKUP(CE5,'Paramètres Techniques'!B:L,11,0)*VLOOKUP(CE5,Pose!$18:$24,3,0)/1000</f>
        <v>1224</v>
      </c>
      <c r="CH5" s="88" t="e">
        <f>IF('Données Devis'!$B$29="Ni couleur ni vernis",0,VLOOKUP(D5&amp;"-"&amp;E5,'Code Couleur'!B:E,4,0))</f>
        <v>#N/A</v>
      </c>
      <c r="CI5" s="90" t="str">
        <f>IF('Données Devis'!$B$31="","",IF('Données Devis'!$B$33&lt;&gt;"Non",VLOOKUP(VLOOKUP('Données Devis'!$E$7,'Paramètres Techniques'!A:B,2,0)&amp;"-"&amp;'Données Devis'!$A$33,'Paramètres Techniques'!A:X,8,0),VLOOKUP(VLOOKUP('Données Devis'!$E$7,'Paramètres Techniques'!A:B,2,0)&amp;"-"&amp;"Dorure",'Paramètres Techniques'!A:X,8,0))*VLOOKUP(CE5,Pose!$18:$24,3,0)/1000)</f>
        <v/>
      </c>
      <c r="CJ5" s="90" t="str">
        <f>IF('Données Devis'!$B$34="Oui",VLOOKUP(VLOOKUP('Données Devis'!$E$7,'Paramètres Techniques'!A:B,2,0)&amp;"-"&amp;'Données Devis'!$A$34,'Paramètres Techniques'!A:X,8,0)*VLOOKUP(CE3,Pose!$18:$24,3,0)/1000,"")</f>
        <v/>
      </c>
      <c r="CK5" s="90" t="str">
        <f>IF('Données Devis'!$B$35&lt;&gt;"Non",VLOOKUP(VLOOKUP('Données Devis'!$E$7,'Paramètres Techniques'!A:B,2,0)&amp;"-"&amp;'Données Devis'!$A$35,'Paramètres Techniques'!A:X,8,0)*VLOOKUP(CE5,Pose!$18:$24,3,0)/1000,"")</f>
        <v/>
      </c>
      <c r="CL5" s="90" t="str">
        <f>IF('Données Devis'!$B$36&lt;&gt;"Non",VLOOKUP(VLOOKUP('Données Devis'!$E$7,'Paramètres Techniques'!A:B,2,0)&amp;"-"&amp;'Données Devis'!$A$36,'Paramètres Techniques'!A:X,8,0)*VLOOKUP(CE5,Pose!$18:$24,3,0)/1000,"")</f>
        <v/>
      </c>
      <c r="CM5" s="90" t="str">
        <f>IF('Données Devis'!$B$37&lt;&gt;"Non",IFERROR(VLOOKUP(VLOOKUP('Données Devis'!$E$7,'Paramètres Techniques'!A:B,2,0)&amp;"-"&amp;'Données Devis'!$A$37,'Paramètres Techniques'!A:X,8,0),99999)*VLOOKUP(CE5,Pose!$18:$24,3,0)/1000,"")</f>
        <v/>
      </c>
      <c r="CN5" s="147" t="e">
        <f t="shared" si="14"/>
        <v>#N/A</v>
      </c>
      <c r="CO5" s="230" t="e">
        <f>VLOOKUP(D5&amp;"-"&amp;E5,'Code Couleur'!B:I,7,0)</f>
        <v>#N/A</v>
      </c>
      <c r="CP5" s="204">
        <f>CP4</f>
        <v>0</v>
      </c>
      <c r="CQ5" s="82">
        <f>IF('Données Devis'!$B$31="",0,IF('Données Devis'!$B$33="Oui",VLOOKUP(VLOOKUP('Données Devis'!$E$7,'Paramètres Techniques'!A:B,2,0)&amp;"-"&amp;'Données Devis'!$A$33,'Paramètres Techniques'!A:F,5,0),VLOOKUP(VLOOKUP('Données Devis'!$E$7,'Paramètres Techniques'!A:B,2,0)&amp;"-"&amp;"Dorure",'Paramètres Techniques'!A:F,5,0)))*IF('Données Devis'!$B$32="",1,2)</f>
        <v>0</v>
      </c>
      <c r="CR5" s="82">
        <f>IF('Données Devis'!$B$34&lt;&gt;"Non",VLOOKUP(VLOOKUP('Données Devis'!$E$7,'Paramètres Techniques'!A:B,2,0)&amp;"-"&amp;'Données Devis'!$A$34,'Paramètres Techniques'!A:F,5,0)*'Données Devis'!$B$34,0)</f>
        <v>0</v>
      </c>
      <c r="CS5" s="82">
        <f>IF('Données Devis'!$B$35&lt;&gt;"Non",VLOOKUP(VLOOKUP('Données Devis'!$E$7,'Paramètres Techniques'!A:B,2,0)&amp;"-"&amp;'Données Devis'!$A$35,'Paramètres Techniques'!A:F,5,0)*'Données Devis'!$B$35,0)</f>
        <v>0</v>
      </c>
      <c r="CT5" s="82">
        <f>IF('Données Devis'!$B$36&lt;&gt;"Non",VLOOKUP(VLOOKUP('Données Devis'!$E$7,'Paramètres Techniques'!A:B,2,0)&amp;"-"&amp;'Données Devis'!$A$36,'Paramètres Techniques'!A:F,5,0)*'Données Devis'!$B$36,0)</f>
        <v>0</v>
      </c>
      <c r="CU5" s="82">
        <f>IF('Données Devis'!$B$37&lt;&gt;"Non",VLOOKUP(VLOOKUP('Données Devis'!$E$7,'Paramètres Techniques'!A:B,2,0)&amp;"-"&amp;'Données Devis'!$A$37,'Paramètres Techniques'!A:F,5,0)*'Données Devis'!$B$37,0)</f>
        <v>0</v>
      </c>
      <c r="CV5" s="98">
        <f t="shared" ref="CV5:CV6" si="38">IF(A5=0,0,SUM(CO5:CU5)*CF5)</f>
        <v>0</v>
      </c>
      <c r="CX5" s="149" t="e">
        <f>(L5+N5+O5+P5+Q5+R5+S5+V5+X5+Y5+Z5+AA5+AB5+AC5+AD5)/VLOOKUP(CE5,'Paramètres Techniques'!B:AD,28,0)*VLOOKUP(CE5,'Paramètres Techniques'!B:AD,27,0)</f>
        <v>#N/A</v>
      </c>
      <c r="CY5" s="97">
        <f t="shared" ref="CY5:CY6" si="39">IF(A5=0,0,CX5*CF5)</f>
        <v>0</v>
      </c>
      <c r="DA5" s="96" t="e">
        <f t="shared" si="15"/>
        <v>#N/A</v>
      </c>
      <c r="DB5" s="151" t="e">
        <f t="shared" si="16"/>
        <v>#N/A</v>
      </c>
      <c r="DC5" s="97">
        <f t="shared" ref="DC5:DC6" si="40">IF(A5=0,0,DB5*CF5)</f>
        <v>0</v>
      </c>
      <c r="DE5" s="87" t="str">
        <f>'Données Devis'!$B$40</f>
        <v>-</v>
      </c>
      <c r="DF5" s="94">
        <f>VLOOKUP(DE5,'Paramètres Techniques'!A:F,6,0)</f>
        <v>0</v>
      </c>
      <c r="DG5" s="90">
        <f>VLOOKUP(DE5,'Paramètres Techniques'!A:E,5,0)</f>
        <v>3000</v>
      </c>
      <c r="DH5" s="89">
        <f>VLOOKUP(DE5,'Paramètres Techniques'!A:D,4,0)</f>
        <v>0</v>
      </c>
      <c r="DI5" s="95">
        <f>IF(A5=0,0,VLOOKUP(DE5,'Paramètres Techniques'!A:D,4,0)*DF5)</f>
        <v>0</v>
      </c>
      <c r="DK5" s="151">
        <f t="shared" si="17"/>
        <v>0</v>
      </c>
      <c r="DL5" s="97">
        <f t="shared" ref="DL5:DL6" si="41">IF(A5=0,0,DK5*DF5)</f>
        <v>0</v>
      </c>
      <c r="DN5" s="111">
        <f>IFERROR(VLOOKUP(D5&amp;"-"&amp;E5,'Code Couleur'!B:J,9,0)*'Paramètres Techniques'!$F$104/1000*'Paramètres Techniques'!$B$104,0)+
IFERROR(VLOOKUP(D5&amp;"-"&amp;E5,'Code Couleur'!B:K,10,0)*'Paramètres Techniques'!$F$105/1000*'Paramètres Techniques'!$B$105,0)</f>
        <v>0</v>
      </c>
      <c r="DO5" s="86">
        <f>IF(A5=0,0,IFERROR(VLOOKUP(D5&amp;"-"&amp;E5,'Code Couleur'!B:Y,11,0)*'Paramètres Techniques'!$F$107/1000*'Paramètres Techniques'!$B$107,0)+
IFERROR(VLOOKUP(D5&amp;"-"&amp;E5,'Code Couleur'!B:Y,12,0)*'Paramètres Techniques'!$F$108/1000*'Paramètres Techniques'!$B$108,0))</f>
        <v>0</v>
      </c>
      <c r="DP5" s="115">
        <f>IFERROR(VLOOKUP(D5&amp;"-"&amp;E5,'Code Couleur'!B:J,9,0)*'Paramètres Techniques'!$E$104/1000*'Paramètres Techniques'!$B$104*'Paramètres Techniques'!$G$104*((SUM(L5:S5)+V5+AD5+AF5)*G5/1000),0)+
IFERROR(VLOOKUP(D5&amp;"-"&amp;E5,'Code Couleur'!B:K,10,0)*'Paramètres Techniques'!$E$105/1000*'Paramètres Techniques'!$B$105*'Paramètres Techniques'!$G$105*((SUM(L5:S5)+V5+AD5+AF5)*G5/1000),0)</f>
        <v>0</v>
      </c>
      <c r="DQ5" s="86">
        <f>IFERROR(VLOOKUP(D5&amp;"-"&amp;E5,'Code Couleur'!B:Y,11,0)*'Paramètres Techniques'!$E$107/1000*'Paramètres Techniques'!$B$107*'Paramètres Techniques'!$G$107*((SUM(L5:S5)+X5+V5+AD5+AF5)*G5/1000),0)+
IFERROR(VLOOKUP(D5&amp;"-"&amp;E5,'Code Couleur'!B:Y,12,0)*'Paramètres Techniques'!$E$108/1000*'Paramètres Techniques'!$B$108*'Paramètres Techniques'!$G$108*((SUM(L5:S5)+X5+V5+AD5+AF5)*G5/1000),0)</f>
        <v>0</v>
      </c>
      <c r="DR5" s="112" t="e">
        <f>(I5+J5+K5)/(VLOOKUP(BM5,Pose!$9:$16,3,0)/1000)*VLOOKUP(C5,'Code Couleur'!$B:$N,13,0)</f>
        <v>#VALUE!</v>
      </c>
      <c r="DS5" s="86">
        <f>IF(A5=0,0,DR5/1000*VLOOKUP(C5,'Code Couleur'!B:I,8,0))</f>
        <v>0</v>
      </c>
      <c r="DT5" s="144" t="e">
        <f>(AH5-I5-J5-K5)/(VLOOKUP(BM5,Pose!$9:$16,3,0)/1000)*VLOOKUP(C5,'Code Couleur'!$B:$N,13,0)</f>
        <v>#N/A</v>
      </c>
      <c r="DU5" s="113">
        <f>IF(A5=0,0,DT5/1000*VLOOKUP(C5,'Code Couleur'!B:I,8,0))</f>
        <v>0</v>
      </c>
      <c r="DW5" s="95">
        <f>IF('Données Devis'!B29="",0,IF(A5=0,0,(SUM(L5:S5)+X5+V5+AD5+AF5)/(VLOOKUP(CE3,Pose!$18:$24,3,0)/1000)*VLOOKUP(D5&amp;"-"&amp;E5,'Code Couleur'!B:N,13,0)*1/1000+
VLOOKUP(D3,'Paramètres Techniques'!B:AM,38,0)*'Données Devis'!B15*(1+'Paramètres Techniques'!B99)*VLOOKUP(D3&amp;"-"&amp;E3,'Code Couleur'!B:N,13,0)))</f>
        <v>0</v>
      </c>
      <c r="DX5" s="95">
        <f>IF(A5=0,0,MAX('Paramètres Techniques'!$B$101*(Calcul!BE5+Calcul!BF5),'Paramètres Techniques'!D101))</f>
        <v>0</v>
      </c>
      <c r="DY5" s="95">
        <f>IF(A5=0,0,'Paramètres Techniques'!$B$102*(Calcul!BE5+Calcul!BF5))</f>
        <v>0</v>
      </c>
      <c r="DZ5" s="95">
        <f t="shared" ref="DZ5:DZ6" si="42">IF(A5=0,0,50)</f>
        <v>0</v>
      </c>
      <c r="EA5"/>
      <c r="EB5" s="153">
        <f t="shared" si="18"/>
        <v>0</v>
      </c>
      <c r="EC5" s="152">
        <f t="shared" ref="EC5:EC6" si="43">IF(A5=0,0,EB5/A5*1000)</f>
        <v>0</v>
      </c>
      <c r="ED5"/>
      <c r="EE5" s="152">
        <f t="shared" si="19"/>
        <v>0</v>
      </c>
      <c r="EF5" s="152">
        <f t="shared" si="20"/>
        <v>0</v>
      </c>
      <c r="EG5" s="174"/>
      <c r="EH5" s="152">
        <f t="shared" si="21"/>
        <v>0</v>
      </c>
      <c r="EI5" s="176" t="str">
        <f t="shared" si="22"/>
        <v/>
      </c>
    </row>
    <row r="6" spans="1:139" s="15" customFormat="1" x14ac:dyDescent="0.3">
      <c r="A6" s="76">
        <f>'Données Devis'!B14</f>
        <v>0</v>
      </c>
      <c r="B6" s="155" t="str">
        <f>IF('Paramètres Techniques'!$B$1="Site",'Données Devis'!$E$7,"MD CERM")&amp;" - HP6000 Offline"</f>
        <v>AESU - HP6000 Offline</v>
      </c>
      <c r="C6" s="76" t="str">
        <f>IF('Paramètres Techniques'!$B$1="Site",'Données Devis'!$E$7,"MD CERM")&amp;" - "&amp;'Données Devis'!$B$25</f>
        <v xml:space="preserve">AESU - </v>
      </c>
      <c r="D6" s="76" t="str">
        <f t="shared" si="23"/>
        <v>AESU-Cartes</v>
      </c>
      <c r="E6" s="76">
        <f t="shared" si="24"/>
        <v>0</v>
      </c>
      <c r="F6" s="77">
        <f t="shared" si="25"/>
        <v>34</v>
      </c>
      <c r="G6" s="78">
        <f t="shared" si="26"/>
        <v>330</v>
      </c>
      <c r="H6"/>
      <c r="I6" s="87" t="str">
        <f t="shared" si="27"/>
        <v/>
      </c>
      <c r="J6" s="144">
        <f t="shared" si="28"/>
        <v>-20</v>
      </c>
      <c r="K6" s="144">
        <f>IF('Données Devis'!$B$26="Oui",VLOOKUP(BM6,'Paramètres Techniques'!B:AX,32,0),0)</f>
        <v>0</v>
      </c>
      <c r="L6" s="87" t="e">
        <f t="shared" si="29"/>
        <v>#N/A</v>
      </c>
      <c r="M6" s="144">
        <f>M4</f>
        <v>0</v>
      </c>
      <c r="N6" s="144">
        <f t="shared" si="30"/>
        <v>0</v>
      </c>
      <c r="O6" s="144">
        <f t="shared" si="31"/>
        <v>0</v>
      </c>
      <c r="P6" s="144">
        <f t="shared" si="32"/>
        <v>0</v>
      </c>
      <c r="Q6" s="144">
        <f t="shared" si="33"/>
        <v>0</v>
      </c>
      <c r="R6" s="145">
        <f>R4</f>
        <v>0</v>
      </c>
      <c r="S6" s="143">
        <f>S5</f>
        <v>0</v>
      </c>
      <c r="T6" s="143" t="e">
        <f t="shared" si="1"/>
        <v>#N/A</v>
      </c>
      <c r="V6" s="139">
        <f>Calcul!A6*(Pose!D6/1000)/Calcul!F6</f>
        <v>0</v>
      </c>
      <c r="W6" s="139" t="e">
        <f>VLOOKUP(C6,'Code Couleur'!B:F,5,0)*V6</f>
        <v>#N/A</v>
      </c>
      <c r="X6" s="140" t="e">
        <f>VLOOKUP(D3&amp;"-"&amp;E3,'Code Couleur'!B:O,5,0)*V6</f>
        <v>#N/A</v>
      </c>
      <c r="Y6" s="140">
        <f>IF('Données Devis'!$B$31="",0,IF('Données Devis'!$B$33="Oui",VLOOKUP(VLOOKUP('Données Devis'!$E$7,'Paramètres Techniques'!A:B,2,0)&amp;"-"&amp;'Données Devis'!$A$33,'Paramètres Techniques'!A:G,7,0),VLOOKUP(VLOOKUP('Données Devis'!$E$7,'Paramètres Techniques'!A:B,2,0)&amp;"-"&amp;"Dorure",'Paramètres Techniques'!A:G,7,0)))*IF('Données Devis'!$B$32="",1,2)*V6</f>
        <v>0</v>
      </c>
      <c r="Z6" s="141">
        <f>IF('Données Devis'!$B$34&lt;&gt;"Non",VLOOKUP(VLOOKUP('Données Devis'!$E$7,'Paramètres Techniques'!A:B,2,0)&amp;"-"&amp;'Données Devis'!$A$34,'Paramètres Techniques'!A:G,7,0)*'Données Devis'!$B$34,0)*V6</f>
        <v>0</v>
      </c>
      <c r="AA6" s="141">
        <f>IF('Données Devis'!$B$35&lt;&gt;"Non",VLOOKUP(VLOOKUP('Données Devis'!$E$7,'Paramètres Techniques'!A:B,2,0)&amp;"-"&amp;'Données Devis'!$A$35,'Paramètres Techniques'!A:G,7,0)*'Données Devis'!$B$35,0)*V6</f>
        <v>0</v>
      </c>
      <c r="AB6" s="141">
        <f>IF('Données Devis'!$B$36&lt;&gt;"Non",VLOOKUP(VLOOKUP('Données Devis'!$E$7,'Paramètres Techniques'!A:B,2,0)&amp;"-"&amp;'Données Devis'!$A$36,'Paramètres Techniques'!A:G,7,0)*'Données Devis'!$B$36,0)*V6</f>
        <v>0</v>
      </c>
      <c r="AC6" s="142">
        <f>IF('Données Devis'!$B$37&lt;&gt;"Non",IFERROR(VLOOKUP(VLOOKUP('Données Devis'!$E$7,'Paramètres Techniques'!A:B,2,0)&amp;"-"&amp;'Données Devis'!$A$37,'Paramètres Techniques'!A:G,7,0),0),0)*V6</f>
        <v>0</v>
      </c>
      <c r="AD6" s="139">
        <f>VLOOKUP('Données Devis'!$B$40,'Paramètres Techniques'!A:G,7,0)*V6</f>
        <v>0</v>
      </c>
      <c r="AE6" s="139" t="e">
        <f>(SUM(T6:AD6)+AF6)/VLOOKUP(B6,'Paramètres Techniques'!B:AD,28,0)*VLOOKUP(B6,'Paramètres Techniques'!B:AD,29,0)</f>
        <v>#N/A</v>
      </c>
      <c r="AF6" s="139" t="e">
        <f>(L6+N6+O6+P6+Q6+R6+S6+V6+X6+Y6+Z6+AA6+AB6+AC6+AD6)/VLOOKUP(D6,'Paramètres Techniques'!B:AD,28,0)*VLOOKUP(D6,'Paramètres Techniques'!B:AD,29,0)</f>
        <v>#N/A</v>
      </c>
      <c r="AG6" s="66"/>
      <c r="AH6" s="143" t="e">
        <f t="shared" si="2"/>
        <v>#N/A</v>
      </c>
      <c r="AI6" s="144" t="e">
        <f t="shared" si="3"/>
        <v>#N/A</v>
      </c>
      <c r="AJ6" s="144">
        <f t="shared" si="4"/>
        <v>0</v>
      </c>
      <c r="AK6" s="144" t="e">
        <f t="shared" si="5"/>
        <v>#N/A</v>
      </c>
      <c r="AL6" s="143" t="e">
        <f t="shared" si="6"/>
        <v>#N/A</v>
      </c>
      <c r="AN6" s="84">
        <f>'Données Devis'!$B$31</f>
        <v>0</v>
      </c>
      <c r="AO6" s="269">
        <f>IF(AN6=0,0,VLOOKUP(AN6,'Liste MP'!W:Y,3,0))</f>
        <v>0</v>
      </c>
      <c r="AP6" s="85">
        <f>IF(A6=0,0,AO6*(T6-I6-J6-K6)*270/1000*(1+'Paramètres Techniques'!$B$99))</f>
        <v>0</v>
      </c>
      <c r="AQ6" s="86">
        <f>IF(A6=0,0,AO6*(V6+S6+AD6+AF6+X6)*270/1000*(1+'Paramètres Techniques'!$B$99))</f>
        <v>0</v>
      </c>
      <c r="AS6" s="84">
        <f>'Données Devis'!$B$32</f>
        <v>0</v>
      </c>
      <c r="AT6" s="269">
        <f>IF(AS6=0,0,VLOOKUP(AS6,'Liste MP'!W:Y,3,0))</f>
        <v>0</v>
      </c>
      <c r="AU6" s="85">
        <f>IF(A6=0,0,AT6*(T6-I6-J6-K6)*270/1000*(1+'Paramètres Techniques'!$B$99))</f>
        <v>0</v>
      </c>
      <c r="AV6" s="86">
        <f>IF(A6=0,0,AT6*(V6+S6+AD6+AF6+X6)*270/1000*(1+'Paramètres Techniques'!$B$99))</f>
        <v>0</v>
      </c>
      <c r="AX6" s="84" t="str">
        <f t="shared" si="7"/>
        <v/>
      </c>
      <c r="AY6" s="276">
        <f t="shared" si="7"/>
        <v>0</v>
      </c>
      <c r="AZ6" s="273">
        <f>IF(A6=0,0,AY6*(T6-I6-J6-K6)*G6/1000*(1+'Paramètres Techniques'!$B$99))</f>
        <v>0</v>
      </c>
      <c r="BA6" s="274">
        <f>IF(A6=0,0,AY6*(V6+S6+AD6+AF6+X6)*G6/1000*(1+'Paramètres Techniques'!$B$99))</f>
        <v>0</v>
      </c>
      <c r="BC6" s="84" t="str">
        <f>'Données Devis'!$B$20&amp;" / "&amp;'Données Devis'!$B$21&amp;" / "&amp;'Données Devis'!$B$22</f>
        <v>Frozen Orion Diamond / Lavable / Glassine</v>
      </c>
      <c r="BD6" s="269">
        <f>VLOOKUP(BC6,'Liste MP'!D:I,6,0)</f>
        <v>1.69726</v>
      </c>
      <c r="BE6" s="85">
        <f>IF(A6=0,0,BD6*AI6*(1+'Paramètres Techniques'!$B$99))</f>
        <v>0</v>
      </c>
      <c r="BF6" s="86">
        <f>IF(A6=0,0,BD6*(AJ6+AK6)*(1+'Paramètres Techniques'!$B$99))</f>
        <v>0</v>
      </c>
      <c r="BH6" s="84" t="str">
        <f t="shared" si="34"/>
        <v/>
      </c>
      <c r="BI6" s="269">
        <f t="shared" si="35"/>
        <v>0</v>
      </c>
      <c r="BJ6" s="85">
        <f>IF(A6=0,0,BI6*AI6*(1+'Paramètres Techniques'!$B$99))</f>
        <v>0</v>
      </c>
      <c r="BK6" s="86">
        <f>IF(A6=0,0,BI6*(AJ6+AK6)*(1+'Paramètres Techniques'!$B$99))</f>
        <v>0</v>
      </c>
      <c r="BM6" s="87" t="str">
        <f t="shared" si="8"/>
        <v>AESU - HP6000 Offline</v>
      </c>
      <c r="BN6" s="94">
        <f>VLOOKUP(BM6,'Paramètres Techniques'!B:K,10,0)</f>
        <v>210</v>
      </c>
      <c r="BO6" s="90">
        <f>VLOOKUP(BM6,'Paramètres Techniques'!B:L,11,0)*VLOOKUP(BM3,Pose!$9:$16,3,0)/1000</f>
        <v>489.6</v>
      </c>
      <c r="BP6" s="88" t="e">
        <f>VLOOKUP(C6,'Code Couleur'!B:E,4,0)</f>
        <v>#N/A</v>
      </c>
      <c r="BQ6" s="91" t="e">
        <f t="shared" si="9"/>
        <v>#N/A</v>
      </c>
      <c r="BR6" s="92" t="e">
        <f>VLOOKUP(C6,'Code Couleur'!B:H,7,0)</f>
        <v>#N/A</v>
      </c>
      <c r="BS6" s="93">
        <f>VLOOKUP(BM6,'Paramètres Techniques'!B:G,6,0)</f>
        <v>0.41666666666666669</v>
      </c>
      <c r="BT6" s="93">
        <f>VLOOKUP(BM6,'Paramètres Techniques'!B:AK,35,0)*('Données Devis'!$B$15-1)</f>
        <v>-3.3333333333333333E-2</v>
      </c>
      <c r="BU6" s="277">
        <f>IF('Données Devis'!$B$26="Oui",VLOOKUP(BM6,'Paramètres Techniques'!B:AH,31,0),0)</f>
        <v>0</v>
      </c>
      <c r="BV6" s="95">
        <f t="shared" si="36"/>
        <v>0</v>
      </c>
      <c r="BX6" s="151" t="e">
        <f>(SUM(T6:AD6)+AF6)/VLOOKUP(B6,'Paramètres Techniques'!B:AD,28,0)*VLOOKUP(B6,'Paramètres Techniques'!B:AD,27,0)</f>
        <v>#N/A</v>
      </c>
      <c r="BY6" s="97">
        <f t="shared" si="10"/>
        <v>0</v>
      </c>
      <c r="CA6" s="146" t="e">
        <f t="shared" si="11"/>
        <v>#N/A</v>
      </c>
      <c r="CB6" s="151" t="e">
        <f t="shared" si="12"/>
        <v>#N/A</v>
      </c>
      <c r="CC6" s="97">
        <f t="shared" si="37"/>
        <v>0</v>
      </c>
      <c r="CE6" s="87" t="str">
        <f t="shared" si="13"/>
        <v>AESU-Cartes</v>
      </c>
      <c r="CF6" s="94">
        <f>VLOOKUP(CE6,'Paramètres Techniques'!B:K,10,0)</f>
        <v>107</v>
      </c>
      <c r="CG6" s="90">
        <f>VLOOKUP(CE6,'Paramètres Techniques'!B:L,11,0)*VLOOKUP(CE6,Pose!$18:$24,3,0)/1000</f>
        <v>1224</v>
      </c>
      <c r="CH6" s="88" t="e">
        <f>IF('Données Devis'!$B$29="Ni couleur ni vernis",0,VLOOKUP(D6&amp;"-"&amp;E6,'Code Couleur'!B:E,4,0))</f>
        <v>#N/A</v>
      </c>
      <c r="CI6" s="90" t="str">
        <f>IF('Données Devis'!$B$31="","",IF('Données Devis'!$B$33&lt;&gt;"Non",VLOOKUP(VLOOKUP('Données Devis'!$E$7,'Paramètres Techniques'!A:B,2,0)&amp;"-"&amp;'Données Devis'!$A$33,'Paramètres Techniques'!A:X,8,0),VLOOKUP(VLOOKUP('Données Devis'!$E$7,'Paramètres Techniques'!A:B,2,0)&amp;"-"&amp;"Dorure",'Paramètres Techniques'!A:X,8,0))*VLOOKUP(CE6,Pose!$18:$24,3,0)/1000)</f>
        <v/>
      </c>
      <c r="CJ6" s="90" t="str">
        <f>IF('Données Devis'!$B$34="Oui",VLOOKUP(VLOOKUP('Données Devis'!$E$7,'Paramètres Techniques'!A:B,2,0)&amp;"-"&amp;'Données Devis'!$A$34,'Paramètres Techniques'!A:X,8,0)*VLOOKUP(CE3,Pose!$18:$24,3,0)/1000,"")</f>
        <v/>
      </c>
      <c r="CK6" s="90" t="str">
        <f>IF('Données Devis'!$B$35&lt;&gt;"Non",VLOOKUP(VLOOKUP('Données Devis'!$E$7,'Paramètres Techniques'!A:B,2,0)&amp;"-"&amp;'Données Devis'!$A$35,'Paramètres Techniques'!A:X,8,0)*VLOOKUP(CE6,Pose!$18:$24,3,0)/1000,"")</f>
        <v/>
      </c>
      <c r="CL6" s="90" t="str">
        <f>IF('Données Devis'!$B$36&lt;&gt;"Non",VLOOKUP(VLOOKUP('Données Devis'!$E$7,'Paramètres Techniques'!A:B,2,0)&amp;"-"&amp;'Données Devis'!$A$36,'Paramètres Techniques'!A:X,8,0)*VLOOKUP(CE6,Pose!$18:$24,3,0)/1000,"")</f>
        <v/>
      </c>
      <c r="CM6" s="90" t="str">
        <f>IF('Données Devis'!$B$37&lt;&gt;"Non",IFERROR(VLOOKUP(VLOOKUP('Données Devis'!$E$7,'Paramètres Techniques'!A:B,2,0)&amp;"-"&amp;'Données Devis'!$A$37,'Paramètres Techniques'!A:X,8,0),99999)*VLOOKUP(CE6,Pose!$18:$24,3,0)/1000,"")</f>
        <v/>
      </c>
      <c r="CN6" s="147" t="e">
        <f t="shared" si="14"/>
        <v>#N/A</v>
      </c>
      <c r="CO6" s="230" t="e">
        <f>VLOOKUP(D6&amp;"-"&amp;E6,'Code Couleur'!B:I,7,0)</f>
        <v>#N/A</v>
      </c>
      <c r="CP6" s="204">
        <f>CP4</f>
        <v>0</v>
      </c>
      <c r="CQ6" s="82">
        <f>IF('Données Devis'!$B$31="",0,IF('Données Devis'!$B$33="Oui",VLOOKUP(VLOOKUP('Données Devis'!$E$7,'Paramètres Techniques'!A:B,2,0)&amp;"-"&amp;'Données Devis'!$A$33,'Paramètres Techniques'!A:F,5,0),VLOOKUP(VLOOKUP('Données Devis'!$E$7,'Paramètres Techniques'!A:B,2,0)&amp;"-"&amp;"Dorure",'Paramètres Techniques'!A:F,5,0)))*IF('Données Devis'!$B$32="",1,2)</f>
        <v>0</v>
      </c>
      <c r="CR6" s="82">
        <f>IF('Données Devis'!$B$34&lt;&gt;"Non",VLOOKUP(VLOOKUP('Données Devis'!$E$7,'Paramètres Techniques'!A:B,2,0)&amp;"-"&amp;'Données Devis'!$A$34,'Paramètres Techniques'!A:F,5,0)*'Données Devis'!$B$34,0)</f>
        <v>0</v>
      </c>
      <c r="CS6" s="82">
        <f>IF('Données Devis'!$B$35&lt;&gt;"Non",VLOOKUP(VLOOKUP('Données Devis'!$E$7,'Paramètres Techniques'!A:B,2,0)&amp;"-"&amp;'Données Devis'!$A$35,'Paramètres Techniques'!A:F,5,0)*'Données Devis'!$B$35,0)</f>
        <v>0</v>
      </c>
      <c r="CT6" s="82">
        <f>IF('Données Devis'!$B$36&lt;&gt;"Non",VLOOKUP(VLOOKUP('Données Devis'!$E$7,'Paramètres Techniques'!A:B,2,0)&amp;"-"&amp;'Données Devis'!$A$36,'Paramètres Techniques'!A:F,5,0)*'Données Devis'!$B$36,0)</f>
        <v>0</v>
      </c>
      <c r="CU6" s="82">
        <f>IF('Données Devis'!$B$37&lt;&gt;"Non",VLOOKUP(VLOOKUP('Données Devis'!$E$7,'Paramètres Techniques'!A:B,2,0)&amp;"-"&amp;'Données Devis'!$A$37,'Paramètres Techniques'!A:F,5,0)*'Données Devis'!$B$37,0)</f>
        <v>0</v>
      </c>
      <c r="CV6" s="98">
        <f t="shared" si="38"/>
        <v>0</v>
      </c>
      <c r="CX6" s="149" t="e">
        <f>(L6+N6+O6+P6+Q6+R6+S6+V6+X6+Y6+Z6+AA6+AB6+AC6+AD6)/VLOOKUP(CE6,'Paramètres Techniques'!B:AD,28,0)*VLOOKUP(CE6,'Paramètres Techniques'!B:AD,27,0)</f>
        <v>#N/A</v>
      </c>
      <c r="CY6" s="97">
        <f t="shared" si="39"/>
        <v>0</v>
      </c>
      <c r="DA6" s="96" t="e">
        <f t="shared" si="15"/>
        <v>#N/A</v>
      </c>
      <c r="DB6" s="151" t="e">
        <f t="shared" si="16"/>
        <v>#N/A</v>
      </c>
      <c r="DC6" s="97">
        <f t="shared" si="40"/>
        <v>0</v>
      </c>
      <c r="DE6" s="87" t="str">
        <f>'Données Devis'!$B$40</f>
        <v>-</v>
      </c>
      <c r="DF6" s="94">
        <f>VLOOKUP(DE6,'Paramètres Techniques'!A:F,6,0)</f>
        <v>0</v>
      </c>
      <c r="DG6" s="90">
        <f>VLOOKUP(DE6,'Paramètres Techniques'!A:E,5,0)</f>
        <v>3000</v>
      </c>
      <c r="DH6" s="89">
        <f>VLOOKUP(DE6,'Paramètres Techniques'!A:D,4,0)</f>
        <v>0</v>
      </c>
      <c r="DI6" s="95">
        <f>IF(A6=0,0,VLOOKUP(DE6,'Paramètres Techniques'!A:D,4,0)*DF6)</f>
        <v>0</v>
      </c>
      <c r="DK6" s="151">
        <f t="shared" si="17"/>
        <v>0</v>
      </c>
      <c r="DL6" s="97">
        <f t="shared" si="41"/>
        <v>0</v>
      </c>
      <c r="DN6" s="111">
        <f>IFERROR(VLOOKUP(D6&amp;"-"&amp;E6,'Code Couleur'!B:J,9,0)*'Paramètres Techniques'!$F$104/1000*'Paramètres Techniques'!$B$104,0)+
IFERROR(VLOOKUP(D6&amp;"-"&amp;E6,'Code Couleur'!B:K,10,0)*'Paramètres Techniques'!$F$105/1000*'Paramètres Techniques'!$B$105,0)</f>
        <v>0</v>
      </c>
      <c r="DO6" s="86">
        <f>IF(A6=0,0,IFERROR(VLOOKUP(D6&amp;"-"&amp;E6,'Code Couleur'!B:Y,11,0)*'Paramètres Techniques'!$F$107/1000*'Paramètres Techniques'!$B$107,0)+
IFERROR(VLOOKUP(D6&amp;"-"&amp;E6,'Code Couleur'!B:Y,12,0)*'Paramètres Techniques'!$F$108/1000*'Paramètres Techniques'!$B$108,0))</f>
        <v>0</v>
      </c>
      <c r="DP6" s="115">
        <f>IFERROR(VLOOKUP(D6&amp;"-"&amp;E6,'Code Couleur'!B:J,9,0)*'Paramètres Techniques'!$E$104/1000*'Paramètres Techniques'!$B$104*'Paramètres Techniques'!$G$104*((SUM(L6:S6)+V6+AD6+AF6)*G6/1000),0)+
IFERROR(VLOOKUP(D6&amp;"-"&amp;E6,'Code Couleur'!B:K,10,0)*'Paramètres Techniques'!$E$105/1000*'Paramètres Techniques'!$B$105*'Paramètres Techniques'!$G$105*((SUM(L6:S6)+V6+AD6+AF6)*G6/1000),0)</f>
        <v>0</v>
      </c>
      <c r="DQ6" s="86">
        <f>IFERROR(VLOOKUP(D6&amp;"-"&amp;E6,'Code Couleur'!B:Y,11,0)*'Paramètres Techniques'!$E$107/1000*'Paramètres Techniques'!$B$107*'Paramètres Techniques'!$G$107*((SUM(L6:S6)+X6+V6+AD6+AF6)*G6/1000),0)+
IFERROR(VLOOKUP(D6&amp;"-"&amp;E6,'Code Couleur'!B:Y,12,0)*'Paramètres Techniques'!$E$108/1000*'Paramètres Techniques'!$B$108*'Paramètres Techniques'!$G$108*((SUM(L6:S6)+X6+V6+AD6+AF6)*G6/1000),0)</f>
        <v>0</v>
      </c>
      <c r="DR6" s="112" t="e">
        <f>(I6+J6+K6)/(VLOOKUP(BM6,Pose!$9:$16,3,0)/1000)*VLOOKUP(C6,'Code Couleur'!$B:$N,13,0)</f>
        <v>#VALUE!</v>
      </c>
      <c r="DS6" s="86">
        <f>IF(A6=0,0,DR6/1000*VLOOKUP(C6,'Code Couleur'!B:I,8,0))</f>
        <v>0</v>
      </c>
      <c r="DT6" s="144" t="e">
        <f>(AH6-I6-J6-K6)/(VLOOKUP(BM6,Pose!$9:$16,3,0)/1000)*VLOOKUP(C6,'Code Couleur'!$B:$N,13,0)</f>
        <v>#N/A</v>
      </c>
      <c r="DU6" s="113">
        <f>IF(A6=0,0,DT6/1000*VLOOKUP(C6,'Code Couleur'!B:I,8,0))</f>
        <v>0</v>
      </c>
      <c r="DW6" s="95">
        <f>IF('Données Devis'!B29="",0,IF(A6=0,0,(SUM(L6:S6)+X6+V6+AD6+AF6)/(VLOOKUP(CE3,Pose!$18:$24,3,0)/1000)*VLOOKUP(D6&amp;"-"&amp;E6,'Code Couleur'!B:N,13,0)*1/1000+
VLOOKUP(D3,'Paramètres Techniques'!B:AM,38,0)*'Données Devis'!B15*(1+'Paramètres Techniques'!B99)*VLOOKUP(D3&amp;"-"&amp;E3,'Code Couleur'!B:N,13,0)))</f>
        <v>0</v>
      </c>
      <c r="DX6" s="95">
        <f>IF(A6=0,0,MAX('Paramètres Techniques'!$B$101*(Calcul!BE6+Calcul!BF6),'Paramètres Techniques'!D101))</f>
        <v>0</v>
      </c>
      <c r="DY6" s="95">
        <f>IF(A6=0,0,'Paramètres Techniques'!$B$102*(Calcul!BE6+Calcul!BF6))</f>
        <v>0</v>
      </c>
      <c r="DZ6" s="95">
        <f t="shared" si="42"/>
        <v>0</v>
      </c>
      <c r="EA6"/>
      <c r="EB6" s="153">
        <f t="shared" si="18"/>
        <v>0</v>
      </c>
      <c r="EC6" s="152">
        <f t="shared" si="43"/>
        <v>0</v>
      </c>
      <c r="ED6"/>
      <c r="EE6" s="152">
        <f t="shared" si="19"/>
        <v>0</v>
      </c>
      <c r="EF6" s="152">
        <f t="shared" si="20"/>
        <v>0</v>
      </c>
      <c r="EG6" s="174"/>
      <c r="EH6" s="152">
        <f t="shared" si="21"/>
        <v>0</v>
      </c>
      <c r="EI6" s="176" t="str">
        <f t="shared" si="22"/>
        <v/>
      </c>
    </row>
    <row r="7" spans="1:139" x14ac:dyDescent="0.3">
      <c r="A7" s="17"/>
      <c r="B7" s="17"/>
      <c r="C7" s="17"/>
      <c r="D7" s="17"/>
      <c r="E7" s="17"/>
      <c r="AO7" s="114"/>
      <c r="BP7" s="117"/>
      <c r="CX7" s="118"/>
      <c r="EF7" s="114"/>
      <c r="EH7" s="114"/>
      <c r="EI7" s="176"/>
    </row>
    <row r="8" spans="1:139" x14ac:dyDescent="0.3">
      <c r="CX8" s="118"/>
    </row>
    <row r="9" spans="1:139" x14ac:dyDescent="0.3">
      <c r="EC9" s="156"/>
    </row>
    <row r="10" spans="1:139" x14ac:dyDescent="0.3">
      <c r="BQ10" s="309"/>
      <c r="CX10" s="118"/>
      <c r="EC10" s="156"/>
    </row>
    <row r="11" spans="1:139" x14ac:dyDescent="0.3">
      <c r="EC11" s="156"/>
    </row>
  </sheetData>
  <mergeCells count="6">
    <mergeCell ref="BM1:CC1"/>
    <mergeCell ref="CE1:DC1"/>
    <mergeCell ref="DE1:DL1"/>
    <mergeCell ref="I1:K1"/>
    <mergeCell ref="L1:R1"/>
    <mergeCell ref="Y1:AC1"/>
  </mergeCells>
  <pageMargins left="0.7" right="0.7" top="0.75" bottom="0.75" header="0.3" footer="0.3"/>
  <pageSetup paperSize="9" orientation="portrait" r:id="rId1"/>
  <ignoredErrors>
    <ignoredError sqref="K4:K6 M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219CF-5614-49B0-9F35-43DE77003235}">
  <sheetPr codeName="Feuil8">
    <tabColor theme="0" tint="-0.34998626667073579"/>
  </sheetPr>
  <dimension ref="A1:O23"/>
  <sheetViews>
    <sheetView workbookViewId="0">
      <selection activeCell="E40" sqref="E40"/>
    </sheetView>
  </sheetViews>
  <sheetFormatPr baseColWidth="10" defaultColWidth="11.44140625" defaultRowHeight="14.4" outlineLevelCol="1" x14ac:dyDescent="0.3"/>
  <cols>
    <col min="1" max="1" width="23.33203125" customWidth="1"/>
    <col min="3" max="5" width="11.5546875" hidden="1" customWidth="1" outlineLevel="1"/>
    <col min="6" max="6" width="11.5546875" customWidth="1" collapsed="1"/>
    <col min="7" max="7" width="37.33203125" customWidth="1"/>
    <col min="8" max="8" width="12" customWidth="1"/>
  </cols>
  <sheetData>
    <row r="1" spans="1:15" x14ac:dyDescent="0.3">
      <c r="B1" s="114"/>
    </row>
    <row r="2" spans="1:15" x14ac:dyDescent="0.3">
      <c r="A2" s="123" t="s">
        <v>451</v>
      </c>
      <c r="B2" s="127">
        <f>Calcul!A3</f>
        <v>140000</v>
      </c>
      <c r="C2" s="127">
        <f>Calcul!A4</f>
        <v>0</v>
      </c>
      <c r="D2" s="127">
        <f>Calcul!A5</f>
        <v>0</v>
      </c>
      <c r="E2" s="127">
        <f>Calcul!A6</f>
        <v>0</v>
      </c>
      <c r="F2" s="127"/>
      <c r="G2" s="125"/>
      <c r="H2" s="128"/>
      <c r="J2" s="127" t="s">
        <v>11</v>
      </c>
      <c r="K2" s="127" t="s">
        <v>141</v>
      </c>
      <c r="L2" s="127" t="s">
        <v>147</v>
      </c>
      <c r="M2" s="127" t="s">
        <v>139</v>
      </c>
      <c r="N2" s="127" t="s">
        <v>155</v>
      </c>
      <c r="O2" s="127" t="s">
        <v>170</v>
      </c>
    </row>
    <row r="3" spans="1:15" x14ac:dyDescent="0.3">
      <c r="A3" s="120" t="s">
        <v>452</v>
      </c>
      <c r="B3" s="121" t="e">
        <f>Calcul!$BV$3</f>
        <v>#N/A</v>
      </c>
      <c r="C3" s="121">
        <f>Calcul!$BV$4</f>
        <v>0</v>
      </c>
      <c r="D3" s="121">
        <f>Calcul!$BV$5</f>
        <v>0</v>
      </c>
      <c r="E3" s="121">
        <f>Calcul!$BV$6</f>
        <v>0</v>
      </c>
      <c r="F3" s="121">
        <v>201.07</v>
      </c>
      <c r="G3" s="278"/>
      <c r="J3" s="121"/>
      <c r="K3" s="121"/>
      <c r="L3" s="121"/>
      <c r="M3" s="121"/>
      <c r="N3" s="121"/>
      <c r="O3" s="121"/>
    </row>
    <row r="4" spans="1:15" x14ac:dyDescent="0.3">
      <c r="A4" s="120" t="s">
        <v>453</v>
      </c>
      <c r="B4" s="121" t="e">
        <f>Calcul!$BY$3+Calcul!$CC$3</f>
        <v>#N/A</v>
      </c>
      <c r="C4" s="121">
        <f>Calcul!$BY$4+Calcul!$CC$4</f>
        <v>0</v>
      </c>
      <c r="D4" s="121">
        <f>Calcul!$BY$5+Calcul!$CC$5</f>
        <v>0</v>
      </c>
      <c r="E4" s="121">
        <f>Calcul!$BY$6+Calcul!$CC$6</f>
        <v>0</v>
      </c>
      <c r="F4" s="121">
        <v>11.82</v>
      </c>
      <c r="G4" s="121"/>
      <c r="J4" s="121"/>
      <c r="K4" s="121"/>
      <c r="L4" s="121"/>
      <c r="M4" s="121"/>
      <c r="N4" s="121"/>
      <c r="O4" s="121"/>
    </row>
    <row r="5" spans="1:15" x14ac:dyDescent="0.3">
      <c r="A5" s="120" t="s">
        <v>454</v>
      </c>
      <c r="B5" s="121" t="e">
        <f>Calcul!$CV$3</f>
        <v>#N/A</v>
      </c>
      <c r="C5" s="121">
        <f>Calcul!$CV$4</f>
        <v>0</v>
      </c>
      <c r="D5" s="121">
        <f>Calcul!$CV$5</f>
        <v>0</v>
      </c>
      <c r="E5" s="121">
        <f>Calcul!$CV$6</f>
        <v>0</v>
      </c>
      <c r="F5" s="121">
        <v>87.22</v>
      </c>
      <c r="G5" s="121"/>
      <c r="J5" s="121"/>
      <c r="K5" s="121"/>
      <c r="L5" s="121"/>
      <c r="M5" s="121"/>
      <c r="N5" s="121"/>
      <c r="O5" s="121"/>
    </row>
    <row r="6" spans="1:15" x14ac:dyDescent="0.3">
      <c r="A6" s="120" t="s">
        <v>455</v>
      </c>
      <c r="B6" s="121" t="e">
        <f>Calcul!$CY$3+Calcul!$DC$3</f>
        <v>#N/A</v>
      </c>
      <c r="C6" s="121">
        <f>Calcul!$CY$4+Calcul!$DC$4</f>
        <v>0</v>
      </c>
      <c r="D6" s="121">
        <f>Calcul!$CY$5+Calcul!$DC$5</f>
        <v>0</v>
      </c>
      <c r="E6" s="121">
        <f>Calcul!$CY$6+Calcul!$DC$6</f>
        <v>0</v>
      </c>
      <c r="F6" s="121">
        <v>6.31</v>
      </c>
      <c r="G6" s="121"/>
      <c r="J6" s="121"/>
      <c r="K6" s="121"/>
      <c r="L6" s="121"/>
      <c r="M6" s="121"/>
      <c r="N6" s="121"/>
      <c r="O6" s="121"/>
    </row>
    <row r="7" spans="1:15" x14ac:dyDescent="0.3">
      <c r="A7" s="120" t="s">
        <v>456</v>
      </c>
      <c r="B7" s="121" t="e">
        <f>Calcul!$DW$3</f>
        <v>#N/A</v>
      </c>
      <c r="C7" s="121">
        <f>Calcul!$DW$4</f>
        <v>0</v>
      </c>
      <c r="D7" s="121">
        <f>Calcul!$DW$5</f>
        <v>0</v>
      </c>
      <c r="E7" s="121">
        <f>Calcul!$DW$6</f>
        <v>0</v>
      </c>
      <c r="F7" s="121">
        <v>0</v>
      </c>
      <c r="G7" s="121"/>
      <c r="J7" s="121"/>
      <c r="K7" s="121"/>
      <c r="L7" s="121"/>
      <c r="M7" s="121"/>
      <c r="N7" s="121"/>
      <c r="O7" s="121"/>
    </row>
    <row r="8" spans="1:15" x14ac:dyDescent="0.3">
      <c r="A8" s="120" t="s">
        <v>457</v>
      </c>
      <c r="B8" s="121" t="e">
        <f>Calcul!$BE$3+Calcul!$BF$3+Calcul!BJ3+Calcul!BK3</f>
        <v>#N/A</v>
      </c>
      <c r="C8" s="121">
        <f>Calcul!$BE$4+Calcul!$BF$4+Calcul!$BJ$4+Calcul!$BK$4</f>
        <v>0</v>
      </c>
      <c r="D8" s="121">
        <f>Calcul!$BE$5+Calcul!$BF$5+Calcul!$BJ$5+Calcul!$BK$5</f>
        <v>0</v>
      </c>
      <c r="E8" s="121">
        <f>Calcul!$BE$6+Calcul!$BF$6+Calcul!$BJ$6+Calcul!$BK$6</f>
        <v>0</v>
      </c>
      <c r="F8" s="121">
        <v>45.6</v>
      </c>
      <c r="G8" s="278"/>
      <c r="J8" s="121"/>
      <c r="K8" s="121"/>
      <c r="L8" s="121"/>
      <c r="M8" s="121"/>
      <c r="N8" s="121"/>
      <c r="O8" s="121"/>
    </row>
    <row r="9" spans="1:15" x14ac:dyDescent="0.3">
      <c r="A9" s="120" t="s">
        <v>458</v>
      </c>
      <c r="B9" s="121" t="e">
        <f>Calcul!$BA$3+Calcul!$AZ$3+Calcul!$AQ$3+Calcul!$AP$3</f>
        <v>#N/A</v>
      </c>
      <c r="C9" s="121">
        <f>Calcul!$BA$4+Calcul!$AZ$4+Calcul!$AQ$4+Calcul!$AP$4</f>
        <v>0</v>
      </c>
      <c r="D9" s="121">
        <f>Calcul!$BA$5+Calcul!$AZ$5+Calcul!$AQ$5+Calcul!$AP$5</f>
        <v>0</v>
      </c>
      <c r="E9" s="121">
        <f>Calcul!$BA$6+Calcul!$AZ$6+Calcul!$AQ$6+Calcul!$AP$6</f>
        <v>0</v>
      </c>
      <c r="F9" s="121"/>
      <c r="G9" s="121"/>
      <c r="J9" s="121"/>
      <c r="K9" s="121"/>
      <c r="L9" s="121"/>
      <c r="M9" s="121"/>
      <c r="N9" s="121"/>
      <c r="O9" s="121"/>
    </row>
    <row r="10" spans="1:15" x14ac:dyDescent="0.3">
      <c r="A10" s="120" t="s">
        <v>459</v>
      </c>
      <c r="B10" s="121">
        <f>Calcul!$DN$3+Calcul!$DO$3+Calcul!$DP$3+Calcul!$DQ$3</f>
        <v>0</v>
      </c>
      <c r="C10" s="121">
        <f>Calcul!$DN$4+Calcul!$DO$4+Calcul!$DP$4+Calcul!$DQ$4</f>
        <v>0</v>
      </c>
      <c r="D10" s="121">
        <f>Calcul!$DN$5+Calcul!$DO$5+Calcul!$DP$5+Calcul!$DQ$5</f>
        <v>0</v>
      </c>
      <c r="E10" s="121">
        <f>Calcul!$DN$6+Calcul!$DO$6+Calcul!$DP$6+Calcul!$DQ$6</f>
        <v>0</v>
      </c>
      <c r="F10" s="121">
        <v>3.27</v>
      </c>
      <c r="G10" s="121"/>
      <c r="J10" s="121"/>
      <c r="K10" s="121"/>
      <c r="L10" s="121"/>
      <c r="M10" s="121"/>
      <c r="N10" s="121"/>
      <c r="O10" s="121"/>
    </row>
    <row r="11" spans="1:15" x14ac:dyDescent="0.3">
      <c r="A11" s="120" t="s">
        <v>460</v>
      </c>
      <c r="B11" s="121" t="e">
        <f>Calcul!$DS$3+Calcul!$DU$3</f>
        <v>#VALUE!</v>
      </c>
      <c r="C11" s="121">
        <f>Calcul!$DS$4+Calcul!$DU$4</f>
        <v>0</v>
      </c>
      <c r="D11" s="121">
        <f>Calcul!$DS$5+Calcul!$DU$5</f>
        <v>0</v>
      </c>
      <c r="E11" s="121">
        <f>Calcul!$DS$6+Calcul!$DU$6</f>
        <v>0</v>
      </c>
      <c r="F11" s="121">
        <v>10.07</v>
      </c>
      <c r="G11" s="121"/>
      <c r="J11" s="121"/>
      <c r="K11" s="121"/>
      <c r="L11" s="121"/>
      <c r="M11" s="121"/>
      <c r="N11" s="121"/>
      <c r="O11" s="121"/>
    </row>
    <row r="12" spans="1:15" x14ac:dyDescent="0.3">
      <c r="A12" s="120" t="s">
        <v>132</v>
      </c>
      <c r="B12" s="121">
        <f>Calcul!$DL$3+Calcul!$DI$3</f>
        <v>0</v>
      </c>
      <c r="C12" s="121">
        <f>Calcul!$DL$4+Calcul!$DI$4</f>
        <v>0</v>
      </c>
      <c r="D12" s="121">
        <f>Calcul!$DL$5+Calcul!$DI$5</f>
        <v>0</v>
      </c>
      <c r="E12" s="121">
        <f>Calcul!$DL$6+Calcul!$DI$6</f>
        <v>0</v>
      </c>
      <c r="F12" s="121">
        <v>19.34</v>
      </c>
      <c r="G12" s="121"/>
      <c r="J12" s="121"/>
      <c r="K12" s="121"/>
      <c r="L12" s="121"/>
      <c r="M12" s="121"/>
      <c r="N12" s="121"/>
      <c r="O12" s="121"/>
    </row>
    <row r="13" spans="1:15" x14ac:dyDescent="0.3">
      <c r="A13" s="120" t="s">
        <v>461</v>
      </c>
      <c r="B13" s="121" t="e">
        <f>Calcul!$DX$3</f>
        <v>#N/A</v>
      </c>
      <c r="C13" s="121">
        <f>Calcul!$DX$4</f>
        <v>0</v>
      </c>
      <c r="D13" s="121">
        <f>Calcul!$DX$5</f>
        <v>0</v>
      </c>
      <c r="E13" s="121">
        <f>Calcul!$DX$6</f>
        <v>0</v>
      </c>
      <c r="F13" s="121">
        <v>15.77</v>
      </c>
      <c r="G13" s="121"/>
      <c r="J13" s="121"/>
      <c r="K13" s="121"/>
      <c r="L13" s="121"/>
      <c r="M13" s="121"/>
      <c r="N13" s="121"/>
      <c r="O13" s="121"/>
    </row>
    <row r="14" spans="1:15" x14ac:dyDescent="0.3">
      <c r="A14" s="120" t="s">
        <v>444</v>
      </c>
      <c r="B14" s="121" t="e">
        <f>Calcul!$DY$3</f>
        <v>#N/A</v>
      </c>
      <c r="C14" s="121">
        <f>Calcul!$DY$4</f>
        <v>0</v>
      </c>
      <c r="D14" s="121">
        <f>Calcul!$DY$5</f>
        <v>0</v>
      </c>
      <c r="E14" s="121">
        <f>Calcul!$DY$6</f>
        <v>0</v>
      </c>
      <c r="F14" s="121">
        <v>24</v>
      </c>
      <c r="G14" s="121"/>
      <c r="J14" s="121"/>
      <c r="K14" s="121"/>
      <c r="L14" s="121"/>
      <c r="M14" s="121"/>
      <c r="N14" s="121"/>
      <c r="O14" s="121"/>
    </row>
    <row r="15" spans="1:15" x14ac:dyDescent="0.3">
      <c r="A15" s="120" t="s">
        <v>462</v>
      </c>
      <c r="B15" s="121">
        <f>Calcul!$DZ$3</f>
        <v>50</v>
      </c>
      <c r="C15" s="121">
        <f>Calcul!$DZ$4</f>
        <v>0</v>
      </c>
      <c r="D15" s="121">
        <f>Calcul!$DZ$5</f>
        <v>0</v>
      </c>
      <c r="E15" s="121">
        <f>Calcul!$DZ$6</f>
        <v>0</v>
      </c>
      <c r="F15" s="121">
        <v>50</v>
      </c>
      <c r="G15" s="121"/>
      <c r="J15" s="121"/>
      <c r="K15" s="121"/>
      <c r="L15" s="121"/>
      <c r="M15" s="121"/>
      <c r="N15" s="121"/>
      <c r="O15" s="121"/>
    </row>
    <row r="16" spans="1:15" x14ac:dyDescent="0.3">
      <c r="A16" s="120" t="s">
        <v>463</v>
      </c>
      <c r="B16" s="121"/>
      <c r="C16" s="122"/>
      <c r="D16" s="122"/>
      <c r="E16" s="122"/>
      <c r="F16" s="122"/>
      <c r="G16" s="121"/>
      <c r="J16" s="121"/>
      <c r="K16" s="121"/>
      <c r="L16" s="121"/>
      <c r="M16" s="121"/>
      <c r="N16" s="121"/>
      <c r="O16" s="121"/>
    </row>
    <row r="17" spans="1:15" x14ac:dyDescent="0.3">
      <c r="A17" s="120" t="s">
        <v>464</v>
      </c>
      <c r="B17" s="121"/>
      <c r="C17" s="122"/>
      <c r="D17" s="122"/>
      <c r="E17" s="122"/>
      <c r="F17" s="122"/>
      <c r="G17" s="121"/>
      <c r="J17" s="121"/>
      <c r="K17" s="121"/>
      <c r="L17" s="121"/>
      <c r="M17" s="121"/>
      <c r="N17" s="121"/>
      <c r="O17" s="121"/>
    </row>
    <row r="18" spans="1:15" x14ac:dyDescent="0.3">
      <c r="A18" s="123" t="s">
        <v>465</v>
      </c>
      <c r="B18" s="124" t="e">
        <f>SUM(B3:B15)</f>
        <v>#N/A</v>
      </c>
      <c r="C18" s="124">
        <f t="shared" ref="C18:F18" si="0">SUM(C3:C15)</f>
        <v>0</v>
      </c>
      <c r="D18" s="124">
        <f t="shared" si="0"/>
        <v>0</v>
      </c>
      <c r="E18" s="124">
        <f t="shared" si="0"/>
        <v>0</v>
      </c>
      <c r="F18" s="124">
        <f t="shared" si="0"/>
        <v>474.46999999999997</v>
      </c>
      <c r="G18" s="126"/>
      <c r="H18" s="156"/>
      <c r="J18" s="124">
        <f t="shared" ref="J18:O18" si="1">SUM(J3:J15)</f>
        <v>0</v>
      </c>
      <c r="K18" s="124">
        <f t="shared" si="1"/>
        <v>0</v>
      </c>
      <c r="L18" s="124">
        <f t="shared" si="1"/>
        <v>0</v>
      </c>
      <c r="M18" s="124">
        <f t="shared" si="1"/>
        <v>0</v>
      </c>
      <c r="N18" s="124">
        <f t="shared" si="1"/>
        <v>0</v>
      </c>
      <c r="O18" s="124">
        <f t="shared" si="1"/>
        <v>0</v>
      </c>
    </row>
    <row r="19" spans="1:15" x14ac:dyDescent="0.3">
      <c r="B19" s="156" t="e">
        <f>B18/F18-1</f>
        <v>#N/A</v>
      </c>
      <c r="C19" s="156"/>
      <c r="D19" s="156"/>
      <c r="E19" s="156"/>
      <c r="F19" s="156"/>
      <c r="G19" s="119"/>
      <c r="H19" s="156"/>
      <c r="J19" s="114"/>
      <c r="K19" s="114"/>
      <c r="L19" s="114"/>
      <c r="M19" s="114"/>
      <c r="N19" s="114"/>
      <c r="O19" s="114"/>
    </row>
    <row r="20" spans="1:15" x14ac:dyDescent="0.3">
      <c r="B20" s="156"/>
      <c r="C20" s="245"/>
      <c r="D20" s="245"/>
      <c r="E20" s="245"/>
      <c r="F20" s="156"/>
      <c r="G20" s="119"/>
      <c r="J20" s="156"/>
      <c r="K20" s="156"/>
      <c r="L20" s="156"/>
      <c r="M20" s="156"/>
      <c r="N20" s="156"/>
      <c r="O20" s="156"/>
    </row>
    <row r="21" spans="1:15" x14ac:dyDescent="0.3">
      <c r="B21" s="156"/>
      <c r="C21" s="156"/>
      <c r="F21" s="114"/>
      <c r="J21" t="s">
        <v>466</v>
      </c>
      <c r="K21" s="114">
        <f>MIN(J18:O18)</f>
        <v>0</v>
      </c>
    </row>
    <row r="22" spans="1:15" x14ac:dyDescent="0.3">
      <c r="B22" s="156"/>
      <c r="C22" s="114"/>
      <c r="D22" s="114"/>
      <c r="E22" s="114"/>
      <c r="F22" s="114"/>
      <c r="J22" s="114" t="s">
        <v>329</v>
      </c>
      <c r="K22" s="114">
        <f>MAX(J18:O18)</f>
        <v>0</v>
      </c>
      <c r="L22" s="156" t="e">
        <f>K22/K21-1</f>
        <v>#DIV/0!</v>
      </c>
      <c r="M22" s="114"/>
      <c r="N22" s="114"/>
      <c r="O22" s="114"/>
    </row>
    <row r="23" spans="1:15" x14ac:dyDescent="0.3">
      <c r="B23" s="156"/>
      <c r="C23" s="156"/>
      <c r="D23" s="156"/>
      <c r="E23" s="156"/>
      <c r="J23" s="156"/>
      <c r="K23" s="156"/>
      <c r="L23" s="156"/>
      <c r="M23" s="156"/>
      <c r="N23" s="156"/>
      <c r="O23" s="15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5971C-984F-4978-8277-07DD72D020FD}">
  <sheetPr codeName="Feuil10">
    <tabColor theme="0" tint="-0.34998626667073579"/>
  </sheetPr>
  <dimension ref="A1:AP120"/>
  <sheetViews>
    <sheetView workbookViewId="0">
      <selection activeCell="E40" sqref="E40"/>
    </sheetView>
  </sheetViews>
  <sheetFormatPr baseColWidth="10" defaultColWidth="11.5546875" defaultRowHeight="13.8" outlineLevelRow="1" x14ac:dyDescent="0.3"/>
  <cols>
    <col min="1" max="1" width="24.6640625" style="20" customWidth="1"/>
    <col min="2" max="2" width="18.33203125" style="20" customWidth="1"/>
    <col min="3" max="3" width="17.33203125" style="20" customWidth="1"/>
    <col min="4" max="13" width="11.5546875" style="20"/>
    <col min="14" max="21" width="8.6640625" style="20" customWidth="1"/>
    <col min="22" max="27" width="8.109375" style="20" customWidth="1"/>
    <col min="28" max="30" width="9.44140625" style="20" customWidth="1"/>
    <col min="31" max="31" width="2.5546875" style="20" customWidth="1"/>
    <col min="32" max="34" width="11.5546875" style="20"/>
    <col min="35" max="35" width="2.6640625" style="20" customWidth="1"/>
    <col min="36" max="16384" width="11.5546875" style="20"/>
  </cols>
  <sheetData>
    <row r="1" spans="1:42" x14ac:dyDescent="0.3">
      <c r="A1" s="20" t="s">
        <v>467</v>
      </c>
      <c r="B1" s="20" t="s">
        <v>128</v>
      </c>
      <c r="G1" s="21"/>
      <c r="AF1" s="455"/>
      <c r="AG1" s="455"/>
      <c r="AH1" s="455"/>
      <c r="AI1" s="22"/>
    </row>
    <row r="2" spans="1:42" s="23" customFormat="1" ht="27.6" customHeight="1" x14ac:dyDescent="0.3">
      <c r="N2" s="454" t="s">
        <v>468</v>
      </c>
      <c r="O2" s="454"/>
      <c r="P2" s="454" t="s">
        <v>469</v>
      </c>
      <c r="Q2" s="454"/>
      <c r="R2" s="454" t="s">
        <v>470</v>
      </c>
      <c r="S2" s="454"/>
      <c r="T2" s="454" t="s">
        <v>471</v>
      </c>
      <c r="U2" s="454"/>
      <c r="V2" s="454" t="s">
        <v>472</v>
      </c>
      <c r="W2" s="454"/>
      <c r="X2" s="454"/>
      <c r="Y2" s="454" t="s">
        <v>473</v>
      </c>
      <c r="Z2" s="454"/>
      <c r="AA2" s="454"/>
      <c r="AB2" s="454" t="s">
        <v>474</v>
      </c>
      <c r="AC2" s="454"/>
      <c r="AD2" s="454"/>
      <c r="AF2" s="454" t="s">
        <v>34</v>
      </c>
      <c r="AG2" s="454"/>
      <c r="AH2" s="454"/>
      <c r="AI2" s="22"/>
      <c r="AJ2" s="454" t="s">
        <v>475</v>
      </c>
      <c r="AK2" s="454"/>
      <c r="AM2" s="23" t="s">
        <v>476</v>
      </c>
    </row>
    <row r="3" spans="1:42" s="25" customFormat="1" ht="27.6" x14ac:dyDescent="0.3">
      <c r="A3" s="27" t="s">
        <v>128</v>
      </c>
      <c r="B3" s="27" t="s">
        <v>477</v>
      </c>
      <c r="C3" s="27" t="s">
        <v>478</v>
      </c>
      <c r="D3" s="27" t="s">
        <v>479</v>
      </c>
      <c r="E3" s="27" t="s">
        <v>480</v>
      </c>
      <c r="F3" s="27" t="s">
        <v>481</v>
      </c>
      <c r="G3" s="27" t="s">
        <v>482</v>
      </c>
      <c r="H3" s="27" t="s">
        <v>483</v>
      </c>
      <c r="I3" s="27" t="s">
        <v>484</v>
      </c>
      <c r="J3" s="27" t="s">
        <v>485</v>
      </c>
      <c r="K3" s="27" t="s">
        <v>486</v>
      </c>
      <c r="L3" s="27" t="s">
        <v>417</v>
      </c>
      <c r="M3" s="27" t="s">
        <v>487</v>
      </c>
      <c r="N3" s="27" t="s">
        <v>488</v>
      </c>
      <c r="O3" s="27" t="s">
        <v>489</v>
      </c>
      <c r="P3" s="27" t="s">
        <v>488</v>
      </c>
      <c r="Q3" s="27" t="s">
        <v>489</v>
      </c>
      <c r="R3" s="27" t="s">
        <v>488</v>
      </c>
      <c r="S3" s="27" t="s">
        <v>489</v>
      </c>
      <c r="T3" s="27" t="s">
        <v>488</v>
      </c>
      <c r="U3" s="27" t="s">
        <v>489</v>
      </c>
      <c r="V3" s="27" t="s">
        <v>490</v>
      </c>
      <c r="W3" s="27" t="s">
        <v>488</v>
      </c>
      <c r="X3" s="27" t="s">
        <v>489</v>
      </c>
      <c r="Y3" s="27" t="s">
        <v>490</v>
      </c>
      <c r="Z3" s="27" t="s">
        <v>488</v>
      </c>
      <c r="AA3" s="27" t="s">
        <v>489</v>
      </c>
      <c r="AB3" s="27" t="s">
        <v>491</v>
      </c>
      <c r="AC3" s="27" t="s">
        <v>492</v>
      </c>
      <c r="AD3" s="27" t="s">
        <v>493</v>
      </c>
      <c r="AE3" s="24"/>
      <c r="AF3" s="27" t="s">
        <v>494</v>
      </c>
      <c r="AG3" s="27" t="s">
        <v>495</v>
      </c>
      <c r="AH3" s="27" t="s">
        <v>496</v>
      </c>
      <c r="AI3" s="22"/>
      <c r="AJ3" s="27" t="s">
        <v>497</v>
      </c>
      <c r="AK3" s="27" t="s">
        <v>498</v>
      </c>
      <c r="AM3" s="25" t="s">
        <v>499</v>
      </c>
      <c r="AN3" s="25" t="s">
        <v>500</v>
      </c>
    </row>
    <row r="4" spans="1:42" x14ac:dyDescent="0.3">
      <c r="B4" s="26" t="s">
        <v>331</v>
      </c>
      <c r="C4" s="20">
        <v>200</v>
      </c>
      <c r="D4" s="20">
        <v>333</v>
      </c>
      <c r="E4" s="20">
        <v>0</v>
      </c>
      <c r="F4" s="20">
        <v>0</v>
      </c>
      <c r="G4" s="21">
        <f t="shared" ref="G4:G10" si="0">25/60</f>
        <v>0.41666666666666669</v>
      </c>
      <c r="H4" s="310"/>
      <c r="I4" s="310"/>
      <c r="J4" s="310"/>
      <c r="K4" s="310">
        <v>210</v>
      </c>
      <c r="L4" s="20">
        <v>3600</v>
      </c>
      <c r="M4" s="305" t="s">
        <v>501</v>
      </c>
      <c r="AB4" s="21">
        <f t="shared" ref="AB4:AB10" si="1">8/60</f>
        <v>0.13333333333333333</v>
      </c>
      <c r="AC4" s="20">
        <v>2000</v>
      </c>
      <c r="AD4" s="20">
        <v>10</v>
      </c>
      <c r="AE4" s="23"/>
      <c r="AF4" s="20">
        <v>0</v>
      </c>
      <c r="AG4" s="20">
        <v>0</v>
      </c>
      <c r="AH4" s="20">
        <v>99999</v>
      </c>
      <c r="AI4" s="22"/>
      <c r="AJ4" s="62">
        <f t="shared" ref="AJ4:AJ10" si="2">2/60</f>
        <v>3.3333333333333333E-2</v>
      </c>
      <c r="AK4" s="20">
        <v>20</v>
      </c>
    </row>
    <row r="5" spans="1:42" x14ac:dyDescent="0.3">
      <c r="B5" s="26" t="s">
        <v>332</v>
      </c>
      <c r="C5" s="20">
        <v>200</v>
      </c>
      <c r="D5" s="20">
        <v>333</v>
      </c>
      <c r="E5" s="20">
        <v>0</v>
      </c>
      <c r="F5" s="20">
        <v>0</v>
      </c>
      <c r="G5" s="21">
        <f t="shared" si="0"/>
        <v>0.41666666666666669</v>
      </c>
      <c r="H5" s="310"/>
      <c r="I5" s="310"/>
      <c r="J5" s="310"/>
      <c r="K5" s="310">
        <v>210</v>
      </c>
      <c r="L5" s="20">
        <v>3600</v>
      </c>
      <c r="M5" s="305" t="s">
        <v>501</v>
      </c>
      <c r="AB5" s="21">
        <f t="shared" si="1"/>
        <v>0.13333333333333333</v>
      </c>
      <c r="AC5" s="20">
        <v>2000</v>
      </c>
      <c r="AD5" s="20">
        <v>10</v>
      </c>
      <c r="AE5" s="23"/>
      <c r="AF5" s="20">
        <v>0</v>
      </c>
      <c r="AG5" s="20">
        <v>0</v>
      </c>
      <c r="AH5" s="20">
        <v>99999</v>
      </c>
      <c r="AI5" s="22"/>
      <c r="AJ5" s="62">
        <f t="shared" si="2"/>
        <v>3.3333333333333333E-2</v>
      </c>
      <c r="AK5" s="20">
        <v>20</v>
      </c>
    </row>
    <row r="6" spans="1:42" x14ac:dyDescent="0.3">
      <c r="B6" s="26" t="s">
        <v>333</v>
      </c>
      <c r="C6" s="20">
        <v>200</v>
      </c>
      <c r="D6" s="20">
        <v>333</v>
      </c>
      <c r="E6" s="20">
        <v>0</v>
      </c>
      <c r="F6" s="20">
        <v>0</v>
      </c>
      <c r="G6" s="21">
        <f t="shared" si="0"/>
        <v>0.41666666666666669</v>
      </c>
      <c r="H6" s="310"/>
      <c r="I6" s="310"/>
      <c r="J6" s="310"/>
      <c r="K6" s="310">
        <v>210</v>
      </c>
      <c r="L6" s="20">
        <v>3600</v>
      </c>
      <c r="M6" s="305" t="s">
        <v>501</v>
      </c>
      <c r="AB6" s="21">
        <f t="shared" si="1"/>
        <v>0.13333333333333333</v>
      </c>
      <c r="AC6" s="20">
        <v>2000</v>
      </c>
      <c r="AD6" s="20">
        <v>10</v>
      </c>
      <c r="AE6" s="23"/>
      <c r="AF6" s="20">
        <v>0</v>
      </c>
      <c r="AG6" s="20">
        <v>0</v>
      </c>
      <c r="AH6" s="20">
        <v>99999</v>
      </c>
      <c r="AI6" s="22"/>
      <c r="AJ6" s="62">
        <f t="shared" si="2"/>
        <v>3.3333333333333333E-2</v>
      </c>
      <c r="AK6" s="20">
        <v>20</v>
      </c>
    </row>
    <row r="7" spans="1:42" x14ac:dyDescent="0.3">
      <c r="B7" s="26" t="s">
        <v>334</v>
      </c>
      <c r="C7" s="20">
        <v>200</v>
      </c>
      <c r="D7" s="20">
        <v>333</v>
      </c>
      <c r="E7" s="20">
        <v>0</v>
      </c>
      <c r="F7" s="20">
        <v>0</v>
      </c>
      <c r="G7" s="21">
        <f t="shared" si="0"/>
        <v>0.41666666666666669</v>
      </c>
      <c r="H7" s="310"/>
      <c r="I7" s="310"/>
      <c r="J7" s="310"/>
      <c r="K7" s="310">
        <v>210</v>
      </c>
      <c r="L7" s="20">
        <v>3600</v>
      </c>
      <c r="M7" s="305" t="s">
        <v>501</v>
      </c>
      <c r="AB7" s="21">
        <f t="shared" si="1"/>
        <v>0.13333333333333333</v>
      </c>
      <c r="AC7" s="20">
        <v>2000</v>
      </c>
      <c r="AD7" s="20">
        <v>10</v>
      </c>
      <c r="AE7" s="23"/>
      <c r="AF7" s="20">
        <v>0</v>
      </c>
      <c r="AG7" s="20">
        <v>0</v>
      </c>
      <c r="AH7" s="20">
        <v>99999</v>
      </c>
      <c r="AI7" s="22"/>
      <c r="AJ7" s="62">
        <f t="shared" si="2"/>
        <v>3.3333333333333333E-2</v>
      </c>
      <c r="AK7" s="20">
        <v>20</v>
      </c>
    </row>
    <row r="8" spans="1:42" x14ac:dyDescent="0.3">
      <c r="B8" s="26" t="s">
        <v>335</v>
      </c>
      <c r="C8" s="20">
        <v>200</v>
      </c>
      <c r="D8" s="20">
        <v>333</v>
      </c>
      <c r="E8" s="20">
        <v>0</v>
      </c>
      <c r="F8" s="20">
        <v>0</v>
      </c>
      <c r="G8" s="21">
        <f t="shared" si="0"/>
        <v>0.41666666666666669</v>
      </c>
      <c r="H8" s="310"/>
      <c r="I8" s="310"/>
      <c r="J8" s="310"/>
      <c r="K8" s="310">
        <v>210</v>
      </c>
      <c r="L8" s="20">
        <v>3600</v>
      </c>
      <c r="M8" s="305" t="s">
        <v>501</v>
      </c>
      <c r="AB8" s="21">
        <f t="shared" si="1"/>
        <v>0.13333333333333333</v>
      </c>
      <c r="AC8" s="20">
        <v>2000</v>
      </c>
      <c r="AD8" s="20">
        <v>10</v>
      </c>
      <c r="AE8" s="23"/>
      <c r="AF8" s="21">
        <f>50/60</f>
        <v>0.83333333333333337</v>
      </c>
      <c r="AG8" s="20">
        <v>0</v>
      </c>
      <c r="AH8" s="20">
        <v>99999</v>
      </c>
      <c r="AI8" s="22"/>
      <c r="AJ8" s="62">
        <f t="shared" si="2"/>
        <v>3.3333333333333333E-2</v>
      </c>
      <c r="AK8" s="20">
        <v>20</v>
      </c>
    </row>
    <row r="9" spans="1:42" x14ac:dyDescent="0.3">
      <c r="B9" s="26" t="s">
        <v>336</v>
      </c>
      <c r="C9" s="20">
        <v>200</v>
      </c>
      <c r="D9" s="20">
        <v>333</v>
      </c>
      <c r="E9" s="20">
        <v>0</v>
      </c>
      <c r="F9" s="20">
        <v>0</v>
      </c>
      <c r="G9" s="21">
        <f t="shared" si="0"/>
        <v>0.41666666666666669</v>
      </c>
      <c r="H9" s="310"/>
      <c r="I9" s="310"/>
      <c r="J9" s="310"/>
      <c r="K9" s="310">
        <v>210</v>
      </c>
      <c r="L9" s="20">
        <v>3600</v>
      </c>
      <c r="M9" s="305" t="s">
        <v>501</v>
      </c>
      <c r="AB9" s="21">
        <f t="shared" si="1"/>
        <v>0.13333333333333333</v>
      </c>
      <c r="AC9" s="20">
        <v>2000</v>
      </c>
      <c r="AD9" s="20">
        <v>10</v>
      </c>
      <c r="AE9" s="23"/>
      <c r="AF9" s="20">
        <v>0</v>
      </c>
      <c r="AG9" s="20">
        <v>0</v>
      </c>
      <c r="AH9" s="20">
        <v>99999</v>
      </c>
      <c r="AI9" s="22"/>
      <c r="AJ9" s="62">
        <f t="shared" si="2"/>
        <v>3.3333333333333333E-2</v>
      </c>
      <c r="AK9" s="20">
        <v>20</v>
      </c>
    </row>
    <row r="10" spans="1:42" x14ac:dyDescent="0.3">
      <c r="B10" s="26" t="s">
        <v>337</v>
      </c>
      <c r="C10" s="20">
        <v>200</v>
      </c>
      <c r="D10" s="20">
        <v>333</v>
      </c>
      <c r="E10" s="20">
        <v>0</v>
      </c>
      <c r="F10" s="20">
        <v>0</v>
      </c>
      <c r="G10" s="21">
        <f t="shared" si="0"/>
        <v>0.41666666666666669</v>
      </c>
      <c r="H10" s="310"/>
      <c r="I10" s="310"/>
      <c r="J10" s="310"/>
      <c r="K10" s="310">
        <v>210</v>
      </c>
      <c r="L10" s="20">
        <v>3600</v>
      </c>
      <c r="M10" s="305" t="s">
        <v>501</v>
      </c>
      <c r="AB10" s="21">
        <f t="shared" si="1"/>
        <v>0.13333333333333333</v>
      </c>
      <c r="AC10" s="20">
        <v>2000</v>
      </c>
      <c r="AD10" s="20">
        <v>10</v>
      </c>
      <c r="AE10" s="23"/>
      <c r="AF10" s="20">
        <v>0</v>
      </c>
      <c r="AG10" s="20">
        <v>0</v>
      </c>
      <c r="AH10" s="20">
        <v>99999</v>
      </c>
      <c r="AI10" s="22"/>
      <c r="AJ10" s="62">
        <f t="shared" si="2"/>
        <v>3.3333333333333333E-2</v>
      </c>
      <c r="AK10" s="20">
        <v>20</v>
      </c>
    </row>
    <row r="11" spans="1:42" ht="14.4" hidden="1" outlineLevel="1" thickBot="1" x14ac:dyDescent="0.35">
      <c r="B11" s="257" t="s">
        <v>338</v>
      </c>
      <c r="C11" s="20">
        <v>200</v>
      </c>
      <c r="D11" s="311">
        <v>333</v>
      </c>
      <c r="E11" s="311">
        <v>12</v>
      </c>
      <c r="F11" s="312">
        <v>5.0000000000000001E-3</v>
      </c>
      <c r="G11" s="313">
        <f>25/60</f>
        <v>0.41666666666666669</v>
      </c>
      <c r="H11" s="314">
        <f>H9</f>
        <v>0</v>
      </c>
      <c r="I11" s="314">
        <f>I9</f>
        <v>0</v>
      </c>
      <c r="J11" s="314">
        <f>J9</f>
        <v>0</v>
      </c>
      <c r="K11" s="314">
        <f>(H11+I11+J11)*(1+$B$100)</f>
        <v>0</v>
      </c>
      <c r="L11" s="311">
        <v>3600</v>
      </c>
      <c r="M11" s="306" t="s">
        <v>501</v>
      </c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  <c r="AB11" s="307">
        <f>5/60</f>
        <v>8.3333333333333329E-2</v>
      </c>
      <c r="AC11" s="258">
        <v>3000</v>
      </c>
      <c r="AD11" s="258">
        <v>10</v>
      </c>
      <c r="AE11" s="260"/>
      <c r="AF11" s="258">
        <v>0</v>
      </c>
      <c r="AG11" s="258">
        <v>0</v>
      </c>
      <c r="AH11" s="258">
        <v>99999</v>
      </c>
      <c r="AI11" s="261"/>
      <c r="AJ11" s="259">
        <f>2/60</f>
        <v>3.3333333333333333E-2</v>
      </c>
      <c r="AK11" s="262">
        <v>4</v>
      </c>
    </row>
    <row r="12" spans="1:42" collapsed="1" x14ac:dyDescent="0.3">
      <c r="B12" s="26"/>
      <c r="G12" s="315"/>
      <c r="H12" s="310"/>
      <c r="I12" s="310"/>
      <c r="J12" s="310"/>
      <c r="K12" s="310"/>
      <c r="M12" s="305"/>
      <c r="AB12" s="21"/>
      <c r="AE12" s="23"/>
      <c r="AI12" s="22"/>
      <c r="AJ12" s="62"/>
    </row>
    <row r="13" spans="1:42" x14ac:dyDescent="0.3">
      <c r="A13" s="20" t="s">
        <v>11</v>
      </c>
      <c r="B13" s="26" t="s">
        <v>339</v>
      </c>
      <c r="C13" s="20">
        <v>130</v>
      </c>
      <c r="D13" s="20">
        <v>333</v>
      </c>
      <c r="E13" s="20">
        <v>0</v>
      </c>
      <c r="F13" s="20">
        <v>0</v>
      </c>
      <c r="G13" s="315">
        <v>0</v>
      </c>
      <c r="H13" s="310"/>
      <c r="I13" s="310"/>
      <c r="J13" s="310"/>
      <c r="K13" s="310">
        <v>107</v>
      </c>
      <c r="L13" s="20">
        <v>9000</v>
      </c>
      <c r="M13" s="305" t="s">
        <v>501</v>
      </c>
      <c r="N13" s="20">
        <f>5/60</f>
        <v>8.3333333333333329E-2</v>
      </c>
      <c r="O13" s="20">
        <f>15/60</f>
        <v>0.25</v>
      </c>
      <c r="P13" s="20">
        <v>1</v>
      </c>
      <c r="Q13" s="20">
        <v>1</v>
      </c>
      <c r="R13" s="20">
        <v>50</v>
      </c>
      <c r="S13" s="20">
        <v>50</v>
      </c>
      <c r="T13" s="20">
        <v>100</v>
      </c>
      <c r="U13" s="20">
        <v>100</v>
      </c>
      <c r="V13" s="20">
        <v>2</v>
      </c>
      <c r="W13" s="20">
        <v>2</v>
      </c>
      <c r="X13" s="20">
        <v>10</v>
      </c>
      <c r="Y13" s="20">
        <v>100</v>
      </c>
      <c r="Z13" s="20">
        <v>100</v>
      </c>
      <c r="AA13" s="20">
        <v>100</v>
      </c>
      <c r="AB13" s="21">
        <f>8/60</f>
        <v>0.13333333333333333</v>
      </c>
      <c r="AC13" s="20">
        <v>2000</v>
      </c>
      <c r="AD13" s="20">
        <v>10</v>
      </c>
      <c r="AI13" s="22"/>
      <c r="AM13" s="216">
        <v>0</v>
      </c>
      <c r="AN13" s="216">
        <v>0</v>
      </c>
      <c r="AP13" s="20" t="s">
        <v>11</v>
      </c>
    </row>
    <row r="14" spans="1:42" x14ac:dyDescent="0.3">
      <c r="A14" s="20" t="s">
        <v>139</v>
      </c>
      <c r="B14" s="26" t="s">
        <v>340</v>
      </c>
      <c r="C14" s="20">
        <f>C13</f>
        <v>130</v>
      </c>
      <c r="D14" s="20">
        <v>333</v>
      </c>
      <c r="E14" s="20">
        <f t="shared" ref="E14:AD15" si="3">E13</f>
        <v>0</v>
      </c>
      <c r="F14" s="20">
        <f t="shared" si="3"/>
        <v>0</v>
      </c>
      <c r="G14" s="315">
        <f t="shared" si="3"/>
        <v>0</v>
      </c>
      <c r="H14" s="310"/>
      <c r="I14" s="310"/>
      <c r="J14" s="310"/>
      <c r="K14" s="310">
        <v>107</v>
      </c>
      <c r="L14" s="20">
        <v>9000</v>
      </c>
      <c r="M14" s="305" t="s">
        <v>501</v>
      </c>
      <c r="N14" s="20">
        <f t="shared" si="3"/>
        <v>8.3333333333333329E-2</v>
      </c>
      <c r="O14" s="20">
        <f t="shared" si="3"/>
        <v>0.25</v>
      </c>
      <c r="P14" s="20">
        <f t="shared" si="3"/>
        <v>1</v>
      </c>
      <c r="Q14" s="20">
        <f t="shared" si="3"/>
        <v>1</v>
      </c>
      <c r="R14" s="20">
        <f t="shared" si="3"/>
        <v>50</v>
      </c>
      <c r="S14" s="20">
        <f t="shared" si="3"/>
        <v>50</v>
      </c>
      <c r="T14" s="20">
        <f t="shared" si="3"/>
        <v>100</v>
      </c>
      <c r="U14" s="20">
        <f t="shared" si="3"/>
        <v>100</v>
      </c>
      <c r="V14" s="20">
        <f t="shared" si="3"/>
        <v>2</v>
      </c>
      <c r="W14" s="20">
        <f t="shared" si="3"/>
        <v>2</v>
      </c>
      <c r="X14" s="20">
        <f t="shared" si="3"/>
        <v>10</v>
      </c>
      <c r="Y14" s="20">
        <f t="shared" si="3"/>
        <v>100</v>
      </c>
      <c r="Z14" s="20">
        <f t="shared" si="3"/>
        <v>100</v>
      </c>
      <c r="AA14" s="20">
        <f t="shared" si="3"/>
        <v>100</v>
      </c>
      <c r="AB14" s="21">
        <f t="shared" si="3"/>
        <v>0.13333333333333333</v>
      </c>
      <c r="AC14" s="20">
        <f t="shared" si="3"/>
        <v>2000</v>
      </c>
      <c r="AD14" s="20">
        <f t="shared" si="3"/>
        <v>10</v>
      </c>
      <c r="AI14" s="22"/>
      <c r="AM14" s="216">
        <v>53.18</v>
      </c>
      <c r="AN14" s="216">
        <v>53.18</v>
      </c>
      <c r="AP14" s="20" t="s">
        <v>139</v>
      </c>
    </row>
    <row r="15" spans="1:42" x14ac:dyDescent="0.3">
      <c r="A15" s="20" t="s">
        <v>141</v>
      </c>
      <c r="B15" s="26" t="s">
        <v>341</v>
      </c>
      <c r="C15" s="20">
        <v>150</v>
      </c>
      <c r="D15" s="20">
        <v>333</v>
      </c>
      <c r="E15" s="20">
        <v>0</v>
      </c>
      <c r="F15" s="20">
        <v>0</v>
      </c>
      <c r="G15" s="315">
        <v>0</v>
      </c>
      <c r="H15" s="310"/>
      <c r="I15" s="310"/>
      <c r="J15" s="310"/>
      <c r="K15" s="310">
        <v>107</v>
      </c>
      <c r="L15" s="378">
        <v>1600</v>
      </c>
      <c r="M15" s="305" t="str">
        <f t="shared" si="3"/>
        <v>f/heure</v>
      </c>
      <c r="N15" s="378">
        <f>5/60</f>
        <v>8.3333333333333329E-2</v>
      </c>
      <c r="P15" s="381">
        <f>25/60</f>
        <v>0.41666666666666669</v>
      </c>
      <c r="R15" s="378">
        <v>25</v>
      </c>
      <c r="T15" s="378">
        <v>50</v>
      </c>
      <c r="V15" s="382">
        <v>2.5</v>
      </c>
      <c r="W15" s="382">
        <v>2.5</v>
      </c>
      <c r="Y15" s="378">
        <v>100</v>
      </c>
      <c r="Z15" s="378">
        <v>100</v>
      </c>
      <c r="AB15" s="380">
        <f>8/60</f>
        <v>0.13333333333333333</v>
      </c>
      <c r="AC15" s="378">
        <v>2000</v>
      </c>
      <c r="AD15" s="378">
        <v>100</v>
      </c>
      <c r="AI15" s="22"/>
      <c r="AM15" s="216">
        <v>0</v>
      </c>
      <c r="AN15" s="216">
        <v>0</v>
      </c>
      <c r="AP15" s="20" t="s">
        <v>141</v>
      </c>
    </row>
    <row r="16" spans="1:42" x14ac:dyDescent="0.3">
      <c r="A16" s="20" t="s">
        <v>147</v>
      </c>
      <c r="B16" s="26" t="s">
        <v>342</v>
      </c>
      <c r="C16" s="20">
        <v>130</v>
      </c>
      <c r="D16" s="20">
        <v>333</v>
      </c>
      <c r="E16" s="20">
        <f>E14</f>
        <v>0</v>
      </c>
      <c r="F16" s="20">
        <f t="shared" ref="F16:AK17" si="4">F14</f>
        <v>0</v>
      </c>
      <c r="G16" s="315">
        <f t="shared" si="4"/>
        <v>0</v>
      </c>
      <c r="H16" s="310"/>
      <c r="I16" s="310"/>
      <c r="J16" s="310"/>
      <c r="K16" s="310">
        <v>107</v>
      </c>
      <c r="L16" s="20">
        <v>9000</v>
      </c>
      <c r="M16" s="305" t="str">
        <f t="shared" si="4"/>
        <v>f/heure</v>
      </c>
      <c r="N16" s="20">
        <f t="shared" si="4"/>
        <v>8.3333333333333329E-2</v>
      </c>
      <c r="O16" s="20">
        <f t="shared" si="4"/>
        <v>0.25</v>
      </c>
      <c r="P16" s="20">
        <f t="shared" si="4"/>
        <v>1</v>
      </c>
      <c r="Q16" s="20">
        <f t="shared" si="4"/>
        <v>1</v>
      </c>
      <c r="R16" s="20">
        <f t="shared" si="4"/>
        <v>50</v>
      </c>
      <c r="S16" s="20">
        <f t="shared" si="4"/>
        <v>50</v>
      </c>
      <c r="T16" s="20">
        <f t="shared" si="4"/>
        <v>100</v>
      </c>
      <c r="U16" s="20">
        <f t="shared" si="4"/>
        <v>100</v>
      </c>
      <c r="V16" s="20">
        <f t="shared" si="4"/>
        <v>2</v>
      </c>
      <c r="W16" s="20">
        <f t="shared" si="4"/>
        <v>2</v>
      </c>
      <c r="X16" s="20">
        <f t="shared" si="4"/>
        <v>10</v>
      </c>
      <c r="Y16" s="20">
        <f t="shared" si="4"/>
        <v>100</v>
      </c>
      <c r="Z16" s="20">
        <f t="shared" si="4"/>
        <v>100</v>
      </c>
      <c r="AA16" s="20">
        <f t="shared" si="4"/>
        <v>100</v>
      </c>
      <c r="AB16" s="21">
        <f t="shared" si="4"/>
        <v>0.13333333333333333</v>
      </c>
      <c r="AC16" s="20">
        <f t="shared" si="4"/>
        <v>2000</v>
      </c>
      <c r="AD16" s="20">
        <f t="shared" si="4"/>
        <v>10</v>
      </c>
      <c r="AF16" s="20">
        <f t="shared" si="4"/>
        <v>0</v>
      </c>
      <c r="AG16" s="20">
        <f t="shared" si="4"/>
        <v>0</v>
      </c>
      <c r="AH16" s="20">
        <f t="shared" si="4"/>
        <v>0</v>
      </c>
      <c r="AI16" s="22"/>
      <c r="AJ16" s="20">
        <f t="shared" si="4"/>
        <v>0</v>
      </c>
      <c r="AK16" s="20">
        <f t="shared" si="4"/>
        <v>0</v>
      </c>
      <c r="AM16" s="216">
        <v>6</v>
      </c>
      <c r="AN16" s="216">
        <v>53.18</v>
      </c>
      <c r="AP16" s="20" t="s">
        <v>147</v>
      </c>
    </row>
    <row r="17" spans="1:42" x14ac:dyDescent="0.3">
      <c r="A17" s="20" t="s">
        <v>155</v>
      </c>
      <c r="B17" s="26" t="s">
        <v>343</v>
      </c>
      <c r="C17" s="20">
        <v>100</v>
      </c>
      <c r="D17" s="20">
        <v>333</v>
      </c>
      <c r="E17" s="20">
        <f>E15</f>
        <v>0</v>
      </c>
      <c r="F17" s="20">
        <f t="shared" si="4"/>
        <v>0</v>
      </c>
      <c r="G17" s="315">
        <f t="shared" si="4"/>
        <v>0</v>
      </c>
      <c r="H17" s="310"/>
      <c r="I17" s="310"/>
      <c r="J17" s="310"/>
      <c r="K17" s="310">
        <v>107</v>
      </c>
      <c r="L17" s="20">
        <v>4000</v>
      </c>
      <c r="M17" s="305" t="str">
        <f t="shared" si="4"/>
        <v>f/heure</v>
      </c>
      <c r="N17" s="20">
        <f>5/60</f>
        <v>8.3333333333333329E-2</v>
      </c>
      <c r="O17" s="20">
        <f>15/60</f>
        <v>0.25</v>
      </c>
      <c r="P17" s="20">
        <v>1</v>
      </c>
      <c r="Q17" s="20">
        <v>1</v>
      </c>
      <c r="R17" s="20">
        <v>50</v>
      </c>
      <c r="S17" s="20">
        <v>50</v>
      </c>
      <c r="T17" s="20">
        <v>100</v>
      </c>
      <c r="U17" s="20">
        <v>100</v>
      </c>
      <c r="V17" s="20">
        <v>2</v>
      </c>
      <c r="W17" s="20">
        <v>2</v>
      </c>
      <c r="X17" s="20">
        <v>10</v>
      </c>
      <c r="Y17" s="20">
        <v>100</v>
      </c>
      <c r="Z17" s="20">
        <v>100</v>
      </c>
      <c r="AA17" s="20">
        <v>100</v>
      </c>
      <c r="AB17" s="21">
        <f>8/60</f>
        <v>0.13333333333333333</v>
      </c>
      <c r="AC17" s="20">
        <v>2000</v>
      </c>
      <c r="AD17" s="20">
        <v>70</v>
      </c>
      <c r="AI17" s="22"/>
      <c r="AM17" s="216">
        <v>0</v>
      </c>
      <c r="AN17" s="216">
        <v>0</v>
      </c>
      <c r="AP17" s="20" t="s">
        <v>155</v>
      </c>
    </row>
    <row r="18" spans="1:42" x14ac:dyDescent="0.3">
      <c r="A18" s="20" t="s">
        <v>170</v>
      </c>
      <c r="B18" s="26" t="s">
        <v>345</v>
      </c>
      <c r="C18" s="20">
        <v>130</v>
      </c>
      <c r="D18" s="20">
        <v>333</v>
      </c>
      <c r="E18" s="20">
        <v>0</v>
      </c>
      <c r="F18" s="20">
        <v>0</v>
      </c>
      <c r="G18" s="315">
        <v>0</v>
      </c>
      <c r="H18" s="310"/>
      <c r="I18" s="310"/>
      <c r="J18" s="310"/>
      <c r="K18" s="310">
        <v>107</v>
      </c>
      <c r="L18" s="20">
        <v>9000</v>
      </c>
      <c r="M18" s="305" t="s">
        <v>501</v>
      </c>
      <c r="N18" s="20">
        <v>8.3333333333333329E-2</v>
      </c>
      <c r="O18" s="20">
        <v>0.25</v>
      </c>
      <c r="P18" s="20">
        <v>1</v>
      </c>
      <c r="Q18" s="20">
        <v>1</v>
      </c>
      <c r="R18" s="20">
        <v>50</v>
      </c>
      <c r="S18" s="20">
        <v>50</v>
      </c>
      <c r="T18" s="20">
        <v>100</v>
      </c>
      <c r="U18" s="20">
        <v>100</v>
      </c>
      <c r="V18" s="20">
        <v>2</v>
      </c>
      <c r="W18" s="20">
        <v>2</v>
      </c>
      <c r="X18" s="20">
        <v>10</v>
      </c>
      <c r="Y18" s="20">
        <v>100</v>
      </c>
      <c r="Z18" s="20">
        <v>100</v>
      </c>
      <c r="AA18" s="20">
        <v>100</v>
      </c>
      <c r="AB18" s="21">
        <v>0.13333333333333333</v>
      </c>
      <c r="AC18" s="20">
        <v>2000</v>
      </c>
      <c r="AD18" s="20">
        <v>10</v>
      </c>
      <c r="AI18" s="22"/>
      <c r="AM18" s="216">
        <v>0</v>
      </c>
      <c r="AN18" s="216">
        <v>0</v>
      </c>
      <c r="AP18" s="20" t="s">
        <v>170</v>
      </c>
    </row>
    <row r="19" spans="1:42" x14ac:dyDescent="0.3">
      <c r="A19" s="20" t="s">
        <v>174</v>
      </c>
      <c r="B19" s="26" t="s">
        <v>344</v>
      </c>
      <c r="C19" s="20">
        <v>130</v>
      </c>
      <c r="D19" s="20">
        <v>333</v>
      </c>
      <c r="E19" s="20">
        <v>0</v>
      </c>
      <c r="F19" s="20">
        <v>0</v>
      </c>
      <c r="G19" s="315">
        <v>0</v>
      </c>
      <c r="H19" s="310"/>
      <c r="I19" s="310"/>
      <c r="J19" s="310"/>
      <c r="K19" s="310">
        <v>107</v>
      </c>
      <c r="L19" s="20">
        <v>9000</v>
      </c>
      <c r="M19" s="305" t="s">
        <v>501</v>
      </c>
      <c r="N19" s="20">
        <v>8.3333333333333329E-2</v>
      </c>
      <c r="O19" s="20">
        <v>0.25</v>
      </c>
      <c r="P19" s="20">
        <v>1</v>
      </c>
      <c r="Q19" s="20">
        <v>1</v>
      </c>
      <c r="R19" s="20">
        <v>50</v>
      </c>
      <c r="S19" s="20">
        <v>50</v>
      </c>
      <c r="T19" s="20">
        <v>100</v>
      </c>
      <c r="U19" s="20">
        <v>100</v>
      </c>
      <c r="V19" s="20">
        <v>2</v>
      </c>
      <c r="W19" s="20">
        <v>2</v>
      </c>
      <c r="X19" s="20">
        <v>10</v>
      </c>
      <c r="Y19" s="20">
        <v>100</v>
      </c>
      <c r="Z19" s="20">
        <v>100</v>
      </c>
      <c r="AA19" s="20">
        <v>100</v>
      </c>
      <c r="AB19" s="21">
        <v>0.13333333333333333</v>
      </c>
      <c r="AC19" s="20">
        <v>2000</v>
      </c>
      <c r="AD19" s="20">
        <v>10</v>
      </c>
      <c r="AI19" s="22"/>
      <c r="AM19" s="216">
        <v>0</v>
      </c>
      <c r="AN19" s="216">
        <v>0</v>
      </c>
      <c r="AP19" s="20" t="s">
        <v>174</v>
      </c>
    </row>
    <row r="22" spans="1:42" x14ac:dyDescent="0.3">
      <c r="A22" s="80" t="s">
        <v>502</v>
      </c>
      <c r="B22" s="80"/>
      <c r="C22" s="80"/>
      <c r="D22" s="80"/>
      <c r="E22" s="80"/>
      <c r="F22" s="80"/>
      <c r="G22" s="80"/>
      <c r="H22" s="80"/>
      <c r="I22" s="80"/>
      <c r="J22" s="81"/>
      <c r="K22" s="81"/>
      <c r="L22" s="81"/>
    </row>
    <row r="23" spans="1:42" ht="41.4" x14ac:dyDescent="0.3">
      <c r="A23" s="29" t="s">
        <v>503</v>
      </c>
      <c r="B23" s="29" t="s">
        <v>504</v>
      </c>
      <c r="C23" s="29" t="s">
        <v>130</v>
      </c>
      <c r="D23" s="29" t="s">
        <v>505</v>
      </c>
      <c r="E23" s="29" t="s">
        <v>506</v>
      </c>
      <c r="F23" s="30" t="s">
        <v>495</v>
      </c>
      <c r="G23" s="30" t="s">
        <v>507</v>
      </c>
      <c r="H23" s="30" t="s">
        <v>508</v>
      </c>
      <c r="I23" s="29" t="s">
        <v>509</v>
      </c>
      <c r="J23" s="29" t="s">
        <v>510</v>
      </c>
      <c r="K23" s="29" t="s">
        <v>511</v>
      </c>
      <c r="L23" s="29"/>
    </row>
    <row r="24" spans="1:42" x14ac:dyDescent="0.3">
      <c r="A24" s="20" t="str">
        <f>B24&amp;"-"&amp;C24</f>
        <v>AEME-Cartes-Combiné</v>
      </c>
      <c r="B24" s="26" t="s">
        <v>339</v>
      </c>
      <c r="C24" s="31" t="s">
        <v>512</v>
      </c>
      <c r="D24" s="31" t="s">
        <v>513</v>
      </c>
      <c r="E24" s="32">
        <f>(60+15)/60</f>
        <v>1.25</v>
      </c>
      <c r="F24" s="33">
        <v>100</v>
      </c>
      <c r="G24" s="34">
        <v>0</v>
      </c>
      <c r="H24" s="217">
        <v>4000</v>
      </c>
      <c r="I24" s="31" t="s">
        <v>181</v>
      </c>
      <c r="J24" s="20">
        <v>0</v>
      </c>
      <c r="K24" s="20">
        <v>0</v>
      </c>
    </row>
    <row r="25" spans="1:42" x14ac:dyDescent="0.3">
      <c r="A25" s="20" t="str">
        <f t="shared" ref="A25:A50" si="5">B25&amp;"-"&amp;C25</f>
        <v>AEME-Cartes-Galbe à sec</v>
      </c>
      <c r="B25" s="26" t="s">
        <v>339</v>
      </c>
      <c r="C25" s="31" t="s">
        <v>43</v>
      </c>
      <c r="D25" s="31" t="s">
        <v>513</v>
      </c>
      <c r="E25" s="32">
        <v>1</v>
      </c>
      <c r="F25" s="33">
        <v>100</v>
      </c>
      <c r="G25" s="34">
        <v>0</v>
      </c>
      <c r="H25" s="217">
        <v>4000</v>
      </c>
      <c r="I25" s="31" t="s">
        <v>181</v>
      </c>
      <c r="J25" s="20">
        <v>0</v>
      </c>
      <c r="K25" s="20">
        <v>0</v>
      </c>
    </row>
    <row r="26" spans="1:42" x14ac:dyDescent="0.3">
      <c r="A26" s="20" t="str">
        <f t="shared" si="5"/>
        <v>AEME-Cartes-Gaufrage</v>
      </c>
      <c r="B26" s="26" t="s">
        <v>339</v>
      </c>
      <c r="C26" s="31" t="s">
        <v>44</v>
      </c>
      <c r="D26" s="31" t="s">
        <v>513</v>
      </c>
      <c r="E26" s="32">
        <f>35/60</f>
        <v>0.58333333333333337</v>
      </c>
      <c r="F26" s="33">
        <v>100</v>
      </c>
      <c r="G26" s="34">
        <v>0</v>
      </c>
      <c r="H26" s="217">
        <v>4500</v>
      </c>
      <c r="I26" s="31" t="s">
        <v>181</v>
      </c>
      <c r="J26" s="20">
        <v>0</v>
      </c>
      <c r="K26" s="20">
        <v>0</v>
      </c>
    </row>
    <row r="27" spans="1:42" x14ac:dyDescent="0.3">
      <c r="A27" s="20" t="str">
        <f t="shared" ref="A27" si="6">B27&amp;"-"&amp;C27</f>
        <v>AEME-Cartes-Foulage</v>
      </c>
      <c r="B27" s="26" t="s">
        <v>339</v>
      </c>
      <c r="C27" s="31" t="s">
        <v>45</v>
      </c>
      <c r="D27" s="31" t="s">
        <v>513</v>
      </c>
      <c r="E27" s="32">
        <f>30/60</f>
        <v>0.5</v>
      </c>
      <c r="F27" s="33">
        <v>100</v>
      </c>
      <c r="G27" s="34">
        <v>0</v>
      </c>
      <c r="H27" s="217">
        <v>4500</v>
      </c>
      <c r="I27" s="31" t="s">
        <v>181</v>
      </c>
      <c r="J27" s="20">
        <v>0</v>
      </c>
      <c r="K27" s="20">
        <v>0</v>
      </c>
    </row>
    <row r="28" spans="1:42" x14ac:dyDescent="0.3">
      <c r="A28" s="20" t="str">
        <f t="shared" si="5"/>
        <v>AEME-Cartes-Dorure galbée</v>
      </c>
      <c r="B28" s="26" t="s">
        <v>339</v>
      </c>
      <c r="C28" s="31" t="s">
        <v>42</v>
      </c>
      <c r="D28" s="31" t="s">
        <v>513</v>
      </c>
      <c r="E28" s="32">
        <f>(60+12)/60</f>
        <v>1.2</v>
      </c>
      <c r="F28" s="33">
        <v>100</v>
      </c>
      <c r="G28" s="34">
        <v>0</v>
      </c>
      <c r="H28" s="217">
        <v>4000</v>
      </c>
      <c r="I28" s="31" t="s">
        <v>181</v>
      </c>
      <c r="J28" s="20">
        <v>0</v>
      </c>
      <c r="K28" s="20">
        <v>0</v>
      </c>
    </row>
    <row r="29" spans="1:42" x14ac:dyDescent="0.3">
      <c r="A29" s="20" t="str">
        <f t="shared" si="5"/>
        <v>AEME-Cartes-Dorure</v>
      </c>
      <c r="B29" s="26" t="s">
        <v>339</v>
      </c>
      <c r="C29" s="31" t="s">
        <v>514</v>
      </c>
      <c r="D29" s="31" t="s">
        <v>513</v>
      </c>
      <c r="E29" s="32">
        <f>30/60</f>
        <v>0.5</v>
      </c>
      <c r="F29" s="33">
        <v>100</v>
      </c>
      <c r="G29" s="34">
        <v>0</v>
      </c>
      <c r="H29" s="217">
        <v>4500</v>
      </c>
      <c r="I29" s="31" t="s">
        <v>515</v>
      </c>
      <c r="J29" s="20">
        <v>0</v>
      </c>
      <c r="K29" s="20">
        <v>0</v>
      </c>
    </row>
    <row r="30" spans="1:42" x14ac:dyDescent="0.3">
      <c r="A30" s="133" t="str">
        <f t="shared" si="5"/>
        <v>AEME-Cartes-REMBO DIRECT</v>
      </c>
      <c r="B30" s="134" t="s">
        <v>339</v>
      </c>
      <c r="C30" s="135" t="s">
        <v>161</v>
      </c>
      <c r="D30" s="135" t="s">
        <v>513</v>
      </c>
      <c r="E30" s="136">
        <f>10/60</f>
        <v>0.16666666666666666</v>
      </c>
      <c r="F30" s="137">
        <v>0</v>
      </c>
      <c r="G30" s="138">
        <v>0</v>
      </c>
      <c r="H30" s="316">
        <v>99999</v>
      </c>
      <c r="I30" s="135" t="s">
        <v>181</v>
      </c>
      <c r="J30" s="133">
        <v>0</v>
      </c>
      <c r="K30" s="133">
        <v>0</v>
      </c>
      <c r="L30" s="133"/>
    </row>
    <row r="31" spans="1:42" x14ac:dyDescent="0.3">
      <c r="A31" s="20" t="str">
        <f>B31&amp;"-"&amp;C31</f>
        <v>AEEP-Cartes-Combiné</v>
      </c>
      <c r="B31" s="26" t="s">
        <v>340</v>
      </c>
      <c r="C31" s="31" t="s">
        <v>512</v>
      </c>
      <c r="D31" s="31" t="s">
        <v>513</v>
      </c>
      <c r="E31" s="32">
        <f>(60+15)/60</f>
        <v>1.25</v>
      </c>
      <c r="F31" s="33">
        <v>100</v>
      </c>
      <c r="G31" s="34">
        <v>0</v>
      </c>
      <c r="H31" s="217">
        <v>4000</v>
      </c>
      <c r="I31" s="31" t="s">
        <v>181</v>
      </c>
      <c r="J31" s="20">
        <v>0</v>
      </c>
      <c r="K31" s="20">
        <v>0</v>
      </c>
    </row>
    <row r="32" spans="1:42" x14ac:dyDescent="0.3">
      <c r="A32" s="20" t="str">
        <f t="shared" ref="A32:A37" si="7">B32&amp;"-"&amp;C32</f>
        <v>AEEP-Cartes-Galbe à sec</v>
      </c>
      <c r="B32" s="26" t="s">
        <v>340</v>
      </c>
      <c r="C32" s="31" t="s">
        <v>43</v>
      </c>
      <c r="D32" s="31" t="s">
        <v>513</v>
      </c>
      <c r="E32" s="32">
        <v>1</v>
      </c>
      <c r="F32" s="33">
        <v>100</v>
      </c>
      <c r="G32" s="34">
        <v>0</v>
      </c>
      <c r="H32" s="217">
        <v>4000</v>
      </c>
      <c r="I32" s="31" t="s">
        <v>181</v>
      </c>
      <c r="J32" s="20">
        <v>0</v>
      </c>
      <c r="K32" s="20">
        <v>0</v>
      </c>
    </row>
    <row r="33" spans="1:12" x14ac:dyDescent="0.3">
      <c r="A33" s="20" t="str">
        <f t="shared" si="7"/>
        <v>AEEP-Cartes-Gaufrage</v>
      </c>
      <c r="B33" s="26" t="s">
        <v>340</v>
      </c>
      <c r="C33" s="31" t="s">
        <v>44</v>
      </c>
      <c r="D33" s="31" t="s">
        <v>513</v>
      </c>
      <c r="E33" s="32">
        <f>35/60</f>
        <v>0.58333333333333337</v>
      </c>
      <c r="F33" s="33">
        <v>100</v>
      </c>
      <c r="G33" s="34">
        <v>0</v>
      </c>
      <c r="H33" s="217">
        <v>4500</v>
      </c>
      <c r="I33" s="31" t="s">
        <v>181</v>
      </c>
      <c r="J33" s="20">
        <v>0</v>
      </c>
      <c r="K33" s="20">
        <v>0</v>
      </c>
    </row>
    <row r="34" spans="1:12" x14ac:dyDescent="0.3">
      <c r="A34" s="20" t="str">
        <f t="shared" si="7"/>
        <v>AEEP-Cartes-Foulage</v>
      </c>
      <c r="B34" s="26" t="s">
        <v>340</v>
      </c>
      <c r="C34" s="31" t="s">
        <v>45</v>
      </c>
      <c r="D34" s="31" t="s">
        <v>513</v>
      </c>
      <c r="E34" s="32">
        <f>30/60</f>
        <v>0.5</v>
      </c>
      <c r="F34" s="33">
        <v>100</v>
      </c>
      <c r="G34" s="34">
        <v>0</v>
      </c>
      <c r="H34" s="217">
        <v>4500</v>
      </c>
      <c r="I34" s="31" t="s">
        <v>181</v>
      </c>
      <c r="J34" s="20">
        <v>0</v>
      </c>
      <c r="K34" s="20">
        <v>0</v>
      </c>
    </row>
    <row r="35" spans="1:12" x14ac:dyDescent="0.3">
      <c r="A35" s="20" t="str">
        <f t="shared" si="7"/>
        <v>AEEP-Cartes-Dorure galbée</v>
      </c>
      <c r="B35" s="26" t="s">
        <v>340</v>
      </c>
      <c r="C35" s="31" t="s">
        <v>42</v>
      </c>
      <c r="D35" s="31" t="s">
        <v>513</v>
      </c>
      <c r="E35" s="32">
        <f>(60+12)/60</f>
        <v>1.2</v>
      </c>
      <c r="F35" s="33">
        <v>100</v>
      </c>
      <c r="G35" s="34">
        <v>0</v>
      </c>
      <c r="H35" s="217">
        <v>4000</v>
      </c>
      <c r="I35" s="31" t="s">
        <v>181</v>
      </c>
      <c r="J35" s="20">
        <v>0</v>
      </c>
      <c r="K35" s="20">
        <v>0</v>
      </c>
    </row>
    <row r="36" spans="1:12" x14ac:dyDescent="0.3">
      <c r="A36" s="20" t="str">
        <f t="shared" si="7"/>
        <v>AEEP-Cartes-Dorure</v>
      </c>
      <c r="B36" s="26" t="s">
        <v>340</v>
      </c>
      <c r="C36" s="31" t="s">
        <v>514</v>
      </c>
      <c r="D36" s="31" t="s">
        <v>513</v>
      </c>
      <c r="E36" s="32">
        <f>30/60</f>
        <v>0.5</v>
      </c>
      <c r="F36" s="33">
        <v>100</v>
      </c>
      <c r="G36" s="34">
        <v>0</v>
      </c>
      <c r="H36" s="217">
        <v>4500</v>
      </c>
      <c r="I36" s="31" t="s">
        <v>515</v>
      </c>
      <c r="J36" s="20">
        <v>0</v>
      </c>
      <c r="K36" s="20">
        <v>0</v>
      </c>
    </row>
    <row r="37" spans="1:12" x14ac:dyDescent="0.3">
      <c r="A37" s="133" t="str">
        <f t="shared" si="7"/>
        <v>AEEP-Cartes-REMBO DIRECT</v>
      </c>
      <c r="B37" s="134" t="s">
        <v>340</v>
      </c>
      <c r="C37" s="135" t="s">
        <v>161</v>
      </c>
      <c r="D37" s="135" t="s">
        <v>513</v>
      </c>
      <c r="E37" s="136">
        <f>10/60</f>
        <v>0.16666666666666666</v>
      </c>
      <c r="F37" s="137">
        <v>0</v>
      </c>
      <c r="G37" s="138">
        <v>0</v>
      </c>
      <c r="H37" s="316">
        <v>99999</v>
      </c>
      <c r="I37" s="135" t="s">
        <v>181</v>
      </c>
      <c r="J37" s="133">
        <v>0</v>
      </c>
      <c r="K37" s="133">
        <v>0</v>
      </c>
      <c r="L37" s="133"/>
    </row>
    <row r="38" spans="1:12" x14ac:dyDescent="0.3">
      <c r="A38" s="20" t="str">
        <f>B38&amp;"-"&amp;C38</f>
        <v>AEBO-Cartes-Combiné</v>
      </c>
      <c r="B38" s="26" t="s">
        <v>342</v>
      </c>
      <c r="C38" s="31" t="s">
        <v>512</v>
      </c>
      <c r="D38" s="31" t="s">
        <v>513</v>
      </c>
      <c r="E38" s="32">
        <f>(60+15)/60</f>
        <v>1.25</v>
      </c>
      <c r="F38" s="33">
        <v>100</v>
      </c>
      <c r="G38" s="34">
        <v>0</v>
      </c>
      <c r="H38" s="217">
        <v>4000</v>
      </c>
      <c r="I38" s="31" t="s">
        <v>181</v>
      </c>
      <c r="J38" s="20">
        <v>0</v>
      </c>
      <c r="K38" s="20">
        <v>0</v>
      </c>
    </row>
    <row r="39" spans="1:12" x14ac:dyDescent="0.3">
      <c r="A39" s="20" t="str">
        <f t="shared" ref="A39:A44" si="8">B39&amp;"-"&amp;C39</f>
        <v>AEBO-Cartes-Galbe à sec</v>
      </c>
      <c r="B39" s="26" t="s">
        <v>342</v>
      </c>
      <c r="C39" s="31" t="s">
        <v>43</v>
      </c>
      <c r="D39" s="31" t="s">
        <v>513</v>
      </c>
      <c r="E39" s="32">
        <v>1</v>
      </c>
      <c r="F39" s="33">
        <v>100</v>
      </c>
      <c r="G39" s="34">
        <v>0</v>
      </c>
      <c r="H39" s="217">
        <v>4000</v>
      </c>
      <c r="I39" s="31" t="s">
        <v>181</v>
      </c>
      <c r="J39" s="20">
        <v>0</v>
      </c>
      <c r="K39" s="20">
        <v>0</v>
      </c>
    </row>
    <row r="40" spans="1:12" x14ac:dyDescent="0.3">
      <c r="A40" s="20" t="str">
        <f t="shared" si="8"/>
        <v>AEBO-Cartes-Gaufrage</v>
      </c>
      <c r="B40" s="26" t="s">
        <v>342</v>
      </c>
      <c r="C40" s="31" t="s">
        <v>44</v>
      </c>
      <c r="D40" s="31" t="s">
        <v>513</v>
      </c>
      <c r="E40" s="32">
        <f>35/60</f>
        <v>0.58333333333333337</v>
      </c>
      <c r="F40" s="33">
        <v>100</v>
      </c>
      <c r="G40" s="34">
        <v>0</v>
      </c>
      <c r="H40" s="217">
        <v>4500</v>
      </c>
      <c r="I40" s="31" t="s">
        <v>181</v>
      </c>
      <c r="J40" s="20">
        <v>0</v>
      </c>
      <c r="K40" s="20">
        <v>0</v>
      </c>
    </row>
    <row r="41" spans="1:12" x14ac:dyDescent="0.3">
      <c r="A41" s="20" t="str">
        <f t="shared" si="8"/>
        <v>AEBO-Cartes-Foulage</v>
      </c>
      <c r="B41" s="26" t="s">
        <v>342</v>
      </c>
      <c r="C41" s="31" t="s">
        <v>45</v>
      </c>
      <c r="D41" s="31" t="s">
        <v>513</v>
      </c>
      <c r="E41" s="32">
        <f>30/60</f>
        <v>0.5</v>
      </c>
      <c r="F41" s="33">
        <v>100</v>
      </c>
      <c r="G41" s="34">
        <v>0</v>
      </c>
      <c r="H41" s="217">
        <v>4500</v>
      </c>
      <c r="I41" s="31" t="s">
        <v>181</v>
      </c>
      <c r="J41" s="20">
        <v>0</v>
      </c>
      <c r="K41" s="20">
        <v>0</v>
      </c>
    </row>
    <row r="42" spans="1:12" x14ac:dyDescent="0.3">
      <c r="A42" s="20" t="str">
        <f t="shared" si="8"/>
        <v>AEBO-Cartes-Dorure galbée</v>
      </c>
      <c r="B42" s="26" t="s">
        <v>342</v>
      </c>
      <c r="C42" s="31" t="s">
        <v>42</v>
      </c>
      <c r="D42" s="31" t="s">
        <v>513</v>
      </c>
      <c r="E42" s="32">
        <f>(60+12)/60</f>
        <v>1.2</v>
      </c>
      <c r="F42" s="33">
        <v>100</v>
      </c>
      <c r="G42" s="34">
        <v>0</v>
      </c>
      <c r="H42" s="217">
        <v>4000</v>
      </c>
      <c r="I42" s="31" t="s">
        <v>181</v>
      </c>
      <c r="J42" s="20">
        <v>0</v>
      </c>
      <c r="K42" s="20">
        <v>0</v>
      </c>
    </row>
    <row r="43" spans="1:12" x14ac:dyDescent="0.3">
      <c r="A43" s="20" t="str">
        <f t="shared" si="8"/>
        <v>AEBO-Cartes-Dorure</v>
      </c>
      <c r="B43" s="26" t="s">
        <v>342</v>
      </c>
      <c r="C43" s="31" t="s">
        <v>514</v>
      </c>
      <c r="D43" s="31" t="s">
        <v>513</v>
      </c>
      <c r="E43" s="32">
        <f>30/60</f>
        <v>0.5</v>
      </c>
      <c r="F43" s="33">
        <v>100</v>
      </c>
      <c r="G43" s="34">
        <v>0</v>
      </c>
      <c r="H43" s="217">
        <v>4500</v>
      </c>
      <c r="I43" s="31" t="s">
        <v>515</v>
      </c>
      <c r="J43" s="20">
        <v>0</v>
      </c>
      <c r="K43" s="20">
        <v>0</v>
      </c>
    </row>
    <row r="44" spans="1:12" x14ac:dyDescent="0.3">
      <c r="A44" s="133" t="str">
        <f t="shared" si="8"/>
        <v>AEBO-Cartes-REMBO DIRECT</v>
      </c>
      <c r="B44" s="134" t="s">
        <v>342</v>
      </c>
      <c r="C44" s="135" t="s">
        <v>161</v>
      </c>
      <c r="D44" s="135" t="s">
        <v>513</v>
      </c>
      <c r="E44" s="136">
        <f>10/60</f>
        <v>0.16666666666666666</v>
      </c>
      <c r="F44" s="137">
        <v>0</v>
      </c>
      <c r="G44" s="138">
        <v>0</v>
      </c>
      <c r="H44" s="316">
        <v>99999</v>
      </c>
      <c r="I44" s="135" t="s">
        <v>181</v>
      </c>
      <c r="J44" s="133">
        <v>0</v>
      </c>
      <c r="K44" s="133">
        <v>0</v>
      </c>
      <c r="L44" s="133"/>
    </row>
    <row r="45" spans="1:12" x14ac:dyDescent="0.3">
      <c r="A45" s="319" t="str">
        <f t="shared" si="5"/>
        <v>AEAT-Galaxie-Foulage</v>
      </c>
      <c r="B45" s="320" t="s">
        <v>341</v>
      </c>
      <c r="C45" s="321" t="s">
        <v>45</v>
      </c>
      <c r="D45" s="322" t="s">
        <v>516</v>
      </c>
      <c r="E45" s="393">
        <f>15/60</f>
        <v>0.25</v>
      </c>
      <c r="F45" s="383">
        <v>100</v>
      </c>
      <c r="G45" s="384">
        <v>0.02</v>
      </c>
      <c r="H45" s="394">
        <v>2400</v>
      </c>
      <c r="I45" s="323"/>
      <c r="J45" s="319"/>
      <c r="K45" s="319"/>
      <c r="L45" s="319"/>
    </row>
    <row r="46" spans="1:12" x14ac:dyDescent="0.3">
      <c r="A46" s="20" t="str">
        <f t="shared" si="5"/>
        <v>AEAT-Galaxie-Galbe à sec</v>
      </c>
      <c r="B46" s="26" t="s">
        <v>341</v>
      </c>
      <c r="C46" s="218" t="s">
        <v>43</v>
      </c>
      <c r="D46" s="31" t="s">
        <v>516</v>
      </c>
      <c r="E46" s="385">
        <f>30/60</f>
        <v>0.5</v>
      </c>
      <c r="F46" s="386">
        <v>100</v>
      </c>
      <c r="G46" s="387">
        <v>0.02</v>
      </c>
      <c r="H46" s="388">
        <v>2400</v>
      </c>
      <c r="I46" s="31"/>
    </row>
    <row r="47" spans="1:12" x14ac:dyDescent="0.3">
      <c r="A47" s="20" t="str">
        <f t="shared" si="5"/>
        <v>AEAT-Galaxie-Gaufrage</v>
      </c>
      <c r="B47" s="26" t="s">
        <v>341</v>
      </c>
      <c r="C47" s="218" t="s">
        <v>44</v>
      </c>
      <c r="D47" s="31" t="s">
        <v>516</v>
      </c>
      <c r="E47" s="385">
        <f>20/60</f>
        <v>0.33333333333333331</v>
      </c>
      <c r="F47" s="386">
        <v>100</v>
      </c>
      <c r="G47" s="387">
        <v>0.02</v>
      </c>
      <c r="H47" s="388">
        <v>2400</v>
      </c>
      <c r="I47" s="31"/>
    </row>
    <row r="48" spans="1:12" x14ac:dyDescent="0.3">
      <c r="A48" s="20" t="str">
        <f t="shared" si="5"/>
        <v>AEAT-Galaxie-Dorure</v>
      </c>
      <c r="B48" s="26" t="s">
        <v>341</v>
      </c>
      <c r="C48" s="218" t="s">
        <v>514</v>
      </c>
      <c r="D48" s="31" t="s">
        <v>516</v>
      </c>
      <c r="E48" s="385">
        <f>15/60</f>
        <v>0.25</v>
      </c>
      <c r="F48" s="386">
        <v>100</v>
      </c>
      <c r="G48" s="387">
        <v>0.02</v>
      </c>
      <c r="H48" s="388">
        <v>2400</v>
      </c>
      <c r="I48" s="31"/>
    </row>
    <row r="49" spans="1:12" x14ac:dyDescent="0.3">
      <c r="A49" s="20" t="str">
        <f t="shared" si="5"/>
        <v>AEAT-Galaxie-Dorure galbée</v>
      </c>
      <c r="B49" s="26" t="s">
        <v>341</v>
      </c>
      <c r="C49" s="218" t="s">
        <v>42</v>
      </c>
      <c r="D49" s="31" t="s">
        <v>516</v>
      </c>
      <c r="E49" s="385">
        <f>30/60</f>
        <v>0.5</v>
      </c>
      <c r="F49" s="386">
        <v>100</v>
      </c>
      <c r="G49" s="387">
        <v>0.02</v>
      </c>
      <c r="H49" s="388">
        <v>2400</v>
      </c>
      <c r="I49" s="31"/>
    </row>
    <row r="50" spans="1:12" s="133" customFormat="1" x14ac:dyDescent="0.3">
      <c r="A50" s="399" t="str">
        <f t="shared" si="5"/>
        <v>AEAT-Galaxie-Pelliculage</v>
      </c>
      <c r="B50" s="133" t="s">
        <v>341</v>
      </c>
      <c r="C50" s="135" t="s">
        <v>46</v>
      </c>
      <c r="D50" s="133" t="s">
        <v>516</v>
      </c>
      <c r="E50" s="395">
        <f>15/60</f>
        <v>0.25</v>
      </c>
      <c r="F50" s="396">
        <v>100</v>
      </c>
      <c r="G50" s="397">
        <v>0.02</v>
      </c>
      <c r="H50" s="398">
        <v>2400</v>
      </c>
    </row>
    <row r="51" spans="1:12" ht="27.6" x14ac:dyDescent="0.3">
      <c r="A51" s="20" t="str">
        <f t="shared" ref="A51:A57" si="9">B51&amp;"-"&amp;C51</f>
        <v>AELO-Galaxie-Découpe supp. en ligne</v>
      </c>
      <c r="B51" s="26" t="s">
        <v>343</v>
      </c>
      <c r="C51" s="129" t="s">
        <v>517</v>
      </c>
      <c r="D51" s="129" t="s">
        <v>518</v>
      </c>
      <c r="E51" s="130">
        <f>15/60</f>
        <v>0.25</v>
      </c>
      <c r="F51" s="131">
        <v>60</v>
      </c>
      <c r="G51" s="132">
        <v>0</v>
      </c>
      <c r="H51" s="317">
        <v>99999</v>
      </c>
      <c r="I51" s="129"/>
    </row>
    <row r="52" spans="1:12" x14ac:dyDescent="0.3">
      <c r="A52" s="20" t="str">
        <f t="shared" si="9"/>
        <v>AELO-Galaxie-Foulage</v>
      </c>
      <c r="B52" s="26" t="s">
        <v>343</v>
      </c>
      <c r="C52" s="31" t="s">
        <v>45</v>
      </c>
      <c r="D52" s="31" t="s">
        <v>518</v>
      </c>
      <c r="E52" s="32">
        <f>15/60</f>
        <v>0.25</v>
      </c>
      <c r="F52" s="33">
        <v>100</v>
      </c>
      <c r="G52" s="34">
        <v>0.02</v>
      </c>
      <c r="H52" s="217">
        <v>4000</v>
      </c>
      <c r="I52" s="31"/>
    </row>
    <row r="53" spans="1:12" x14ac:dyDescent="0.3">
      <c r="A53" s="20" t="str">
        <f t="shared" si="9"/>
        <v>AELO-Galaxie-Galbe à sec</v>
      </c>
      <c r="B53" s="26" t="s">
        <v>343</v>
      </c>
      <c r="C53" s="31" t="s">
        <v>43</v>
      </c>
      <c r="D53" s="31" t="s">
        <v>518</v>
      </c>
      <c r="E53" s="32">
        <f>30/60</f>
        <v>0.5</v>
      </c>
      <c r="F53" s="33">
        <v>100</v>
      </c>
      <c r="G53" s="34">
        <v>0.02</v>
      </c>
      <c r="H53" s="217">
        <v>4000</v>
      </c>
      <c r="I53" s="31"/>
    </row>
    <row r="54" spans="1:12" x14ac:dyDescent="0.3">
      <c r="A54" s="20" t="str">
        <f t="shared" si="9"/>
        <v>AELO-Galaxie-Gaufrage</v>
      </c>
      <c r="B54" s="26" t="s">
        <v>343</v>
      </c>
      <c r="C54" s="31" t="s">
        <v>44</v>
      </c>
      <c r="D54" s="31" t="s">
        <v>518</v>
      </c>
      <c r="E54" s="32">
        <f>20/60</f>
        <v>0.33333333333333331</v>
      </c>
      <c r="F54" s="33">
        <v>100</v>
      </c>
      <c r="G54" s="34">
        <v>0.02</v>
      </c>
      <c r="H54" s="217">
        <v>4500</v>
      </c>
      <c r="I54" s="31"/>
    </row>
    <row r="55" spans="1:12" x14ac:dyDescent="0.3">
      <c r="A55" s="20" t="str">
        <f t="shared" si="9"/>
        <v>AELO-Galaxie-Dorure</v>
      </c>
      <c r="B55" s="26" t="s">
        <v>343</v>
      </c>
      <c r="C55" s="31" t="s">
        <v>514</v>
      </c>
      <c r="D55" s="31" t="s">
        <v>518</v>
      </c>
      <c r="E55" s="32">
        <f>15/60</f>
        <v>0.25</v>
      </c>
      <c r="F55" s="33">
        <v>100</v>
      </c>
      <c r="G55" s="34">
        <v>0.02</v>
      </c>
      <c r="H55" s="217">
        <v>4500</v>
      </c>
      <c r="I55" s="31"/>
    </row>
    <row r="56" spans="1:12" x14ac:dyDescent="0.3">
      <c r="A56" s="20" t="str">
        <f t="shared" si="9"/>
        <v>AELO-Galaxie-Dorure galbée</v>
      </c>
      <c r="B56" s="26" t="s">
        <v>343</v>
      </c>
      <c r="C56" s="31" t="s">
        <v>42</v>
      </c>
      <c r="D56" s="31" t="s">
        <v>518</v>
      </c>
      <c r="E56" s="32">
        <f>30/60</f>
        <v>0.5</v>
      </c>
      <c r="F56" s="33">
        <v>100</v>
      </c>
      <c r="G56" s="34">
        <v>0.02</v>
      </c>
      <c r="H56" s="217">
        <v>4000</v>
      </c>
      <c r="I56" s="31"/>
    </row>
    <row r="57" spans="1:12" x14ac:dyDescent="0.3">
      <c r="A57" s="133" t="str">
        <f t="shared" si="9"/>
        <v>AELO-Galaxie-Pelliculage</v>
      </c>
      <c r="B57" s="134" t="s">
        <v>343</v>
      </c>
      <c r="C57" s="135" t="s">
        <v>46</v>
      </c>
      <c r="D57" s="135" t="s">
        <v>518</v>
      </c>
      <c r="E57" s="136">
        <f>15/60</f>
        <v>0.25</v>
      </c>
      <c r="F57" s="137">
        <v>100</v>
      </c>
      <c r="G57" s="138">
        <v>0.02</v>
      </c>
      <c r="H57" s="316">
        <v>4500</v>
      </c>
      <c r="I57" s="135"/>
      <c r="J57" s="133"/>
      <c r="K57" s="133"/>
      <c r="L57" s="133"/>
    </row>
    <row r="58" spans="1:12" x14ac:dyDescent="0.3">
      <c r="A58" s="20" t="str">
        <f>B58&amp;"-"&amp;C58</f>
        <v>AELI-Cartes-Combiné</v>
      </c>
      <c r="B58" s="26" t="s">
        <v>345</v>
      </c>
      <c r="C58" s="129" t="s">
        <v>512</v>
      </c>
      <c r="D58" s="129" t="s">
        <v>513</v>
      </c>
      <c r="E58" s="130">
        <f>(60+15)/60</f>
        <v>1.25</v>
      </c>
      <c r="F58" s="131">
        <v>100</v>
      </c>
      <c r="G58" s="132">
        <v>0</v>
      </c>
      <c r="H58" s="317">
        <v>4000</v>
      </c>
      <c r="I58" s="129" t="s">
        <v>181</v>
      </c>
      <c r="J58" s="20">
        <v>0</v>
      </c>
      <c r="K58" s="20">
        <v>0</v>
      </c>
    </row>
    <row r="59" spans="1:12" x14ac:dyDescent="0.3">
      <c r="A59" s="20" t="str">
        <f t="shared" ref="A59:A64" si="10">B59&amp;"-"&amp;C59</f>
        <v>AELI-Cartes-Galbe à sec</v>
      </c>
      <c r="B59" s="26" t="s">
        <v>345</v>
      </c>
      <c r="C59" s="31" t="s">
        <v>43</v>
      </c>
      <c r="D59" s="31" t="s">
        <v>513</v>
      </c>
      <c r="E59" s="32">
        <v>1</v>
      </c>
      <c r="F59" s="33">
        <v>100</v>
      </c>
      <c r="G59" s="34">
        <v>0</v>
      </c>
      <c r="H59" s="217">
        <v>4000</v>
      </c>
      <c r="I59" s="31" t="s">
        <v>181</v>
      </c>
      <c r="J59" s="20">
        <v>0</v>
      </c>
      <c r="K59" s="20">
        <v>0</v>
      </c>
    </row>
    <row r="60" spans="1:12" x14ac:dyDescent="0.3">
      <c r="A60" s="20" t="str">
        <f t="shared" si="10"/>
        <v>AELI-Cartes-Gaufrage</v>
      </c>
      <c r="B60" s="26" t="s">
        <v>345</v>
      </c>
      <c r="C60" s="31" t="s">
        <v>44</v>
      </c>
      <c r="D60" s="31" t="s">
        <v>513</v>
      </c>
      <c r="E60" s="32">
        <f>35/60</f>
        <v>0.58333333333333337</v>
      </c>
      <c r="F60" s="33">
        <v>100</v>
      </c>
      <c r="G60" s="34">
        <v>0</v>
      </c>
      <c r="H60" s="217">
        <v>4500</v>
      </c>
      <c r="I60" s="31" t="s">
        <v>181</v>
      </c>
      <c r="J60" s="20">
        <v>0</v>
      </c>
      <c r="K60" s="20">
        <v>0</v>
      </c>
    </row>
    <row r="61" spans="1:12" x14ac:dyDescent="0.3">
      <c r="A61" s="20" t="str">
        <f t="shared" si="10"/>
        <v>AELI-Cartes-Foulage</v>
      </c>
      <c r="B61" s="26" t="s">
        <v>345</v>
      </c>
      <c r="C61" s="31" t="s">
        <v>45</v>
      </c>
      <c r="D61" s="31" t="s">
        <v>513</v>
      </c>
      <c r="E61" s="32">
        <f>30/60</f>
        <v>0.5</v>
      </c>
      <c r="F61" s="33">
        <v>100</v>
      </c>
      <c r="G61" s="34">
        <v>0</v>
      </c>
      <c r="H61" s="217">
        <v>4500</v>
      </c>
      <c r="I61" s="31" t="s">
        <v>181</v>
      </c>
      <c r="J61" s="20">
        <v>0</v>
      </c>
      <c r="K61" s="20">
        <v>0</v>
      </c>
    </row>
    <row r="62" spans="1:12" x14ac:dyDescent="0.3">
      <c r="A62" s="20" t="str">
        <f t="shared" si="10"/>
        <v>AELI-Cartes-Dorure galbée</v>
      </c>
      <c r="B62" s="26" t="s">
        <v>345</v>
      </c>
      <c r="C62" s="31" t="s">
        <v>42</v>
      </c>
      <c r="D62" s="31" t="s">
        <v>513</v>
      </c>
      <c r="E62" s="32">
        <f>(60+12)/60</f>
        <v>1.2</v>
      </c>
      <c r="F62" s="33">
        <v>100</v>
      </c>
      <c r="G62" s="34">
        <v>0</v>
      </c>
      <c r="H62" s="217">
        <v>4000</v>
      </c>
      <c r="I62" s="31" t="s">
        <v>181</v>
      </c>
      <c r="J62" s="20">
        <v>0</v>
      </c>
      <c r="K62" s="20">
        <v>0</v>
      </c>
    </row>
    <row r="63" spans="1:12" x14ac:dyDescent="0.3">
      <c r="A63" s="20" t="str">
        <f t="shared" si="10"/>
        <v>AELI-Cartes-Dorure</v>
      </c>
      <c r="B63" s="26" t="s">
        <v>345</v>
      </c>
      <c r="C63" s="31" t="s">
        <v>514</v>
      </c>
      <c r="D63" s="31" t="s">
        <v>513</v>
      </c>
      <c r="E63" s="32">
        <f>30/60</f>
        <v>0.5</v>
      </c>
      <c r="F63" s="33">
        <v>100</v>
      </c>
      <c r="G63" s="34">
        <v>0</v>
      </c>
      <c r="H63" s="217">
        <v>4500</v>
      </c>
      <c r="I63" s="31" t="s">
        <v>515</v>
      </c>
      <c r="J63" s="20">
        <v>0</v>
      </c>
      <c r="K63" s="20">
        <v>0</v>
      </c>
    </row>
    <row r="64" spans="1:12" x14ac:dyDescent="0.3">
      <c r="A64" s="133" t="str">
        <f t="shared" si="10"/>
        <v>AELI-Cartes-REMBO DIRECT</v>
      </c>
      <c r="B64" s="134" t="s">
        <v>345</v>
      </c>
      <c r="C64" s="135" t="s">
        <v>161</v>
      </c>
      <c r="D64" s="135" t="s">
        <v>513</v>
      </c>
      <c r="E64" s="136">
        <f>10/60</f>
        <v>0.16666666666666666</v>
      </c>
      <c r="F64" s="137">
        <v>0</v>
      </c>
      <c r="G64" s="138">
        <v>0</v>
      </c>
      <c r="H64" s="316">
        <v>99999</v>
      </c>
      <c r="I64" s="135" t="s">
        <v>181</v>
      </c>
      <c r="J64" s="133">
        <v>0</v>
      </c>
      <c r="K64" s="133">
        <v>0</v>
      </c>
      <c r="L64" s="133"/>
    </row>
    <row r="65" spans="1:12" x14ac:dyDescent="0.3">
      <c r="A65" s="20" t="str">
        <f t="shared" ref="A65:A70" si="11">B65&amp;"-"&amp;C65</f>
        <v>AESU-Cartes-Galbe à sec</v>
      </c>
      <c r="B65" s="26" t="s">
        <v>344</v>
      </c>
      <c r="C65" s="31" t="s">
        <v>43</v>
      </c>
      <c r="D65" s="31" t="s">
        <v>513</v>
      </c>
      <c r="E65" s="32">
        <v>1</v>
      </c>
      <c r="F65" s="33">
        <v>100</v>
      </c>
      <c r="G65" s="34">
        <v>0</v>
      </c>
      <c r="H65" s="217">
        <v>4000</v>
      </c>
      <c r="I65" s="31" t="s">
        <v>181</v>
      </c>
      <c r="J65" s="20">
        <v>0</v>
      </c>
      <c r="K65" s="20">
        <v>0</v>
      </c>
    </row>
    <row r="66" spans="1:12" x14ac:dyDescent="0.3">
      <c r="A66" s="20" t="str">
        <f t="shared" si="11"/>
        <v>AESU-Cartes-Gaufrage</v>
      </c>
      <c r="B66" s="26" t="s">
        <v>344</v>
      </c>
      <c r="C66" s="31" t="s">
        <v>44</v>
      </c>
      <c r="D66" s="31" t="s">
        <v>513</v>
      </c>
      <c r="E66" s="32">
        <f>35/60</f>
        <v>0.58333333333333337</v>
      </c>
      <c r="F66" s="33">
        <v>100</v>
      </c>
      <c r="G66" s="34">
        <v>0</v>
      </c>
      <c r="H66" s="217">
        <v>4500</v>
      </c>
      <c r="I66" s="31" t="s">
        <v>181</v>
      </c>
      <c r="J66" s="20">
        <v>0</v>
      </c>
      <c r="K66" s="20">
        <v>0</v>
      </c>
    </row>
    <row r="67" spans="1:12" x14ac:dyDescent="0.3">
      <c r="A67" s="20" t="str">
        <f t="shared" si="11"/>
        <v>AESU-Cartes-Foulage</v>
      </c>
      <c r="B67" s="26" t="s">
        <v>344</v>
      </c>
      <c r="C67" s="368" t="s">
        <v>45</v>
      </c>
      <c r="D67" s="31" t="s">
        <v>513</v>
      </c>
      <c r="E67" s="32">
        <f>30/60</f>
        <v>0.5</v>
      </c>
      <c r="F67" s="33">
        <v>100</v>
      </c>
      <c r="G67" s="34">
        <v>0</v>
      </c>
      <c r="H67" s="217">
        <v>4500</v>
      </c>
      <c r="I67" s="31" t="s">
        <v>181</v>
      </c>
      <c r="J67" s="20">
        <v>0</v>
      </c>
      <c r="K67" s="20">
        <v>0</v>
      </c>
    </row>
    <row r="68" spans="1:12" x14ac:dyDescent="0.3">
      <c r="A68" s="20" t="str">
        <f t="shared" si="11"/>
        <v>AESU-Cartes-Dorure galbée</v>
      </c>
      <c r="B68" s="26" t="s">
        <v>344</v>
      </c>
      <c r="C68" s="31" t="s">
        <v>42</v>
      </c>
      <c r="D68" s="31" t="s">
        <v>513</v>
      </c>
      <c r="E68" s="32">
        <f>(60+12)/60</f>
        <v>1.2</v>
      </c>
      <c r="F68" s="33">
        <v>100</v>
      </c>
      <c r="G68" s="34">
        <v>0</v>
      </c>
      <c r="H68" s="217">
        <v>4000</v>
      </c>
      <c r="I68" s="31" t="s">
        <v>181</v>
      </c>
      <c r="J68" s="20">
        <v>0</v>
      </c>
      <c r="K68" s="20">
        <v>0</v>
      </c>
    </row>
    <row r="69" spans="1:12" x14ac:dyDescent="0.3">
      <c r="A69" s="20" t="str">
        <f t="shared" si="11"/>
        <v>AESU-Cartes-Dorure</v>
      </c>
      <c r="B69" s="26" t="s">
        <v>344</v>
      </c>
      <c r="C69" s="31" t="s">
        <v>514</v>
      </c>
      <c r="D69" s="31" t="s">
        <v>513</v>
      </c>
      <c r="E69" s="32">
        <f>30/60</f>
        <v>0.5</v>
      </c>
      <c r="F69" s="33">
        <v>100</v>
      </c>
      <c r="G69" s="34">
        <v>0</v>
      </c>
      <c r="H69" s="217">
        <v>4500</v>
      </c>
      <c r="I69" s="31" t="s">
        <v>515</v>
      </c>
      <c r="J69" s="20">
        <v>0</v>
      </c>
      <c r="K69" s="20">
        <v>0</v>
      </c>
    </row>
    <row r="70" spans="1:12" x14ac:dyDescent="0.3">
      <c r="A70" s="133" t="str">
        <f t="shared" si="11"/>
        <v>AESU-Cartes-REMBO DIRECT</v>
      </c>
      <c r="B70" s="134" t="s">
        <v>344</v>
      </c>
      <c r="C70" s="135" t="s">
        <v>161</v>
      </c>
      <c r="D70" s="135" t="s">
        <v>513</v>
      </c>
      <c r="E70" s="136">
        <f>10/60</f>
        <v>0.16666666666666666</v>
      </c>
      <c r="F70" s="137">
        <v>0</v>
      </c>
      <c r="G70" s="138">
        <v>0</v>
      </c>
      <c r="H70" s="316">
        <v>99999</v>
      </c>
      <c r="I70" s="135" t="s">
        <v>181</v>
      </c>
      <c r="J70" s="133">
        <v>0</v>
      </c>
      <c r="K70" s="133">
        <v>0</v>
      </c>
      <c r="L70" s="133"/>
    </row>
    <row r="71" spans="1:12" x14ac:dyDescent="0.3">
      <c r="B71" s="270"/>
      <c r="C71" s="31"/>
      <c r="D71" s="31"/>
      <c r="E71" s="32"/>
      <c r="F71" s="33"/>
      <c r="G71" s="34"/>
      <c r="H71" s="217"/>
      <c r="I71" s="271"/>
    </row>
    <row r="72" spans="1:12" x14ac:dyDescent="0.3">
      <c r="B72" s="270"/>
      <c r="C72" s="31"/>
      <c r="D72" s="31"/>
      <c r="E72" s="32"/>
      <c r="F72" s="33"/>
      <c r="G72" s="34"/>
      <c r="H72" s="217"/>
      <c r="I72" s="271"/>
    </row>
    <row r="73" spans="1:12" x14ac:dyDescent="0.3">
      <c r="B73" s="418"/>
      <c r="C73" s="418"/>
      <c r="D73" s="418"/>
      <c r="E73" s="418"/>
      <c r="F73" s="419"/>
      <c r="G73" s="420"/>
      <c r="H73" s="421"/>
    </row>
    <row r="74" spans="1:12" x14ac:dyDescent="0.3">
      <c r="B74" s="418"/>
      <c r="C74" s="418"/>
      <c r="D74" s="418"/>
      <c r="E74" s="418"/>
      <c r="F74" s="419"/>
      <c r="G74" s="420"/>
      <c r="H74" s="421"/>
    </row>
    <row r="78" spans="1:12" x14ac:dyDescent="0.3">
      <c r="A78" s="80" t="s">
        <v>519</v>
      </c>
      <c r="B78" s="80"/>
      <c r="C78" s="80"/>
      <c r="D78" s="80"/>
      <c r="E78" s="304" t="s">
        <v>520</v>
      </c>
      <c r="F78" s="80"/>
    </row>
    <row r="79" spans="1:12" ht="41.4" x14ac:dyDescent="0.3">
      <c r="A79" s="219" t="s">
        <v>130</v>
      </c>
      <c r="B79" s="219" t="s">
        <v>521</v>
      </c>
      <c r="C79" s="220" t="s">
        <v>522</v>
      </c>
      <c r="D79" s="219" t="s">
        <v>523</v>
      </c>
      <c r="E79" s="303" t="s">
        <v>524</v>
      </c>
      <c r="F79" s="220" t="s">
        <v>525</v>
      </c>
      <c r="G79" s="220" t="s">
        <v>526</v>
      </c>
    </row>
    <row r="80" spans="1:12" x14ac:dyDescent="0.3">
      <c r="A80" s="221" t="s">
        <v>49</v>
      </c>
      <c r="B80" s="221" t="s">
        <v>461</v>
      </c>
      <c r="C80" s="222">
        <v>5</v>
      </c>
      <c r="D80" s="223">
        <v>0.2</v>
      </c>
      <c r="E80" s="318">
        <v>3000</v>
      </c>
      <c r="F80" s="224">
        <f>67.37*(1+$B$100)</f>
        <v>67.37</v>
      </c>
      <c r="G80" s="225">
        <v>0</v>
      </c>
      <c r="H80" s="20" t="str">
        <f>_xlfn.XLOOKUP(A80,Index!F:F,Index!E:E)</f>
        <v>AEME</v>
      </c>
    </row>
    <row r="81" spans="1:8" x14ac:dyDescent="0.3">
      <c r="A81" s="221" t="s">
        <v>161</v>
      </c>
      <c r="B81" s="221" t="s">
        <v>527</v>
      </c>
      <c r="C81" s="222">
        <v>0</v>
      </c>
      <c r="D81" s="223">
        <v>0.2</v>
      </c>
      <c r="E81" s="318">
        <v>99999</v>
      </c>
      <c r="F81" s="224">
        <f>K13</f>
        <v>107</v>
      </c>
      <c r="G81" s="225">
        <v>0</v>
      </c>
      <c r="H81" s="305" t="s">
        <v>528</v>
      </c>
    </row>
    <row r="82" spans="1:8" x14ac:dyDescent="0.3">
      <c r="A82" s="221" t="s">
        <v>183</v>
      </c>
      <c r="B82" s="221"/>
      <c r="C82" s="222">
        <v>10</v>
      </c>
      <c r="D82" s="223">
        <v>0.2</v>
      </c>
      <c r="E82" s="318">
        <v>3000</v>
      </c>
      <c r="F82" s="224">
        <f>74.93*(1+$B$100)</f>
        <v>74.930000000000007</v>
      </c>
      <c r="G82" s="225">
        <v>0.01</v>
      </c>
      <c r="H82" s="20" t="str">
        <f>_xlfn.XLOOKUP(A82,Index!F:F,Index!E:E)</f>
        <v>AELO</v>
      </c>
    </row>
    <row r="83" spans="1:8" x14ac:dyDescent="0.3">
      <c r="A83" s="221" t="s">
        <v>149</v>
      </c>
      <c r="B83" s="221"/>
      <c r="C83" s="222">
        <v>0</v>
      </c>
      <c r="D83" s="223">
        <v>0.2</v>
      </c>
      <c r="E83" s="318">
        <v>3000</v>
      </c>
      <c r="F83" s="224">
        <f>50*(1+$B$100)</f>
        <v>50</v>
      </c>
      <c r="G83" s="225">
        <v>0</v>
      </c>
      <c r="H83" s="20" t="str">
        <f>_xlfn.XLOOKUP(A83,Index!F:F,Index!E:E)</f>
        <v>AEEP</v>
      </c>
    </row>
    <row r="84" spans="1:8" x14ac:dyDescent="0.3">
      <c r="A84" s="221" t="s">
        <v>156</v>
      </c>
      <c r="B84" s="221"/>
      <c r="C84" s="222">
        <v>10</v>
      </c>
      <c r="D84" s="223">
        <v>1</v>
      </c>
      <c r="E84" s="318">
        <v>3000</v>
      </c>
      <c r="F84" s="224">
        <f>50*(1+$B$100)</f>
        <v>50</v>
      </c>
      <c r="G84" s="225">
        <v>0</v>
      </c>
      <c r="H84" s="20" t="str">
        <f>_xlfn.XLOOKUP(A84,Index!F:F,Index!E:E)</f>
        <v>AEEP</v>
      </c>
    </row>
    <row r="85" spans="1:8" x14ac:dyDescent="0.3">
      <c r="A85" s="221" t="s">
        <v>194</v>
      </c>
      <c r="B85" s="221"/>
      <c r="C85" s="222">
        <v>0</v>
      </c>
      <c r="D85" s="223">
        <v>0.2</v>
      </c>
      <c r="E85" s="318">
        <v>3000</v>
      </c>
      <c r="F85" s="224">
        <f>50*(1+$B$100)</f>
        <v>50</v>
      </c>
      <c r="G85" s="225">
        <v>0</v>
      </c>
      <c r="H85" s="20" t="str">
        <f>_xlfn.XLOOKUP(A85,Index!F:F,Index!E:E)</f>
        <v>AEBO</v>
      </c>
    </row>
    <row r="86" spans="1:8" x14ac:dyDescent="0.3">
      <c r="A86" s="221" t="s">
        <v>205</v>
      </c>
      <c r="B86" s="221" t="s">
        <v>461</v>
      </c>
      <c r="C86" s="222">
        <v>5</v>
      </c>
      <c r="D86" s="223">
        <v>0.2</v>
      </c>
      <c r="E86" s="318">
        <v>3000</v>
      </c>
      <c r="F86" s="224">
        <v>50</v>
      </c>
      <c r="G86" s="225">
        <v>0</v>
      </c>
      <c r="H86" s="20" t="str">
        <f>_xlfn.XLOOKUP(A86,Index!F:F,Index!E:E)</f>
        <v>AEAT</v>
      </c>
    </row>
    <row r="87" spans="1:8" x14ac:dyDescent="0.3">
      <c r="A87" s="221" t="s">
        <v>209</v>
      </c>
      <c r="B87" s="221" t="s">
        <v>461</v>
      </c>
      <c r="C87" s="222">
        <v>5</v>
      </c>
      <c r="D87" s="223">
        <v>0.2</v>
      </c>
      <c r="E87" s="318">
        <v>3000</v>
      </c>
      <c r="F87" s="224">
        <v>50</v>
      </c>
      <c r="G87" s="225">
        <v>0</v>
      </c>
      <c r="H87" s="20" t="str">
        <f>_xlfn.XLOOKUP(A87,Index!F:F,Index!E:E)</f>
        <v>AEAT</v>
      </c>
    </row>
    <row r="88" spans="1:8" x14ac:dyDescent="0.3">
      <c r="A88" s="221" t="s">
        <v>140</v>
      </c>
      <c r="B88" s="221"/>
      <c r="C88" s="222">
        <v>0</v>
      </c>
      <c r="D88" s="223">
        <v>0</v>
      </c>
      <c r="E88" s="318">
        <v>3000</v>
      </c>
      <c r="F88" s="224">
        <v>0</v>
      </c>
      <c r="G88" s="225">
        <v>0</v>
      </c>
      <c r="H88" s="305" t="s">
        <v>528</v>
      </c>
    </row>
    <row r="89" spans="1:8" x14ac:dyDescent="0.3">
      <c r="A89" s="221" t="s">
        <v>220</v>
      </c>
      <c r="B89" s="221"/>
      <c r="C89" s="222">
        <v>10</v>
      </c>
      <c r="D89" s="223">
        <v>0.2</v>
      </c>
      <c r="E89" s="318">
        <v>3000</v>
      </c>
      <c r="F89" s="224">
        <v>70</v>
      </c>
      <c r="G89" s="225">
        <v>0.01</v>
      </c>
      <c r="H89" s="20" t="str">
        <f>_xlfn.XLOOKUP(A89,Index!F:F,Index!E:E)</f>
        <v>AELI</v>
      </c>
    </row>
    <row r="90" spans="1:8" x14ac:dyDescent="0.3">
      <c r="A90" s="221" t="s">
        <v>34</v>
      </c>
      <c r="B90" s="221"/>
      <c r="C90" s="222">
        <v>5</v>
      </c>
      <c r="D90" s="223">
        <v>0.2</v>
      </c>
      <c r="E90" s="318">
        <v>3000</v>
      </c>
      <c r="F90" s="224">
        <v>70</v>
      </c>
      <c r="G90" s="225">
        <v>0</v>
      </c>
      <c r="H90" s="20" t="str">
        <f>_xlfn.XLOOKUP(A90,Index!F:F,Index!E:E)</f>
        <v>AELI</v>
      </c>
    </row>
    <row r="91" spans="1:8" x14ac:dyDescent="0.3">
      <c r="A91" s="221" t="s">
        <v>231</v>
      </c>
      <c r="B91" s="221"/>
      <c r="C91" s="222">
        <v>20</v>
      </c>
      <c r="D91" s="223">
        <f>15/60</f>
        <v>0.25</v>
      </c>
      <c r="E91" s="318">
        <v>3000</v>
      </c>
      <c r="F91" s="224">
        <v>55</v>
      </c>
      <c r="G91" s="369"/>
      <c r="H91" s="20" t="str">
        <f>_xlfn.XLOOKUP(A91,Index!F:F,Index!E:E)</f>
        <v>AESU</v>
      </c>
    </row>
    <row r="92" spans="1:8" x14ac:dyDescent="0.3">
      <c r="A92" s="169"/>
      <c r="B92" s="169"/>
      <c r="C92" s="170"/>
      <c r="D92" s="171"/>
      <c r="E92" s="172"/>
      <c r="F92" s="173"/>
      <c r="G92" s="35"/>
    </row>
    <row r="93" spans="1:8" x14ac:dyDescent="0.3">
      <c r="A93" s="169"/>
      <c r="B93" s="169"/>
      <c r="C93" s="170"/>
      <c r="D93" s="171"/>
      <c r="E93" s="172"/>
      <c r="F93" s="173"/>
      <c r="G93" s="35"/>
    </row>
    <row r="94" spans="1:8" x14ac:dyDescent="0.3">
      <c r="A94" s="169"/>
      <c r="B94" s="169"/>
      <c r="C94" s="170"/>
      <c r="D94" s="171"/>
      <c r="E94" s="172"/>
      <c r="F94" s="173"/>
      <c r="G94" s="35"/>
    </row>
    <row r="95" spans="1:8" x14ac:dyDescent="0.3">
      <c r="A95" s="169"/>
      <c r="B95" s="169"/>
      <c r="C95" s="170"/>
      <c r="D95" s="171"/>
      <c r="E95" s="172"/>
      <c r="F95" s="173"/>
      <c r="G95" s="35"/>
    </row>
    <row r="96" spans="1:8" x14ac:dyDescent="0.3">
      <c r="A96" s="169"/>
      <c r="B96" s="169"/>
      <c r="C96" s="170"/>
      <c r="D96" s="171"/>
      <c r="E96" s="172"/>
      <c r="F96" s="173"/>
      <c r="G96" s="35"/>
    </row>
    <row r="97" spans="1:8" x14ac:dyDescent="0.3">
      <c r="A97" s="169"/>
      <c r="B97" s="169"/>
      <c r="C97" s="170"/>
      <c r="D97" s="171"/>
      <c r="E97" s="172"/>
      <c r="F97" s="173"/>
      <c r="G97" s="35"/>
    </row>
    <row r="99" spans="1:8" x14ac:dyDescent="0.3">
      <c r="A99" s="20" t="s">
        <v>529</v>
      </c>
      <c r="B99" s="28">
        <v>0.2</v>
      </c>
    </row>
    <row r="100" spans="1:8" x14ac:dyDescent="0.3">
      <c r="A100" s="20" t="s">
        <v>530</v>
      </c>
      <c r="B100" s="28">
        <v>0</v>
      </c>
      <c r="D100" s="20" t="s">
        <v>531</v>
      </c>
    </row>
    <row r="101" spans="1:8" x14ac:dyDescent="0.3">
      <c r="A101" s="20" t="s">
        <v>461</v>
      </c>
      <c r="B101" s="116">
        <v>8.9999999999999993E-3</v>
      </c>
      <c r="C101" s="20" t="s">
        <v>532</v>
      </c>
      <c r="D101" s="20">
        <f>2.6+12.21</f>
        <v>14.81</v>
      </c>
    </row>
    <row r="102" spans="1:8" x14ac:dyDescent="0.3">
      <c r="A102" s="20" t="s">
        <v>444</v>
      </c>
      <c r="B102" s="116">
        <v>6.3E-2</v>
      </c>
      <c r="C102" s="20" t="s">
        <v>532</v>
      </c>
    </row>
    <row r="103" spans="1:8" x14ac:dyDescent="0.3">
      <c r="E103" s="109" t="s">
        <v>533</v>
      </c>
      <c r="F103" s="109" t="s">
        <v>534</v>
      </c>
      <c r="G103" s="20" t="s">
        <v>535</v>
      </c>
    </row>
    <row r="104" spans="1:8" x14ac:dyDescent="0.3">
      <c r="A104" s="105" t="s">
        <v>536</v>
      </c>
      <c r="B104" s="108">
        <f>17.94*(1+B99)</f>
        <v>21.528000000000002</v>
      </c>
      <c r="C104" s="105" t="s">
        <v>537</v>
      </c>
      <c r="D104" s="105"/>
      <c r="E104" s="105">
        <f>2</f>
        <v>2</v>
      </c>
      <c r="F104" s="105">
        <v>100</v>
      </c>
      <c r="G104" s="246">
        <v>0.25</v>
      </c>
      <c r="H104" s="35"/>
    </row>
    <row r="105" spans="1:8" x14ac:dyDescent="0.3">
      <c r="A105" s="105" t="s">
        <v>538</v>
      </c>
      <c r="B105" s="108">
        <f>22.43*(1+B99)</f>
        <v>26.916</v>
      </c>
      <c r="C105" s="105" t="s">
        <v>537</v>
      </c>
      <c r="D105" s="105"/>
      <c r="E105" s="105">
        <v>10</v>
      </c>
      <c r="F105" s="105">
        <v>100</v>
      </c>
      <c r="G105" s="246">
        <v>0.25</v>
      </c>
      <c r="H105" s="35"/>
    </row>
    <row r="106" spans="1:8" x14ac:dyDescent="0.3">
      <c r="A106" s="105"/>
      <c r="B106" s="107"/>
      <c r="C106" s="105"/>
      <c r="D106" s="105"/>
      <c r="E106" s="105"/>
      <c r="F106" s="105"/>
      <c r="G106" s="246"/>
      <c r="H106" s="35"/>
    </row>
    <row r="107" spans="1:8" x14ac:dyDescent="0.3">
      <c r="A107" s="105" t="s">
        <v>539</v>
      </c>
      <c r="B107" s="108">
        <f>9.45*(1+B99)</f>
        <v>11.339999999999998</v>
      </c>
      <c r="C107" s="105" t="s">
        <v>540</v>
      </c>
      <c r="D107" s="105"/>
      <c r="E107" s="105">
        <v>2</v>
      </c>
      <c r="F107" s="105">
        <v>100</v>
      </c>
      <c r="G107" s="246">
        <v>1</v>
      </c>
      <c r="H107" s="35"/>
    </row>
    <row r="108" spans="1:8" x14ac:dyDescent="0.3">
      <c r="A108" s="105" t="s">
        <v>541</v>
      </c>
      <c r="B108" s="108">
        <f>6.3*(1+B99)</f>
        <v>7.56</v>
      </c>
      <c r="C108" s="105" t="s">
        <v>540</v>
      </c>
      <c r="D108" s="105"/>
      <c r="E108" s="105">
        <v>10</v>
      </c>
      <c r="F108" s="105">
        <v>100</v>
      </c>
      <c r="G108" s="246">
        <v>0.25</v>
      </c>
      <c r="H108" s="35"/>
    </row>
    <row r="109" spans="1:8" x14ac:dyDescent="0.3">
      <c r="A109" s="105"/>
      <c r="B109" s="108"/>
      <c r="C109" s="105"/>
      <c r="D109" s="105"/>
      <c r="E109" s="105"/>
      <c r="F109" s="105"/>
      <c r="G109" s="106"/>
    </row>
    <row r="110" spans="1:8" x14ac:dyDescent="0.3">
      <c r="A110" s="105"/>
      <c r="B110" s="107"/>
      <c r="C110" s="105"/>
      <c r="D110" s="105"/>
      <c r="E110" s="105"/>
      <c r="F110" s="105"/>
      <c r="G110" s="106"/>
    </row>
    <row r="111" spans="1:8" x14ac:dyDescent="0.3">
      <c r="A111" s="105"/>
      <c r="B111" s="107"/>
      <c r="C111" s="105"/>
      <c r="D111" s="105"/>
      <c r="E111" s="105"/>
      <c r="F111" s="105"/>
      <c r="G111" s="106"/>
    </row>
    <row r="112" spans="1:8" x14ac:dyDescent="0.3">
      <c r="B112" s="182" t="s">
        <v>11</v>
      </c>
      <c r="C112" s="182" t="s">
        <v>147</v>
      </c>
      <c r="D112" s="182" t="s">
        <v>141</v>
      </c>
      <c r="E112" s="182" t="s">
        <v>139</v>
      </c>
      <c r="F112" s="182" t="s">
        <v>155</v>
      </c>
      <c r="G112" s="182" t="s">
        <v>170</v>
      </c>
      <c r="H112" s="20" t="s">
        <v>174</v>
      </c>
    </row>
    <row r="113" spans="1:8" x14ac:dyDescent="0.3">
      <c r="A113" s="157" t="s">
        <v>77</v>
      </c>
      <c r="B113" s="183">
        <v>140</v>
      </c>
      <c r="C113" s="183">
        <v>140</v>
      </c>
      <c r="D113" s="183">
        <v>140</v>
      </c>
      <c r="E113" s="183">
        <v>140</v>
      </c>
      <c r="F113" s="183">
        <v>140</v>
      </c>
      <c r="G113" s="183">
        <v>140</v>
      </c>
      <c r="H113" s="183">
        <v>140</v>
      </c>
    </row>
    <row r="114" spans="1:8" x14ac:dyDescent="0.3">
      <c r="A114" s="157" t="s">
        <v>79</v>
      </c>
      <c r="B114" s="183">
        <v>235</v>
      </c>
      <c r="C114" s="183">
        <v>235</v>
      </c>
      <c r="D114" s="183">
        <v>235</v>
      </c>
      <c r="E114" s="183">
        <v>235</v>
      </c>
      <c r="F114" s="183">
        <v>235</v>
      </c>
      <c r="G114" s="183">
        <v>235</v>
      </c>
      <c r="H114" s="183">
        <v>235</v>
      </c>
    </row>
    <row r="115" spans="1:8" x14ac:dyDescent="0.3">
      <c r="A115" s="157" t="s">
        <v>78</v>
      </c>
      <c r="B115" s="183">
        <v>530</v>
      </c>
      <c r="C115" s="183">
        <v>530</v>
      </c>
      <c r="D115" s="183">
        <v>530</v>
      </c>
      <c r="E115" s="183">
        <v>530</v>
      </c>
      <c r="F115" s="183">
        <v>530</v>
      </c>
      <c r="G115" s="183">
        <v>530</v>
      </c>
      <c r="H115" s="183">
        <v>530</v>
      </c>
    </row>
    <row r="116" spans="1:8" x14ac:dyDescent="0.3">
      <c r="A116" s="157" t="s">
        <v>76</v>
      </c>
      <c r="B116" s="183">
        <v>240</v>
      </c>
      <c r="C116" s="183">
        <v>240</v>
      </c>
      <c r="D116" s="183">
        <v>240</v>
      </c>
      <c r="E116" s="183">
        <v>240</v>
      </c>
      <c r="F116" s="183">
        <v>240</v>
      </c>
      <c r="G116" s="183">
        <v>240</v>
      </c>
      <c r="H116" s="183">
        <v>240</v>
      </c>
    </row>
    <row r="117" spans="1:8" x14ac:dyDescent="0.3">
      <c r="A117" s="157" t="s">
        <v>80</v>
      </c>
      <c r="B117" s="183">
        <v>235</v>
      </c>
      <c r="C117" s="183">
        <v>235</v>
      </c>
      <c r="D117" s="183">
        <v>235</v>
      </c>
      <c r="E117" s="183">
        <v>235</v>
      </c>
      <c r="F117" s="183">
        <v>235</v>
      </c>
      <c r="G117" s="183">
        <v>235</v>
      </c>
      <c r="H117" s="183">
        <v>235</v>
      </c>
    </row>
    <row r="119" spans="1:8" x14ac:dyDescent="0.3">
      <c r="A119" s="20" t="s">
        <v>542</v>
      </c>
      <c r="C119" s="300">
        <v>45</v>
      </c>
      <c r="D119" s="20">
        <v>45</v>
      </c>
      <c r="F119" s="20">
        <v>55</v>
      </c>
    </row>
    <row r="120" spans="1:8" x14ac:dyDescent="0.3">
      <c r="A120" s="20" t="s">
        <v>543</v>
      </c>
      <c r="C120" s="300">
        <v>215</v>
      </c>
      <c r="D120" s="20">
        <v>215</v>
      </c>
      <c r="F120" s="20">
        <v>230</v>
      </c>
    </row>
  </sheetData>
  <mergeCells count="10">
    <mergeCell ref="AF1:AH1"/>
    <mergeCell ref="AF2:AH2"/>
    <mergeCell ref="AJ2:AK2"/>
    <mergeCell ref="AB2:AD2"/>
    <mergeCell ref="Y2:AA2"/>
    <mergeCell ref="N2:O2"/>
    <mergeCell ref="P2:Q2"/>
    <mergeCell ref="R2:S2"/>
    <mergeCell ref="V2:X2"/>
    <mergeCell ref="T2:U2"/>
  </mergeCells>
  <dataValidations count="1">
    <dataValidation type="list" allowBlank="1" showInputMessage="1" showErrorMessage="1" sqref="B1" xr:uid="{74A05040-FC4A-4A11-A960-C6D7F5109664}">
      <formula1>"Site,MD CERM"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560A6-7E84-4AF0-9E83-D1C41312C3DA}">
  <sheetPr codeName="Feuil11">
    <tabColor theme="0" tint="-0.34998626667073579"/>
  </sheetPr>
  <dimension ref="A1:Q911"/>
  <sheetViews>
    <sheetView workbookViewId="0">
      <pane ySplit="1" topLeftCell="A874" activePane="bottomLeft" state="frozen"/>
      <selection activeCell="E40" sqref="E40"/>
      <selection pane="bottomLeft" activeCell="E40" sqref="E40"/>
    </sheetView>
  </sheetViews>
  <sheetFormatPr baseColWidth="10" defaultColWidth="11.44140625" defaultRowHeight="14.4" outlineLevelCol="1" x14ac:dyDescent="0.3"/>
  <cols>
    <col min="2" max="2" width="45" customWidth="1"/>
    <col min="3" max="3" width="17.44140625" customWidth="1"/>
    <col min="4" max="4" width="18.33203125" bestFit="1" customWidth="1"/>
    <col min="5" max="5" width="15" style="66" customWidth="1" outlineLevel="1"/>
    <col min="6" max="6" width="12.5546875" style="66" customWidth="1" outlineLevel="1"/>
    <col min="7" max="7" width="11.109375" style="66" customWidth="1" outlineLevel="1"/>
    <col min="8" max="8" width="15.5546875" style="67" customWidth="1" outlineLevel="1"/>
    <col min="9" max="9" width="11" style="68" customWidth="1" outlineLevel="1"/>
    <col min="10" max="14" width="11.5546875" style="15" customWidth="1" outlineLevel="1"/>
  </cols>
  <sheetData>
    <row r="1" spans="1:14" x14ac:dyDescent="0.3">
      <c r="A1" t="s">
        <v>128</v>
      </c>
      <c r="B1" t="s">
        <v>503</v>
      </c>
      <c r="C1" s="18" t="s">
        <v>477</v>
      </c>
      <c r="D1" s="19" t="s">
        <v>25</v>
      </c>
      <c r="E1" s="63" t="s">
        <v>544</v>
      </c>
      <c r="F1" s="63" t="s">
        <v>545</v>
      </c>
      <c r="G1" s="63" t="s">
        <v>546</v>
      </c>
      <c r="H1" s="64" t="s">
        <v>547</v>
      </c>
      <c r="I1" s="65" t="s">
        <v>548</v>
      </c>
      <c r="J1" s="110" t="s">
        <v>549</v>
      </c>
      <c r="K1" s="110" t="s">
        <v>550</v>
      </c>
      <c r="L1" s="110" t="s">
        <v>551</v>
      </c>
      <c r="M1" s="110" t="s">
        <v>552</v>
      </c>
      <c r="N1" s="110" t="s">
        <v>553</v>
      </c>
    </row>
    <row r="2" spans="1:14" x14ac:dyDescent="0.3">
      <c r="A2" s="158" t="s">
        <v>141</v>
      </c>
      <c r="B2" s="158" t="str">
        <f>A2&amp;" - "&amp;D2</f>
        <v>AEAT - Noir</v>
      </c>
      <c r="C2" s="159" t="s">
        <v>349</v>
      </c>
      <c r="D2" s="160" t="s">
        <v>554</v>
      </c>
      <c r="E2" s="161">
        <v>0</v>
      </c>
      <c r="F2" s="161">
        <v>0.1</v>
      </c>
      <c r="G2" s="162">
        <v>15</v>
      </c>
      <c r="H2" s="400">
        <f>25/60</f>
        <v>0.41666666666666669</v>
      </c>
      <c r="I2" s="164">
        <v>8.52</v>
      </c>
      <c r="J2" s="168"/>
      <c r="K2" s="168"/>
      <c r="L2" s="168"/>
      <c r="M2" s="168"/>
      <c r="N2" s="168">
        <v>2</v>
      </c>
    </row>
    <row r="3" spans="1:14" x14ac:dyDescent="0.3">
      <c r="A3" s="158" t="s">
        <v>141</v>
      </c>
      <c r="B3" s="158" t="str">
        <f t="shared" ref="B3:B66" si="0">A3&amp;" - "&amp;D3</f>
        <v>AEAT - Noir+1 Silver</v>
      </c>
      <c r="C3" s="159" t="s">
        <v>349</v>
      </c>
      <c r="D3" s="160" t="s">
        <v>555</v>
      </c>
      <c r="E3" s="161">
        <v>0</v>
      </c>
      <c r="F3" s="161">
        <v>0.1</v>
      </c>
      <c r="G3" s="162">
        <v>15</v>
      </c>
      <c r="H3" s="400">
        <v>0.41666666666666669</v>
      </c>
      <c r="I3" s="164">
        <v>28.75</v>
      </c>
      <c r="J3" s="168"/>
      <c r="K3" s="168"/>
      <c r="L3" s="168"/>
      <c r="M3" s="168"/>
      <c r="N3" s="168">
        <v>4</v>
      </c>
    </row>
    <row r="4" spans="1:14" x14ac:dyDescent="0.3">
      <c r="A4" s="158" t="s">
        <v>141</v>
      </c>
      <c r="B4" s="158" t="str">
        <f t="shared" si="0"/>
        <v>AEAT - Noir+1 Blanc</v>
      </c>
      <c r="C4" s="159" t="s">
        <v>349</v>
      </c>
      <c r="D4" s="160" t="s">
        <v>556</v>
      </c>
      <c r="E4" s="161">
        <v>0</v>
      </c>
      <c r="F4" s="161">
        <v>0.1</v>
      </c>
      <c r="G4" s="162">
        <v>15</v>
      </c>
      <c r="H4" s="400">
        <v>0.41666666666666669</v>
      </c>
      <c r="I4" s="164">
        <v>10.11</v>
      </c>
      <c r="J4" s="168"/>
      <c r="K4" s="168"/>
      <c r="L4" s="168"/>
      <c r="M4" s="168"/>
      <c r="N4" s="168">
        <v>4</v>
      </c>
    </row>
    <row r="5" spans="1:14" x14ac:dyDescent="0.3">
      <c r="A5" s="158" t="s">
        <v>141</v>
      </c>
      <c r="B5" s="158" t="str">
        <f t="shared" si="0"/>
        <v>AEAT - Noir+1 Blanc+1 Silver</v>
      </c>
      <c r="C5" s="159" t="s">
        <v>349</v>
      </c>
      <c r="D5" s="160" t="s">
        <v>557</v>
      </c>
      <c r="E5" s="161">
        <v>0.33299999999999996</v>
      </c>
      <c r="F5" s="161">
        <v>0.1</v>
      </c>
      <c r="G5" s="162">
        <v>15</v>
      </c>
      <c r="H5" s="400">
        <v>0.41666666666666669</v>
      </c>
      <c r="I5" s="164">
        <v>23.07</v>
      </c>
      <c r="J5" s="168"/>
      <c r="K5" s="168"/>
      <c r="L5" s="168"/>
      <c r="M5" s="168"/>
      <c r="N5" s="168">
        <v>6</v>
      </c>
    </row>
    <row r="6" spans="1:14" x14ac:dyDescent="0.3">
      <c r="A6" s="158" t="s">
        <v>141</v>
      </c>
      <c r="B6" s="158" t="str">
        <f t="shared" si="0"/>
        <v>AEAT - Noir+1 Blanc+2 Silvers</v>
      </c>
      <c r="C6" s="159" t="s">
        <v>349</v>
      </c>
      <c r="D6" s="160" t="s">
        <v>558</v>
      </c>
      <c r="E6" s="161">
        <v>0.5</v>
      </c>
      <c r="F6" s="161">
        <v>0.1</v>
      </c>
      <c r="G6" s="162">
        <v>15</v>
      </c>
      <c r="H6" s="400">
        <v>0.41666666666666669</v>
      </c>
      <c r="I6" s="164">
        <v>29.55</v>
      </c>
      <c r="J6" s="168"/>
      <c r="K6" s="168"/>
      <c r="L6" s="168"/>
      <c r="M6" s="168"/>
      <c r="N6" s="168">
        <v>8</v>
      </c>
    </row>
    <row r="7" spans="1:14" x14ac:dyDescent="0.3">
      <c r="A7" s="158" t="s">
        <v>141</v>
      </c>
      <c r="B7" s="158" t="str">
        <f t="shared" si="0"/>
        <v>AEAT - Noir+1 Blanc+3 Silvers</v>
      </c>
      <c r="C7" s="159" t="s">
        <v>349</v>
      </c>
      <c r="D7" s="160" t="s">
        <v>559</v>
      </c>
      <c r="E7" s="161">
        <v>0.6</v>
      </c>
      <c r="F7" s="161">
        <v>0.1</v>
      </c>
      <c r="G7" s="162">
        <v>15</v>
      </c>
      <c r="H7" s="400">
        <v>0.41666666666666669</v>
      </c>
      <c r="I7" s="164">
        <v>33.44</v>
      </c>
      <c r="J7" s="168"/>
      <c r="K7" s="168"/>
      <c r="L7" s="168"/>
      <c r="M7" s="168"/>
      <c r="N7" s="168">
        <v>10</v>
      </c>
    </row>
    <row r="8" spans="1:14" x14ac:dyDescent="0.3">
      <c r="A8" s="158" t="s">
        <v>141</v>
      </c>
      <c r="B8" s="158" t="str">
        <f t="shared" si="0"/>
        <v>AEAT - Noir+1 Blanc+4 Silvers</v>
      </c>
      <c r="C8" s="159" t="s">
        <v>349</v>
      </c>
      <c r="D8" s="160" t="s">
        <v>560</v>
      </c>
      <c r="E8" s="161">
        <v>0.66700000000000004</v>
      </c>
      <c r="F8" s="161">
        <v>0.1</v>
      </c>
      <c r="G8" s="162">
        <v>15</v>
      </c>
      <c r="H8" s="400">
        <v>0.41666666666666669</v>
      </c>
      <c r="I8" s="164">
        <v>36.03</v>
      </c>
      <c r="J8" s="168"/>
      <c r="K8" s="168"/>
      <c r="L8" s="168"/>
      <c r="M8" s="168"/>
      <c r="N8" s="168">
        <v>12</v>
      </c>
    </row>
    <row r="9" spans="1:14" x14ac:dyDescent="0.3">
      <c r="A9" s="158" t="s">
        <v>141</v>
      </c>
      <c r="B9" s="158" t="str">
        <f t="shared" si="0"/>
        <v>AEAT - Noir+2 Silvers</v>
      </c>
      <c r="C9" s="159" t="s">
        <v>349</v>
      </c>
      <c r="D9" s="160" t="s">
        <v>561</v>
      </c>
      <c r="E9" s="161">
        <v>0.33299999999999996</v>
      </c>
      <c r="F9" s="161">
        <v>0.1</v>
      </c>
      <c r="G9" s="162">
        <v>15</v>
      </c>
      <c r="H9" s="400">
        <v>0.41666666666666669</v>
      </c>
      <c r="I9" s="164">
        <v>35.5</v>
      </c>
      <c r="J9" s="168"/>
      <c r="K9" s="168"/>
      <c r="L9" s="168"/>
      <c r="M9" s="168"/>
      <c r="N9" s="168">
        <v>6</v>
      </c>
    </row>
    <row r="10" spans="1:14" x14ac:dyDescent="0.3">
      <c r="A10" s="158" t="s">
        <v>141</v>
      </c>
      <c r="B10" s="158" t="str">
        <f t="shared" si="0"/>
        <v>AEAT - Noir+2 Blancs</v>
      </c>
      <c r="C10" s="159" t="s">
        <v>349</v>
      </c>
      <c r="D10" s="160" t="s">
        <v>562</v>
      </c>
      <c r="E10" s="161">
        <v>0.33299999999999996</v>
      </c>
      <c r="F10" s="161">
        <v>0.1</v>
      </c>
      <c r="G10" s="162">
        <v>15</v>
      </c>
      <c r="H10" s="400">
        <v>0.41666666666666669</v>
      </c>
      <c r="I10" s="164">
        <v>10.65</v>
      </c>
      <c r="J10" s="168"/>
      <c r="K10" s="168"/>
      <c r="L10" s="168"/>
      <c r="M10" s="168"/>
      <c r="N10" s="168">
        <v>6</v>
      </c>
    </row>
    <row r="11" spans="1:14" x14ac:dyDescent="0.3">
      <c r="A11" s="158" t="s">
        <v>141</v>
      </c>
      <c r="B11" s="158" t="str">
        <f t="shared" si="0"/>
        <v>AEAT - Noir+2 Blancs+1 Silver</v>
      </c>
      <c r="C11" s="159" t="s">
        <v>349</v>
      </c>
      <c r="D11" s="160" t="s">
        <v>563</v>
      </c>
      <c r="E11" s="161">
        <v>0.5</v>
      </c>
      <c r="F11" s="161">
        <v>0.1</v>
      </c>
      <c r="G11" s="162">
        <v>15</v>
      </c>
      <c r="H11" s="400">
        <v>0.41666666666666669</v>
      </c>
      <c r="I11" s="164">
        <v>20.23</v>
      </c>
      <c r="J11" s="168"/>
      <c r="K11" s="168"/>
      <c r="L11" s="168"/>
      <c r="M11" s="168"/>
      <c r="N11" s="168">
        <v>8</v>
      </c>
    </row>
    <row r="12" spans="1:14" x14ac:dyDescent="0.3">
      <c r="A12" s="158" t="s">
        <v>141</v>
      </c>
      <c r="B12" s="158" t="str">
        <f t="shared" si="0"/>
        <v>AEAT - Noir+2 Blancs+2 Silvers</v>
      </c>
      <c r="C12" s="159" t="s">
        <v>349</v>
      </c>
      <c r="D12" s="160" t="s">
        <v>564</v>
      </c>
      <c r="E12" s="161">
        <v>0.6</v>
      </c>
      <c r="F12" s="161">
        <v>0.1</v>
      </c>
      <c r="G12" s="162">
        <v>15</v>
      </c>
      <c r="H12" s="400">
        <v>0.41666666666666669</v>
      </c>
      <c r="I12" s="164">
        <v>25.98</v>
      </c>
      <c r="J12" s="168"/>
      <c r="K12" s="168"/>
      <c r="L12" s="168"/>
      <c r="M12" s="168"/>
      <c r="N12" s="168">
        <v>10</v>
      </c>
    </row>
    <row r="13" spans="1:14" x14ac:dyDescent="0.3">
      <c r="A13" s="158" t="s">
        <v>141</v>
      </c>
      <c r="B13" s="158" t="str">
        <f t="shared" si="0"/>
        <v>AEAT - Noir+2 Blancs+3 Silvers</v>
      </c>
      <c r="C13" s="159" t="s">
        <v>349</v>
      </c>
      <c r="D13" s="160" t="s">
        <v>565</v>
      </c>
      <c r="E13" s="161">
        <v>0.66700000000000004</v>
      </c>
      <c r="F13" s="161">
        <v>0.1</v>
      </c>
      <c r="G13" s="162">
        <v>15</v>
      </c>
      <c r="H13" s="400">
        <v>0.41666666666666669</v>
      </c>
      <c r="I13" s="164">
        <v>29.82</v>
      </c>
      <c r="J13" s="168"/>
      <c r="K13" s="168"/>
      <c r="L13" s="168"/>
      <c r="M13" s="168"/>
      <c r="N13" s="168">
        <v>12</v>
      </c>
    </row>
    <row r="14" spans="1:14" x14ac:dyDescent="0.3">
      <c r="A14" s="158" t="s">
        <v>141</v>
      </c>
      <c r="B14" s="158" t="str">
        <f t="shared" si="0"/>
        <v>AEAT - Noir+2 Blancs+4 Silvers</v>
      </c>
      <c r="C14" s="159" t="s">
        <v>349</v>
      </c>
      <c r="D14" s="160" t="s">
        <v>566</v>
      </c>
      <c r="E14" s="161">
        <v>0.71400000000000008</v>
      </c>
      <c r="F14" s="161">
        <v>0.1</v>
      </c>
      <c r="G14" s="162">
        <v>15</v>
      </c>
      <c r="H14" s="400">
        <v>0.41666666666666669</v>
      </c>
      <c r="I14" s="164">
        <v>32.549999999999997</v>
      </c>
      <c r="J14" s="168"/>
      <c r="K14" s="168"/>
      <c r="L14" s="168"/>
      <c r="M14" s="168"/>
      <c r="N14" s="168">
        <v>14</v>
      </c>
    </row>
    <row r="15" spans="1:14" x14ac:dyDescent="0.3">
      <c r="A15" s="158" t="s">
        <v>141</v>
      </c>
      <c r="B15" s="158" t="str">
        <f t="shared" si="0"/>
        <v>AEAT - Noir+3 Silvers</v>
      </c>
      <c r="C15" s="159" t="s">
        <v>349</v>
      </c>
      <c r="D15" s="160" t="s">
        <v>567</v>
      </c>
      <c r="E15" s="161">
        <v>0.5</v>
      </c>
      <c r="F15" s="161">
        <v>0.1</v>
      </c>
      <c r="G15" s="162">
        <v>15</v>
      </c>
      <c r="H15" s="400">
        <v>0.41666666666666669</v>
      </c>
      <c r="I15" s="164">
        <v>38.869999999999997</v>
      </c>
      <c r="J15" s="168"/>
      <c r="K15" s="168"/>
      <c r="L15" s="168"/>
      <c r="M15" s="168"/>
      <c r="N15" s="168">
        <v>8</v>
      </c>
    </row>
    <row r="16" spans="1:14" x14ac:dyDescent="0.3">
      <c r="A16" s="158" t="s">
        <v>141</v>
      </c>
      <c r="B16" s="158" t="str">
        <f t="shared" si="0"/>
        <v>AEAT - Noir+4 Silvers</v>
      </c>
      <c r="C16" s="159" t="s">
        <v>349</v>
      </c>
      <c r="D16" s="160" t="s">
        <v>568</v>
      </c>
      <c r="E16" s="161">
        <v>0.6</v>
      </c>
      <c r="F16" s="161">
        <v>0.1</v>
      </c>
      <c r="G16" s="162">
        <v>15</v>
      </c>
      <c r="H16" s="400">
        <v>0.41666666666666669</v>
      </c>
      <c r="I16" s="164">
        <v>40.89</v>
      </c>
      <c r="J16" s="168"/>
      <c r="K16" s="168"/>
      <c r="L16" s="168"/>
      <c r="M16" s="168"/>
      <c r="N16" s="168">
        <v>10</v>
      </c>
    </row>
    <row r="17" spans="1:14" x14ac:dyDescent="0.3">
      <c r="A17" s="158" t="s">
        <v>141</v>
      </c>
      <c r="B17" s="158" t="str">
        <f t="shared" si="0"/>
        <v>AEAT - 1 Silver</v>
      </c>
      <c r="C17" s="159" t="s">
        <v>349</v>
      </c>
      <c r="D17" s="160" t="s">
        <v>569</v>
      </c>
      <c r="E17" s="161">
        <v>0</v>
      </c>
      <c r="F17" s="161">
        <v>0.1</v>
      </c>
      <c r="G17" s="162">
        <v>15</v>
      </c>
      <c r="H17" s="400">
        <v>0.41666666666666669</v>
      </c>
      <c r="I17" s="164">
        <v>48.99</v>
      </c>
      <c r="J17" s="168"/>
      <c r="K17" s="168"/>
      <c r="L17" s="168"/>
      <c r="M17" s="168"/>
      <c r="N17" s="168">
        <v>2</v>
      </c>
    </row>
    <row r="18" spans="1:14" x14ac:dyDescent="0.3">
      <c r="A18" s="158" t="s">
        <v>141</v>
      </c>
      <c r="B18" s="158" t="str">
        <f t="shared" si="0"/>
        <v>AEAT - 1 Blanc</v>
      </c>
      <c r="C18" s="159" t="s">
        <v>349</v>
      </c>
      <c r="D18" s="160" t="s">
        <v>570</v>
      </c>
      <c r="E18" s="161">
        <v>0</v>
      </c>
      <c r="F18" s="161">
        <v>0.1</v>
      </c>
      <c r="G18" s="162">
        <v>15</v>
      </c>
      <c r="H18" s="400">
        <v>0.41666666666666669</v>
      </c>
      <c r="I18" s="164">
        <v>11.71</v>
      </c>
      <c r="J18" s="168"/>
      <c r="K18" s="168"/>
      <c r="L18" s="168"/>
      <c r="M18" s="168"/>
      <c r="N18" s="168">
        <v>2</v>
      </c>
    </row>
    <row r="19" spans="1:14" x14ac:dyDescent="0.3">
      <c r="A19" s="158" t="s">
        <v>141</v>
      </c>
      <c r="B19" s="158" t="str">
        <f t="shared" si="0"/>
        <v>AEAT - 1 Blanc+1 Silver</v>
      </c>
      <c r="C19" s="159" t="s">
        <v>349</v>
      </c>
      <c r="D19" s="160" t="s">
        <v>571</v>
      </c>
      <c r="E19" s="161">
        <v>0</v>
      </c>
      <c r="F19" s="161">
        <v>0.1</v>
      </c>
      <c r="G19" s="162">
        <v>15</v>
      </c>
      <c r="H19" s="400">
        <v>0.41666666666666669</v>
      </c>
      <c r="I19" s="164">
        <v>30.35</v>
      </c>
      <c r="J19" s="168"/>
      <c r="K19" s="168"/>
      <c r="L19" s="168"/>
      <c r="M19" s="168"/>
      <c r="N19" s="168">
        <v>4</v>
      </c>
    </row>
    <row r="20" spans="1:14" x14ac:dyDescent="0.3">
      <c r="A20" s="158" t="s">
        <v>141</v>
      </c>
      <c r="B20" s="158" t="str">
        <f t="shared" si="0"/>
        <v>AEAT - 1 Blanc+2 Silvers</v>
      </c>
      <c r="C20" s="159" t="s">
        <v>349</v>
      </c>
      <c r="D20" s="160" t="s">
        <v>572</v>
      </c>
      <c r="E20" s="161">
        <v>0.33299999999999996</v>
      </c>
      <c r="F20" s="161">
        <v>0.1</v>
      </c>
      <c r="G20" s="162">
        <v>15</v>
      </c>
      <c r="H20" s="400">
        <v>0.41666666666666669</v>
      </c>
      <c r="I20" s="164">
        <v>36.56</v>
      </c>
      <c r="J20" s="168"/>
      <c r="K20" s="168"/>
      <c r="L20" s="168"/>
      <c r="M20" s="168"/>
      <c r="N20" s="168">
        <v>6</v>
      </c>
    </row>
    <row r="21" spans="1:14" x14ac:dyDescent="0.3">
      <c r="A21" s="158" t="s">
        <v>141</v>
      </c>
      <c r="B21" s="158" t="str">
        <f t="shared" si="0"/>
        <v>AEAT - 1 Blanc+3 Silvers</v>
      </c>
      <c r="C21" s="159" t="s">
        <v>349</v>
      </c>
      <c r="D21" s="160" t="s">
        <v>573</v>
      </c>
      <c r="E21" s="161">
        <v>0.5</v>
      </c>
      <c r="F21" s="161">
        <v>0.1</v>
      </c>
      <c r="G21" s="162">
        <v>15</v>
      </c>
      <c r="H21" s="400">
        <v>0.41666666666666669</v>
      </c>
      <c r="I21" s="164">
        <v>39.67</v>
      </c>
      <c r="J21" s="168"/>
      <c r="K21" s="168"/>
      <c r="L21" s="168"/>
      <c r="M21" s="168"/>
      <c r="N21" s="168">
        <v>8</v>
      </c>
    </row>
    <row r="22" spans="1:14" x14ac:dyDescent="0.3">
      <c r="A22" s="158" t="s">
        <v>141</v>
      </c>
      <c r="B22" s="158" t="str">
        <f t="shared" si="0"/>
        <v>AEAT - 1 Blanc+4 Silvers</v>
      </c>
      <c r="C22" s="159" t="s">
        <v>349</v>
      </c>
      <c r="D22" s="160" t="s">
        <v>574</v>
      </c>
      <c r="E22" s="161">
        <v>0.6</v>
      </c>
      <c r="F22" s="161">
        <v>0.1</v>
      </c>
      <c r="G22" s="162">
        <v>15</v>
      </c>
      <c r="H22" s="400">
        <v>0.41666666666666669</v>
      </c>
      <c r="I22" s="164">
        <v>41.53</v>
      </c>
      <c r="J22" s="168"/>
      <c r="K22" s="168"/>
      <c r="L22" s="168"/>
      <c r="M22" s="168"/>
      <c r="N22" s="168">
        <v>10</v>
      </c>
    </row>
    <row r="23" spans="1:14" x14ac:dyDescent="0.3">
      <c r="A23" s="158" t="s">
        <v>141</v>
      </c>
      <c r="B23" s="158" t="str">
        <f t="shared" si="0"/>
        <v>AEAT - 2 Couleurs</v>
      </c>
      <c r="C23" s="159" t="s">
        <v>349</v>
      </c>
      <c r="D23" s="160" t="s">
        <v>575</v>
      </c>
      <c r="E23" s="161">
        <v>0</v>
      </c>
      <c r="F23" s="161">
        <v>0.1</v>
      </c>
      <c r="G23" s="162">
        <v>15</v>
      </c>
      <c r="H23" s="400">
        <v>0.41666666666666669</v>
      </c>
      <c r="I23" s="164">
        <v>8.52</v>
      </c>
      <c r="J23" s="168"/>
      <c r="K23" s="168"/>
      <c r="L23" s="168"/>
      <c r="M23" s="168"/>
      <c r="N23" s="168">
        <v>4</v>
      </c>
    </row>
    <row r="24" spans="1:14" x14ac:dyDescent="0.3">
      <c r="A24" s="158" t="s">
        <v>141</v>
      </c>
      <c r="B24" s="158" t="str">
        <f t="shared" si="0"/>
        <v>AEAT - 2 Couleurs+1 Silver</v>
      </c>
      <c r="C24" s="159" t="s">
        <v>349</v>
      </c>
      <c r="D24" s="160" t="s">
        <v>576</v>
      </c>
      <c r="E24" s="161">
        <v>0.33299999999999996</v>
      </c>
      <c r="F24" s="161">
        <v>0.1</v>
      </c>
      <c r="G24" s="162">
        <v>15</v>
      </c>
      <c r="H24" s="400">
        <v>0.41666666666666669</v>
      </c>
      <c r="I24" s="164">
        <v>22.01</v>
      </c>
      <c r="J24" s="168"/>
      <c r="K24" s="168"/>
      <c r="L24" s="168"/>
      <c r="M24" s="168"/>
      <c r="N24" s="168">
        <v>6</v>
      </c>
    </row>
    <row r="25" spans="1:14" x14ac:dyDescent="0.3">
      <c r="A25" s="158" t="s">
        <v>141</v>
      </c>
      <c r="B25" s="158" t="str">
        <f t="shared" si="0"/>
        <v>AEAT - 2 Couleurs+1 Blanc</v>
      </c>
      <c r="C25" s="159" t="s">
        <v>349</v>
      </c>
      <c r="D25" s="160" t="s">
        <v>577</v>
      </c>
      <c r="E25" s="161">
        <v>0.33299999999999996</v>
      </c>
      <c r="F25" s="161">
        <v>0.1</v>
      </c>
      <c r="G25" s="162">
        <v>15</v>
      </c>
      <c r="H25" s="400">
        <v>0.41666666666666669</v>
      </c>
      <c r="I25" s="164">
        <v>9.58</v>
      </c>
      <c r="J25" s="168"/>
      <c r="K25" s="168"/>
      <c r="L25" s="168"/>
      <c r="M25" s="168"/>
      <c r="N25" s="168">
        <v>6</v>
      </c>
    </row>
    <row r="26" spans="1:14" ht="24" x14ac:dyDescent="0.3">
      <c r="A26" s="158" t="s">
        <v>141</v>
      </c>
      <c r="B26" s="158" t="str">
        <f t="shared" si="0"/>
        <v>AEAT - 2 Couleurs+1 Blanc+1 Silver</v>
      </c>
      <c r="C26" s="159" t="s">
        <v>349</v>
      </c>
      <c r="D26" s="160" t="s">
        <v>578</v>
      </c>
      <c r="E26" s="161">
        <v>0.5</v>
      </c>
      <c r="F26" s="161">
        <v>0.1</v>
      </c>
      <c r="G26" s="162">
        <v>15</v>
      </c>
      <c r="H26" s="400">
        <v>0.41666666666666669</v>
      </c>
      <c r="I26" s="164">
        <v>19.43</v>
      </c>
      <c r="J26" s="168"/>
      <c r="K26" s="168"/>
      <c r="L26" s="168"/>
      <c r="M26" s="168"/>
      <c r="N26" s="168">
        <v>8</v>
      </c>
    </row>
    <row r="27" spans="1:14" ht="24" x14ac:dyDescent="0.3">
      <c r="A27" s="158" t="s">
        <v>141</v>
      </c>
      <c r="B27" s="158" t="str">
        <f t="shared" si="0"/>
        <v>AEAT - 2 Couleurs+1 Blanc+2 Silvers</v>
      </c>
      <c r="C27" s="159" t="s">
        <v>349</v>
      </c>
      <c r="D27" s="160" t="s">
        <v>579</v>
      </c>
      <c r="E27" s="161">
        <v>0.6</v>
      </c>
      <c r="F27" s="161">
        <v>0.1</v>
      </c>
      <c r="G27" s="162">
        <v>15</v>
      </c>
      <c r="H27" s="400">
        <v>0.41666666666666669</v>
      </c>
      <c r="I27" s="164">
        <v>25.34</v>
      </c>
      <c r="J27" s="168"/>
      <c r="K27" s="168"/>
      <c r="L27" s="168"/>
      <c r="M27" s="168"/>
      <c r="N27" s="168">
        <v>10</v>
      </c>
    </row>
    <row r="28" spans="1:14" ht="24" x14ac:dyDescent="0.3">
      <c r="A28" s="158" t="s">
        <v>141</v>
      </c>
      <c r="B28" s="158" t="str">
        <f t="shared" si="0"/>
        <v>AEAT - 2 Couleurs+1 Blanc+3 Silvers</v>
      </c>
      <c r="C28" s="159" t="s">
        <v>349</v>
      </c>
      <c r="D28" s="160" t="s">
        <v>580</v>
      </c>
      <c r="E28" s="161">
        <v>0.66700000000000004</v>
      </c>
      <c r="F28" s="161">
        <v>0.1</v>
      </c>
      <c r="G28" s="162">
        <v>15</v>
      </c>
      <c r="H28" s="400">
        <v>0.41666666666666669</v>
      </c>
      <c r="I28" s="164">
        <v>29.28</v>
      </c>
      <c r="J28" s="168"/>
      <c r="K28" s="168"/>
      <c r="L28" s="168"/>
      <c r="M28" s="168"/>
      <c r="N28" s="168">
        <v>12</v>
      </c>
    </row>
    <row r="29" spans="1:14" ht="24" x14ac:dyDescent="0.3">
      <c r="A29" s="158" t="s">
        <v>141</v>
      </c>
      <c r="B29" s="158" t="str">
        <f t="shared" si="0"/>
        <v>AEAT - 2 Couleurs+1 Blanc+4 Silvers</v>
      </c>
      <c r="C29" s="159" t="s">
        <v>349</v>
      </c>
      <c r="D29" s="160" t="s">
        <v>581</v>
      </c>
      <c r="E29" s="161">
        <v>0.71400000000000008</v>
      </c>
      <c r="F29" s="161">
        <v>0.1</v>
      </c>
      <c r="G29" s="162">
        <v>15</v>
      </c>
      <c r="H29" s="400">
        <v>0.41666666666666669</v>
      </c>
      <c r="I29" s="164">
        <v>32.1</v>
      </c>
      <c r="J29" s="168"/>
      <c r="K29" s="168"/>
      <c r="L29" s="168"/>
      <c r="M29" s="168"/>
      <c r="N29" s="168">
        <v>14</v>
      </c>
    </row>
    <row r="30" spans="1:14" x14ac:dyDescent="0.3">
      <c r="A30" s="158" t="s">
        <v>141</v>
      </c>
      <c r="B30" s="158" t="str">
        <f t="shared" si="0"/>
        <v>AEAT - 2 Couleurs+2 Silvers</v>
      </c>
      <c r="C30" s="159" t="s">
        <v>349</v>
      </c>
      <c r="D30" s="160" t="s">
        <v>582</v>
      </c>
      <c r="E30" s="161">
        <v>0.5</v>
      </c>
      <c r="F30" s="161">
        <v>0.1</v>
      </c>
      <c r="G30" s="162">
        <v>15</v>
      </c>
      <c r="H30" s="400">
        <v>0.41666666666666669</v>
      </c>
      <c r="I30" s="164">
        <v>28.75</v>
      </c>
      <c r="J30" s="168"/>
      <c r="K30" s="168"/>
      <c r="L30" s="168"/>
      <c r="M30" s="168"/>
      <c r="N30" s="168">
        <v>8</v>
      </c>
    </row>
    <row r="31" spans="1:14" x14ac:dyDescent="0.3">
      <c r="A31" s="158" t="s">
        <v>141</v>
      </c>
      <c r="B31" s="158" t="str">
        <f t="shared" si="0"/>
        <v>AEAT - 2 Couleurs+2 Blancs</v>
      </c>
      <c r="C31" s="159" t="s">
        <v>349</v>
      </c>
      <c r="D31" s="160" t="s">
        <v>583</v>
      </c>
      <c r="E31" s="161">
        <v>0.5</v>
      </c>
      <c r="F31" s="161">
        <v>0.1</v>
      </c>
      <c r="G31" s="162">
        <v>15</v>
      </c>
      <c r="H31" s="400">
        <v>0.41666666666666669</v>
      </c>
      <c r="I31" s="164">
        <v>10.11</v>
      </c>
      <c r="J31" s="168"/>
      <c r="K31" s="168"/>
      <c r="L31" s="168"/>
      <c r="M31" s="168"/>
      <c r="N31" s="168">
        <v>8</v>
      </c>
    </row>
    <row r="32" spans="1:14" ht="24" x14ac:dyDescent="0.3">
      <c r="A32" s="158" t="s">
        <v>141</v>
      </c>
      <c r="B32" s="158" t="str">
        <f t="shared" si="0"/>
        <v>AEAT - 2 Couleurs+2 Blancs+1 Silver</v>
      </c>
      <c r="C32" s="159" t="s">
        <v>349</v>
      </c>
      <c r="D32" s="160" t="s">
        <v>584</v>
      </c>
      <c r="E32" s="161">
        <v>0.6</v>
      </c>
      <c r="F32" s="161">
        <v>0.1</v>
      </c>
      <c r="G32" s="162">
        <v>15</v>
      </c>
      <c r="H32" s="400">
        <v>0.41666666666666669</v>
      </c>
      <c r="I32" s="164">
        <v>17.89</v>
      </c>
      <c r="J32" s="168"/>
      <c r="K32" s="168"/>
      <c r="L32" s="168"/>
      <c r="M32" s="168"/>
      <c r="N32" s="168">
        <v>10</v>
      </c>
    </row>
    <row r="33" spans="1:14" ht="24" x14ac:dyDescent="0.3">
      <c r="A33" s="158" t="s">
        <v>141</v>
      </c>
      <c r="B33" s="158" t="str">
        <f t="shared" si="0"/>
        <v>AEAT - 2 Couleurs+2 Blancs+2 Silvers</v>
      </c>
      <c r="C33" s="159" t="s">
        <v>349</v>
      </c>
      <c r="D33" s="160" t="s">
        <v>585</v>
      </c>
      <c r="E33" s="161">
        <v>0.66700000000000004</v>
      </c>
      <c r="F33" s="161">
        <v>0.1</v>
      </c>
      <c r="G33" s="162">
        <v>15</v>
      </c>
      <c r="H33" s="400">
        <v>0.41666666666666669</v>
      </c>
      <c r="I33" s="164">
        <v>23.07</v>
      </c>
      <c r="J33" s="168"/>
      <c r="K33" s="168"/>
      <c r="L33" s="168"/>
      <c r="M33" s="168"/>
      <c r="N33" s="168">
        <v>12</v>
      </c>
    </row>
    <row r="34" spans="1:14" ht="24" x14ac:dyDescent="0.3">
      <c r="A34" s="158" t="s">
        <v>141</v>
      </c>
      <c r="B34" s="158" t="str">
        <f t="shared" si="0"/>
        <v>AEAT - 2 Couleurs+2 Blancs+3 Silvers</v>
      </c>
      <c r="C34" s="159" t="s">
        <v>349</v>
      </c>
      <c r="D34" s="160" t="s">
        <v>586</v>
      </c>
      <c r="E34" s="161">
        <v>0.71400000000000008</v>
      </c>
      <c r="F34" s="161">
        <v>0.1</v>
      </c>
      <c r="G34" s="162">
        <v>15</v>
      </c>
      <c r="H34" s="400">
        <v>0.41666666666666669</v>
      </c>
      <c r="I34" s="164">
        <v>26.77</v>
      </c>
      <c r="J34" s="168"/>
      <c r="K34" s="168"/>
      <c r="L34" s="168"/>
      <c r="M34" s="168"/>
      <c r="N34" s="168">
        <v>14</v>
      </c>
    </row>
    <row r="35" spans="1:14" ht="24" x14ac:dyDescent="0.3">
      <c r="A35" s="158" t="s">
        <v>141</v>
      </c>
      <c r="B35" s="158" t="str">
        <f t="shared" si="0"/>
        <v>AEAT - 2 Couleurs+2 Blancs+4 Silvers</v>
      </c>
      <c r="C35" s="159" t="s">
        <v>349</v>
      </c>
      <c r="D35" s="160" t="s">
        <v>587</v>
      </c>
      <c r="E35" s="161">
        <v>0.75</v>
      </c>
      <c r="F35" s="161">
        <v>0.1</v>
      </c>
      <c r="G35" s="162">
        <v>15</v>
      </c>
      <c r="H35" s="400">
        <v>0.41666666666666669</v>
      </c>
      <c r="I35" s="164">
        <v>29.55</v>
      </c>
      <c r="J35" s="168"/>
      <c r="K35" s="168"/>
      <c r="L35" s="168"/>
      <c r="M35" s="168"/>
      <c r="N35" s="168">
        <v>16</v>
      </c>
    </row>
    <row r="36" spans="1:14" x14ac:dyDescent="0.3">
      <c r="A36" s="158" t="s">
        <v>141</v>
      </c>
      <c r="B36" s="158" t="str">
        <f t="shared" si="0"/>
        <v>AEAT - 2 Couleurs+3 Silvers</v>
      </c>
      <c r="C36" s="159" t="s">
        <v>349</v>
      </c>
      <c r="D36" s="160" t="s">
        <v>588</v>
      </c>
      <c r="E36" s="161">
        <v>0.6</v>
      </c>
      <c r="F36" s="161">
        <v>0.1</v>
      </c>
      <c r="G36" s="162">
        <v>15</v>
      </c>
      <c r="H36" s="400">
        <v>0.41666666666666669</v>
      </c>
      <c r="I36" s="164">
        <v>32.799999999999997</v>
      </c>
      <c r="J36" s="168"/>
      <c r="K36" s="168"/>
      <c r="L36" s="168"/>
      <c r="M36" s="168"/>
      <c r="N36" s="168">
        <v>10</v>
      </c>
    </row>
    <row r="37" spans="1:14" x14ac:dyDescent="0.3">
      <c r="A37" s="158" t="s">
        <v>141</v>
      </c>
      <c r="B37" s="158" t="str">
        <f t="shared" si="0"/>
        <v>AEAT - 2 Couleurs+4 Silvers</v>
      </c>
      <c r="C37" s="159" t="s">
        <v>349</v>
      </c>
      <c r="D37" s="160" t="s">
        <v>589</v>
      </c>
      <c r="E37" s="161">
        <v>0.66700000000000004</v>
      </c>
      <c r="F37" s="161">
        <v>0.1</v>
      </c>
      <c r="G37" s="162">
        <v>15</v>
      </c>
      <c r="H37" s="400">
        <v>0.41666666666666669</v>
      </c>
      <c r="I37" s="164">
        <v>35.5</v>
      </c>
      <c r="J37" s="168"/>
      <c r="K37" s="168"/>
      <c r="L37" s="168"/>
      <c r="M37" s="168"/>
      <c r="N37" s="168">
        <v>12</v>
      </c>
    </row>
    <row r="38" spans="1:14" x14ac:dyDescent="0.3">
      <c r="A38" s="158" t="s">
        <v>141</v>
      </c>
      <c r="B38" s="158" t="str">
        <f t="shared" si="0"/>
        <v>AEAT - 2 Silvers</v>
      </c>
      <c r="C38" s="159" t="s">
        <v>349</v>
      </c>
      <c r="D38" s="160" t="s">
        <v>590</v>
      </c>
      <c r="E38" s="161">
        <v>0</v>
      </c>
      <c r="F38" s="161">
        <v>0.1</v>
      </c>
      <c r="G38" s="162">
        <v>15</v>
      </c>
      <c r="H38" s="400">
        <v>0.41666666666666669</v>
      </c>
      <c r="I38" s="164">
        <v>48.99</v>
      </c>
      <c r="J38" s="168"/>
      <c r="K38" s="168"/>
      <c r="L38" s="168"/>
      <c r="M38" s="168"/>
      <c r="N38" s="168">
        <v>4</v>
      </c>
    </row>
    <row r="39" spans="1:14" x14ac:dyDescent="0.3">
      <c r="A39" s="158" t="s">
        <v>141</v>
      </c>
      <c r="B39" s="158" t="str">
        <f t="shared" si="0"/>
        <v>AEAT - 2 Blancs</v>
      </c>
      <c r="C39" s="159" t="s">
        <v>349</v>
      </c>
      <c r="D39" s="160" t="s">
        <v>591</v>
      </c>
      <c r="E39" s="161">
        <v>0</v>
      </c>
      <c r="F39" s="161">
        <v>0.1</v>
      </c>
      <c r="G39" s="162">
        <v>15</v>
      </c>
      <c r="H39" s="400">
        <v>0.41666666666666669</v>
      </c>
      <c r="I39" s="164">
        <v>11.71</v>
      </c>
      <c r="J39" s="168"/>
      <c r="K39" s="168"/>
      <c r="L39" s="168"/>
      <c r="M39" s="168"/>
      <c r="N39" s="168">
        <v>4</v>
      </c>
    </row>
    <row r="40" spans="1:14" x14ac:dyDescent="0.3">
      <c r="A40" s="158" t="s">
        <v>141</v>
      </c>
      <c r="B40" s="158" t="str">
        <f t="shared" si="0"/>
        <v>AEAT - 2 Blancs+1 Silver</v>
      </c>
      <c r="C40" s="159" t="s">
        <v>349</v>
      </c>
      <c r="D40" s="160" t="s">
        <v>592</v>
      </c>
      <c r="E40" s="161">
        <v>0.33299999999999996</v>
      </c>
      <c r="F40" s="161">
        <v>0.1</v>
      </c>
      <c r="G40" s="162">
        <v>15</v>
      </c>
      <c r="H40" s="400">
        <v>0.41666666666666669</v>
      </c>
      <c r="I40" s="164">
        <v>24.14</v>
      </c>
      <c r="J40" s="168"/>
      <c r="K40" s="168"/>
      <c r="L40" s="168"/>
      <c r="M40" s="168"/>
      <c r="N40" s="168">
        <v>6</v>
      </c>
    </row>
    <row r="41" spans="1:14" x14ac:dyDescent="0.3">
      <c r="A41" s="158" t="s">
        <v>141</v>
      </c>
      <c r="B41" s="158" t="str">
        <f t="shared" si="0"/>
        <v>AEAT - 2 Blancs+2 Silvers</v>
      </c>
      <c r="C41" s="159" t="s">
        <v>349</v>
      </c>
      <c r="D41" s="160" t="s">
        <v>593</v>
      </c>
      <c r="E41" s="161">
        <v>0.5</v>
      </c>
      <c r="F41" s="161">
        <v>0.1</v>
      </c>
      <c r="G41" s="162">
        <v>15</v>
      </c>
      <c r="H41" s="400">
        <v>0.41666666666666669</v>
      </c>
      <c r="I41" s="164">
        <v>30.35</v>
      </c>
      <c r="J41" s="168"/>
      <c r="K41" s="168"/>
      <c r="L41" s="168"/>
      <c r="M41" s="168"/>
      <c r="N41" s="168">
        <v>8</v>
      </c>
    </row>
    <row r="42" spans="1:14" x14ac:dyDescent="0.3">
      <c r="A42" s="158" t="s">
        <v>141</v>
      </c>
      <c r="B42" s="158" t="str">
        <f t="shared" si="0"/>
        <v>AEAT - 2 Blancs+3 Silvers</v>
      </c>
      <c r="C42" s="159" t="s">
        <v>349</v>
      </c>
      <c r="D42" s="160" t="s">
        <v>594</v>
      </c>
      <c r="E42" s="161">
        <v>0.6</v>
      </c>
      <c r="F42" s="161">
        <v>0.1</v>
      </c>
      <c r="G42" s="162">
        <v>15</v>
      </c>
      <c r="H42" s="400">
        <v>0.41666666666666669</v>
      </c>
      <c r="I42" s="164">
        <v>34.08</v>
      </c>
      <c r="J42" s="168"/>
      <c r="K42" s="168"/>
      <c r="L42" s="168"/>
      <c r="M42" s="168"/>
      <c r="N42" s="168">
        <v>10</v>
      </c>
    </row>
    <row r="43" spans="1:14" x14ac:dyDescent="0.3">
      <c r="A43" s="158" t="s">
        <v>141</v>
      </c>
      <c r="B43" s="158" t="str">
        <f t="shared" si="0"/>
        <v>AEAT - 2 Blancs+4 Silvers</v>
      </c>
      <c r="C43" s="159" t="s">
        <v>349</v>
      </c>
      <c r="D43" s="160" t="s">
        <v>595</v>
      </c>
      <c r="E43" s="161">
        <v>0.66700000000000004</v>
      </c>
      <c r="F43" s="161">
        <v>0.1</v>
      </c>
      <c r="G43" s="162">
        <v>15</v>
      </c>
      <c r="H43" s="400">
        <v>0.41666666666666669</v>
      </c>
      <c r="I43" s="164">
        <v>36.56</v>
      </c>
      <c r="J43" s="168"/>
      <c r="K43" s="168"/>
      <c r="L43" s="168"/>
      <c r="M43" s="168"/>
      <c r="N43" s="168">
        <v>12</v>
      </c>
    </row>
    <row r="44" spans="1:14" x14ac:dyDescent="0.3">
      <c r="A44" s="158" t="s">
        <v>141</v>
      </c>
      <c r="B44" s="158" t="str">
        <f t="shared" si="0"/>
        <v>AEAT - 3 Couleurs</v>
      </c>
      <c r="C44" s="159" t="s">
        <v>349</v>
      </c>
      <c r="D44" s="160" t="s">
        <v>596</v>
      </c>
      <c r="E44" s="161">
        <v>0.33299999999999996</v>
      </c>
      <c r="F44" s="161">
        <v>0.1</v>
      </c>
      <c r="G44" s="162">
        <v>15</v>
      </c>
      <c r="H44" s="400">
        <v>0.41666666666666669</v>
      </c>
      <c r="I44" s="164">
        <v>8.52</v>
      </c>
      <c r="J44" s="168"/>
      <c r="K44" s="168"/>
      <c r="L44" s="168"/>
      <c r="M44" s="168"/>
      <c r="N44" s="168">
        <v>6</v>
      </c>
    </row>
    <row r="45" spans="1:14" x14ac:dyDescent="0.3">
      <c r="A45" s="158" t="s">
        <v>141</v>
      </c>
      <c r="B45" s="158" t="str">
        <f t="shared" si="0"/>
        <v>AEAT - 3 Couleurs+1 Silver</v>
      </c>
      <c r="C45" s="159" t="s">
        <v>349</v>
      </c>
      <c r="D45" s="160" t="s">
        <v>597</v>
      </c>
      <c r="E45" s="161">
        <v>0.5</v>
      </c>
      <c r="F45" s="161">
        <v>0.1</v>
      </c>
      <c r="G45" s="162">
        <v>15</v>
      </c>
      <c r="H45" s="400">
        <v>0.41666666666666669</v>
      </c>
      <c r="I45" s="164">
        <v>18.63</v>
      </c>
      <c r="J45" s="168"/>
      <c r="K45" s="168"/>
      <c r="L45" s="168"/>
      <c r="M45" s="168"/>
      <c r="N45" s="168">
        <v>8</v>
      </c>
    </row>
    <row r="46" spans="1:14" x14ac:dyDescent="0.3">
      <c r="A46" s="158" t="s">
        <v>141</v>
      </c>
      <c r="B46" s="158" t="str">
        <f t="shared" si="0"/>
        <v>AEAT - 3 Couleurs+1 Blanc</v>
      </c>
      <c r="C46" s="159" t="s">
        <v>349</v>
      </c>
      <c r="D46" s="160" t="s">
        <v>598</v>
      </c>
      <c r="E46" s="161">
        <v>0.5</v>
      </c>
      <c r="F46" s="161">
        <v>0.1</v>
      </c>
      <c r="G46" s="162">
        <v>15</v>
      </c>
      <c r="H46" s="400">
        <v>0.41666666666666669</v>
      </c>
      <c r="I46" s="164">
        <v>9.31</v>
      </c>
      <c r="J46" s="168"/>
      <c r="K46" s="168"/>
      <c r="L46" s="168"/>
      <c r="M46" s="168"/>
      <c r="N46" s="168">
        <v>8</v>
      </c>
    </row>
    <row r="47" spans="1:14" ht="24" x14ac:dyDescent="0.3">
      <c r="A47" s="158" t="s">
        <v>141</v>
      </c>
      <c r="B47" s="158" t="str">
        <f t="shared" si="0"/>
        <v>AEAT - 3 Couleurs+1 Blanc+1 Silver</v>
      </c>
      <c r="C47" s="159" t="s">
        <v>349</v>
      </c>
      <c r="D47" s="160" t="s">
        <v>599</v>
      </c>
      <c r="E47" s="161">
        <v>0.6</v>
      </c>
      <c r="F47" s="161">
        <v>0.1</v>
      </c>
      <c r="G47" s="162">
        <v>15</v>
      </c>
      <c r="H47" s="400">
        <v>0.41666666666666669</v>
      </c>
      <c r="I47" s="164">
        <v>17.25</v>
      </c>
      <c r="J47" s="168"/>
      <c r="K47" s="168"/>
      <c r="L47" s="168"/>
      <c r="M47" s="168"/>
      <c r="N47" s="168">
        <v>10</v>
      </c>
    </row>
    <row r="48" spans="1:14" ht="24" x14ac:dyDescent="0.3">
      <c r="A48" s="158" t="s">
        <v>141</v>
      </c>
      <c r="B48" s="158" t="str">
        <f t="shared" si="0"/>
        <v>AEAT - 3 Couleurs+1 Blanc+2 Silvers</v>
      </c>
      <c r="C48" s="159" t="s">
        <v>349</v>
      </c>
      <c r="D48" s="160" t="s">
        <v>600</v>
      </c>
      <c r="E48" s="161">
        <v>0.66700000000000004</v>
      </c>
      <c r="F48" s="161">
        <v>0.1</v>
      </c>
      <c r="G48" s="162">
        <v>15</v>
      </c>
      <c r="H48" s="400">
        <v>0.41666666666666669</v>
      </c>
      <c r="I48" s="164">
        <v>22.54</v>
      </c>
      <c r="J48" s="168"/>
      <c r="K48" s="168"/>
      <c r="L48" s="168"/>
      <c r="M48" s="168"/>
      <c r="N48" s="168">
        <v>12</v>
      </c>
    </row>
    <row r="49" spans="1:14" ht="24" x14ac:dyDescent="0.3">
      <c r="A49" s="158" t="s">
        <v>141</v>
      </c>
      <c r="B49" s="158" t="str">
        <f t="shared" si="0"/>
        <v>AEAT - 3 Couleurs+1 Blanc+3 Silvers</v>
      </c>
      <c r="C49" s="159" t="s">
        <v>349</v>
      </c>
      <c r="D49" s="160" t="s">
        <v>601</v>
      </c>
      <c r="E49" s="161">
        <v>0.71400000000000008</v>
      </c>
      <c r="F49" s="161">
        <v>0.1</v>
      </c>
      <c r="G49" s="162">
        <v>15</v>
      </c>
      <c r="H49" s="400">
        <v>0.41666666666666669</v>
      </c>
      <c r="I49" s="164">
        <v>26.32</v>
      </c>
      <c r="J49" s="168"/>
      <c r="K49" s="168"/>
      <c r="L49" s="168"/>
      <c r="M49" s="168"/>
      <c r="N49" s="168">
        <v>14</v>
      </c>
    </row>
    <row r="50" spans="1:14" ht="24" x14ac:dyDescent="0.3">
      <c r="A50" s="158" t="s">
        <v>141</v>
      </c>
      <c r="B50" s="158" t="str">
        <f t="shared" si="0"/>
        <v>AEAT - 3 Couleurs+1 Blanc+4 Silvers</v>
      </c>
      <c r="C50" s="159" t="s">
        <v>349</v>
      </c>
      <c r="D50" s="160" t="s">
        <v>602</v>
      </c>
      <c r="E50" s="161">
        <v>0.75</v>
      </c>
      <c r="F50" s="161">
        <v>0.1</v>
      </c>
      <c r="G50" s="162">
        <v>15</v>
      </c>
      <c r="H50" s="400">
        <v>0.41666666666666669</v>
      </c>
      <c r="I50" s="164">
        <v>29.15</v>
      </c>
      <c r="J50" s="168"/>
      <c r="K50" s="168"/>
      <c r="L50" s="168"/>
      <c r="M50" s="168"/>
      <c r="N50" s="168">
        <v>16</v>
      </c>
    </row>
    <row r="51" spans="1:14" x14ac:dyDescent="0.3">
      <c r="A51" s="158" t="s">
        <v>141</v>
      </c>
      <c r="B51" s="158" t="str">
        <f t="shared" si="0"/>
        <v>AEAT - 3 Couleurs+2 Silvers</v>
      </c>
      <c r="C51" s="159" t="s">
        <v>349</v>
      </c>
      <c r="D51" s="160" t="s">
        <v>603</v>
      </c>
      <c r="E51" s="161">
        <v>0.6</v>
      </c>
      <c r="F51" s="161">
        <v>0.1</v>
      </c>
      <c r="G51" s="162">
        <v>15</v>
      </c>
      <c r="H51" s="400">
        <v>0.41666666666666669</v>
      </c>
      <c r="I51" s="164">
        <v>24.7</v>
      </c>
      <c r="J51" s="168"/>
      <c r="K51" s="168"/>
      <c r="L51" s="168"/>
      <c r="M51" s="168"/>
      <c r="N51" s="168">
        <v>10</v>
      </c>
    </row>
    <row r="52" spans="1:14" x14ac:dyDescent="0.3">
      <c r="A52" s="158" t="s">
        <v>141</v>
      </c>
      <c r="B52" s="158" t="str">
        <f t="shared" si="0"/>
        <v>AEAT - 3 Couleurs+2 Blancs</v>
      </c>
      <c r="C52" s="159" t="s">
        <v>349</v>
      </c>
      <c r="D52" s="160" t="s">
        <v>604</v>
      </c>
      <c r="E52" s="161">
        <v>0.6</v>
      </c>
      <c r="F52" s="161">
        <v>0.1</v>
      </c>
      <c r="G52" s="162">
        <v>15</v>
      </c>
      <c r="H52" s="400">
        <v>0.41666666666666669</v>
      </c>
      <c r="I52" s="164">
        <v>9.7899999999999991</v>
      </c>
      <c r="J52" s="168"/>
      <c r="K52" s="168"/>
      <c r="L52" s="168"/>
      <c r="M52" s="168"/>
      <c r="N52" s="168">
        <v>10</v>
      </c>
    </row>
    <row r="53" spans="1:14" ht="24" x14ac:dyDescent="0.3">
      <c r="A53" s="158" t="s">
        <v>141</v>
      </c>
      <c r="B53" s="158" t="str">
        <f t="shared" si="0"/>
        <v>AEAT - 3 Couleurs+2 Blancs+1 Silver</v>
      </c>
      <c r="C53" s="159" t="s">
        <v>349</v>
      </c>
      <c r="D53" s="160" t="s">
        <v>605</v>
      </c>
      <c r="E53" s="161">
        <v>0.66700000000000004</v>
      </c>
      <c r="F53" s="161">
        <v>0.1</v>
      </c>
      <c r="G53" s="162">
        <v>15</v>
      </c>
      <c r="H53" s="400">
        <v>0.41666666666666669</v>
      </c>
      <c r="I53" s="164">
        <v>16.329999999999998</v>
      </c>
      <c r="J53" s="168"/>
      <c r="K53" s="168"/>
      <c r="L53" s="168"/>
      <c r="M53" s="168"/>
      <c r="N53" s="168">
        <v>12</v>
      </c>
    </row>
    <row r="54" spans="1:14" ht="24" x14ac:dyDescent="0.3">
      <c r="A54" s="158" t="s">
        <v>141</v>
      </c>
      <c r="B54" s="158" t="str">
        <f t="shared" si="0"/>
        <v>AEAT - 3 Couleurs+2 Blancs+2 Silvers</v>
      </c>
      <c r="C54" s="159" t="s">
        <v>349</v>
      </c>
      <c r="D54" s="160" t="s">
        <v>606</v>
      </c>
      <c r="E54" s="161">
        <v>0.71400000000000008</v>
      </c>
      <c r="F54" s="161">
        <v>0.1</v>
      </c>
      <c r="G54" s="162">
        <v>15</v>
      </c>
      <c r="H54" s="400">
        <v>0.41666666666666669</v>
      </c>
      <c r="I54" s="164">
        <v>20.99</v>
      </c>
      <c r="J54" s="168"/>
      <c r="K54" s="168"/>
      <c r="L54" s="168"/>
      <c r="M54" s="168"/>
      <c r="N54" s="168">
        <v>14</v>
      </c>
    </row>
    <row r="55" spans="1:14" ht="24" x14ac:dyDescent="0.3">
      <c r="A55" s="158" t="s">
        <v>141</v>
      </c>
      <c r="B55" s="158" t="str">
        <f t="shared" si="0"/>
        <v>AEAT - 3 Couleurs+2 Blancs+3 Silvers</v>
      </c>
      <c r="C55" s="159" t="s">
        <v>349</v>
      </c>
      <c r="D55" s="160" t="s">
        <v>607</v>
      </c>
      <c r="E55" s="161">
        <v>0.75</v>
      </c>
      <c r="F55" s="161">
        <v>0.1</v>
      </c>
      <c r="G55" s="162">
        <v>15</v>
      </c>
      <c r="H55" s="400">
        <v>0.41666666666666669</v>
      </c>
      <c r="I55" s="164">
        <v>24.49</v>
      </c>
      <c r="J55" s="168"/>
      <c r="K55" s="168"/>
      <c r="L55" s="168"/>
      <c r="M55" s="168"/>
      <c r="N55" s="168">
        <v>16</v>
      </c>
    </row>
    <row r="56" spans="1:14" ht="24" x14ac:dyDescent="0.3">
      <c r="A56" s="158" t="s">
        <v>141</v>
      </c>
      <c r="B56" s="158" t="str">
        <f t="shared" si="0"/>
        <v>AEAT - 3 Couleurs+2 Blancs+4 Silvers</v>
      </c>
      <c r="C56" s="159" t="s">
        <v>349</v>
      </c>
      <c r="D56" s="160" t="s">
        <v>608</v>
      </c>
      <c r="E56" s="161">
        <v>0.77800000000000002</v>
      </c>
      <c r="F56" s="161">
        <v>0.1</v>
      </c>
      <c r="G56" s="162">
        <v>15</v>
      </c>
      <c r="H56" s="400">
        <v>0.41666666666666669</v>
      </c>
      <c r="I56" s="164">
        <v>27.21</v>
      </c>
      <c r="J56" s="168"/>
      <c r="K56" s="168"/>
      <c r="L56" s="168"/>
      <c r="M56" s="168"/>
      <c r="N56" s="168">
        <v>18</v>
      </c>
    </row>
    <row r="57" spans="1:14" x14ac:dyDescent="0.3">
      <c r="A57" s="158" t="s">
        <v>141</v>
      </c>
      <c r="B57" s="158" t="str">
        <f t="shared" si="0"/>
        <v>AEAT - 3 Couleurs+3 Silvers</v>
      </c>
      <c r="C57" s="159" t="s">
        <v>349</v>
      </c>
      <c r="D57" s="160" t="s">
        <v>609</v>
      </c>
      <c r="E57" s="161">
        <v>0.66700000000000004</v>
      </c>
      <c r="F57" s="161">
        <v>0.1</v>
      </c>
      <c r="G57" s="162">
        <v>15</v>
      </c>
      <c r="H57" s="400">
        <v>0.41666666666666669</v>
      </c>
      <c r="I57" s="164">
        <v>28.75</v>
      </c>
      <c r="J57" s="168"/>
      <c r="K57" s="168"/>
      <c r="L57" s="168"/>
      <c r="M57" s="168"/>
      <c r="N57" s="168">
        <v>12</v>
      </c>
    </row>
    <row r="58" spans="1:14" x14ac:dyDescent="0.3">
      <c r="A58" s="158" t="s">
        <v>141</v>
      </c>
      <c r="B58" s="158" t="str">
        <f t="shared" si="0"/>
        <v>AEAT - 3 Couleurs+4 Silvers</v>
      </c>
      <c r="C58" s="159" t="s">
        <v>349</v>
      </c>
      <c r="D58" s="160" t="s">
        <v>610</v>
      </c>
      <c r="E58" s="161">
        <v>0.71400000000000008</v>
      </c>
      <c r="F58" s="161">
        <v>0.1</v>
      </c>
      <c r="G58" s="162">
        <v>15</v>
      </c>
      <c r="H58" s="400">
        <v>0.41666666666666669</v>
      </c>
      <c r="I58" s="164">
        <v>31.64</v>
      </c>
      <c r="J58" s="168"/>
      <c r="K58" s="168"/>
      <c r="L58" s="168"/>
      <c r="M58" s="168"/>
      <c r="N58" s="168">
        <v>14</v>
      </c>
    </row>
    <row r="59" spans="1:14" x14ac:dyDescent="0.3">
      <c r="A59" s="158" t="s">
        <v>141</v>
      </c>
      <c r="B59" s="158" t="str">
        <f t="shared" si="0"/>
        <v>AEAT - 3 Silvers</v>
      </c>
      <c r="C59" s="159" t="s">
        <v>349</v>
      </c>
      <c r="D59" s="160" t="s">
        <v>611</v>
      </c>
      <c r="E59" s="161">
        <v>0.33299999999999996</v>
      </c>
      <c r="F59" s="161">
        <v>0.1</v>
      </c>
      <c r="G59" s="162">
        <v>15</v>
      </c>
      <c r="H59" s="400">
        <v>0.41666666666666669</v>
      </c>
      <c r="I59" s="164">
        <v>48.99</v>
      </c>
      <c r="J59" s="168"/>
      <c r="K59" s="168"/>
      <c r="L59" s="168"/>
      <c r="M59" s="168"/>
      <c r="N59" s="168">
        <v>6</v>
      </c>
    </row>
    <row r="60" spans="1:14" x14ac:dyDescent="0.3">
      <c r="A60" s="158" t="s">
        <v>141</v>
      </c>
      <c r="B60" s="158" t="str">
        <f t="shared" si="0"/>
        <v>AEAT - 4 Couleurs</v>
      </c>
      <c r="C60" s="159" t="s">
        <v>349</v>
      </c>
      <c r="D60" s="160" t="s">
        <v>33</v>
      </c>
      <c r="E60" s="161">
        <v>0.5</v>
      </c>
      <c r="F60" s="161">
        <v>0.1</v>
      </c>
      <c r="G60" s="162">
        <v>15</v>
      </c>
      <c r="H60" s="400">
        <v>0.41666666666666669</v>
      </c>
      <c r="I60" s="164">
        <v>8.52</v>
      </c>
      <c r="J60" s="168"/>
      <c r="K60" s="168"/>
      <c r="L60" s="168"/>
      <c r="M60" s="168"/>
      <c r="N60" s="168">
        <v>8</v>
      </c>
    </row>
    <row r="61" spans="1:14" x14ac:dyDescent="0.3">
      <c r="A61" s="158" t="s">
        <v>141</v>
      </c>
      <c r="B61" s="158" t="str">
        <f t="shared" si="0"/>
        <v>AEAT - 4 Couleurs+1 Silver</v>
      </c>
      <c r="C61" s="159" t="s">
        <v>349</v>
      </c>
      <c r="D61" s="160" t="s">
        <v>612</v>
      </c>
      <c r="E61" s="161">
        <v>0.6</v>
      </c>
      <c r="F61" s="161">
        <v>0.1</v>
      </c>
      <c r="G61" s="162">
        <v>15</v>
      </c>
      <c r="H61" s="400">
        <v>0.41666666666666669</v>
      </c>
      <c r="I61" s="164">
        <v>16.61</v>
      </c>
      <c r="J61" s="168"/>
      <c r="K61" s="168"/>
      <c r="L61" s="168"/>
      <c r="M61" s="168"/>
      <c r="N61" s="168">
        <v>10</v>
      </c>
    </row>
    <row r="62" spans="1:14" x14ac:dyDescent="0.3">
      <c r="A62" s="158" t="s">
        <v>141</v>
      </c>
      <c r="B62" s="158" t="str">
        <f t="shared" si="0"/>
        <v>AEAT - 4 Couleurs+1 Blanc</v>
      </c>
      <c r="C62" s="159" t="s">
        <v>349</v>
      </c>
      <c r="D62" s="160" t="s">
        <v>613</v>
      </c>
      <c r="E62" s="161">
        <v>0.6</v>
      </c>
      <c r="F62" s="161">
        <v>0.1</v>
      </c>
      <c r="G62" s="162">
        <v>15</v>
      </c>
      <c r="H62" s="400">
        <v>0.41666666666666669</v>
      </c>
      <c r="I62" s="164">
        <v>9.15</v>
      </c>
      <c r="J62" s="168"/>
      <c r="K62" s="168"/>
      <c r="L62" s="168"/>
      <c r="M62" s="168"/>
      <c r="N62" s="168">
        <v>10</v>
      </c>
    </row>
    <row r="63" spans="1:14" ht="24" x14ac:dyDescent="0.3">
      <c r="A63" s="158" t="s">
        <v>141</v>
      </c>
      <c r="B63" s="158" t="str">
        <f t="shared" si="0"/>
        <v>AEAT - 4 Couleurs+1 Blanc+1 Silver</v>
      </c>
      <c r="C63" s="159" t="s">
        <v>349</v>
      </c>
      <c r="D63" s="160" t="s">
        <v>614</v>
      </c>
      <c r="E63" s="161">
        <v>0.66700000000000004</v>
      </c>
      <c r="F63" s="161">
        <v>0.1</v>
      </c>
      <c r="G63" s="162">
        <v>15</v>
      </c>
      <c r="H63" s="400">
        <v>0.41666666666666669</v>
      </c>
      <c r="I63" s="164">
        <v>15.79</v>
      </c>
      <c r="J63" s="168"/>
      <c r="K63" s="168"/>
      <c r="L63" s="168"/>
      <c r="M63" s="168"/>
      <c r="N63" s="168">
        <v>12</v>
      </c>
    </row>
    <row r="64" spans="1:14" ht="24" x14ac:dyDescent="0.3">
      <c r="A64" s="158" t="s">
        <v>141</v>
      </c>
      <c r="B64" s="158" t="str">
        <f t="shared" si="0"/>
        <v>AEAT - 4 Couleurs+1 Blanc+2 Silvers</v>
      </c>
      <c r="C64" s="159" t="s">
        <v>349</v>
      </c>
      <c r="D64" s="160" t="s">
        <v>615</v>
      </c>
      <c r="E64" s="161">
        <v>0.71400000000000008</v>
      </c>
      <c r="F64" s="161">
        <v>0.1</v>
      </c>
      <c r="G64" s="162">
        <v>15</v>
      </c>
      <c r="H64" s="400">
        <v>0.41666666666666669</v>
      </c>
      <c r="I64" s="164">
        <v>20.53</v>
      </c>
      <c r="J64" s="168"/>
      <c r="K64" s="168"/>
      <c r="L64" s="168"/>
      <c r="M64" s="168"/>
      <c r="N64" s="168">
        <v>14</v>
      </c>
    </row>
    <row r="65" spans="1:14" ht="24" x14ac:dyDescent="0.3">
      <c r="A65" s="158" t="s">
        <v>141</v>
      </c>
      <c r="B65" s="158" t="str">
        <f t="shared" si="0"/>
        <v>AEAT - 4 Couleurs+1 Blanc+3 Silvers</v>
      </c>
      <c r="C65" s="159" t="s">
        <v>349</v>
      </c>
      <c r="D65" s="160" t="s">
        <v>616</v>
      </c>
      <c r="E65" s="161">
        <v>0.75</v>
      </c>
      <c r="F65" s="161">
        <v>0.1</v>
      </c>
      <c r="G65" s="162">
        <v>15</v>
      </c>
      <c r="H65" s="400">
        <v>0.41666666666666669</v>
      </c>
      <c r="I65" s="164">
        <v>24.09</v>
      </c>
      <c r="J65" s="168"/>
      <c r="K65" s="168"/>
      <c r="L65" s="168"/>
      <c r="M65" s="168"/>
      <c r="N65" s="168">
        <v>16</v>
      </c>
    </row>
    <row r="66" spans="1:14" ht="24" x14ac:dyDescent="0.3">
      <c r="A66" s="158" t="s">
        <v>141</v>
      </c>
      <c r="B66" s="158" t="str">
        <f t="shared" si="0"/>
        <v>AEAT - 4 Couleurs+1 Blanc+4 Silvers</v>
      </c>
      <c r="C66" s="159" t="s">
        <v>349</v>
      </c>
      <c r="D66" s="160" t="s">
        <v>617</v>
      </c>
      <c r="E66" s="161">
        <v>0.77800000000000002</v>
      </c>
      <c r="F66" s="161">
        <v>0.1</v>
      </c>
      <c r="G66" s="162">
        <v>15</v>
      </c>
      <c r="H66" s="400">
        <v>0.41666666666666669</v>
      </c>
      <c r="I66" s="164">
        <v>26.86</v>
      </c>
      <c r="J66" s="168"/>
      <c r="K66" s="168"/>
      <c r="L66" s="168"/>
      <c r="M66" s="168"/>
      <c r="N66" s="168">
        <v>18</v>
      </c>
    </row>
    <row r="67" spans="1:14" x14ac:dyDescent="0.3">
      <c r="A67" s="158" t="s">
        <v>141</v>
      </c>
      <c r="B67" s="158" t="str">
        <f t="shared" ref="B67:B130" si="1">A67&amp;" - "&amp;D67</f>
        <v>AEAT - 4 Couleurs+2 Silvers</v>
      </c>
      <c r="C67" s="159" t="s">
        <v>349</v>
      </c>
      <c r="D67" s="160" t="s">
        <v>618</v>
      </c>
      <c r="E67" s="161">
        <v>0.66700000000000004</v>
      </c>
      <c r="F67" s="161">
        <v>0.1</v>
      </c>
      <c r="G67" s="162">
        <v>15</v>
      </c>
      <c r="H67" s="400">
        <v>0.41666666666666669</v>
      </c>
      <c r="I67" s="164">
        <v>22.01</v>
      </c>
      <c r="J67" s="168"/>
      <c r="K67" s="168"/>
      <c r="L67" s="168"/>
      <c r="M67" s="168"/>
      <c r="N67" s="168">
        <v>12</v>
      </c>
    </row>
    <row r="68" spans="1:14" x14ac:dyDescent="0.3">
      <c r="A68" s="158" t="s">
        <v>141</v>
      </c>
      <c r="B68" s="158" t="str">
        <f t="shared" si="1"/>
        <v>AEAT - 4 Couleurs+2 Blancs</v>
      </c>
      <c r="C68" s="159" t="s">
        <v>349</v>
      </c>
      <c r="D68" s="160" t="s">
        <v>619</v>
      </c>
      <c r="E68" s="161">
        <v>0.66700000000000004</v>
      </c>
      <c r="F68" s="161">
        <v>0.1</v>
      </c>
      <c r="G68" s="162">
        <v>15</v>
      </c>
      <c r="H68" s="400">
        <v>0.41666666666666669</v>
      </c>
      <c r="I68" s="164">
        <v>9.58</v>
      </c>
      <c r="J68" s="168"/>
      <c r="K68" s="168"/>
      <c r="L68" s="168"/>
      <c r="M68" s="168"/>
      <c r="N68" s="168">
        <v>12</v>
      </c>
    </row>
    <row r="69" spans="1:14" ht="24" x14ac:dyDescent="0.3">
      <c r="A69" s="158" t="s">
        <v>141</v>
      </c>
      <c r="B69" s="158" t="str">
        <f t="shared" si="1"/>
        <v>AEAT - 4 Couleurs+2 Blancs+1 Silver</v>
      </c>
      <c r="C69" s="159" t="s">
        <v>349</v>
      </c>
      <c r="D69" s="160" t="s">
        <v>620</v>
      </c>
      <c r="E69" s="161">
        <v>0.71400000000000008</v>
      </c>
      <c r="F69" s="161">
        <v>0.1</v>
      </c>
      <c r="G69" s="162">
        <v>15</v>
      </c>
      <c r="H69" s="400">
        <v>0.41666666666666669</v>
      </c>
      <c r="I69" s="164">
        <v>15.21</v>
      </c>
      <c r="J69" s="168"/>
      <c r="K69" s="168"/>
      <c r="L69" s="168"/>
      <c r="M69" s="168"/>
      <c r="N69" s="168">
        <v>14</v>
      </c>
    </row>
    <row r="70" spans="1:14" ht="24" x14ac:dyDescent="0.3">
      <c r="A70" s="158" t="s">
        <v>141</v>
      </c>
      <c r="B70" s="158" t="str">
        <f t="shared" si="1"/>
        <v>AEAT - 4 Couleurs+2 Blancs+2 Silvers</v>
      </c>
      <c r="C70" s="159" t="s">
        <v>349</v>
      </c>
      <c r="D70" s="160" t="s">
        <v>621</v>
      </c>
      <c r="E70" s="161">
        <v>0.75</v>
      </c>
      <c r="F70" s="161">
        <v>0.1</v>
      </c>
      <c r="G70" s="162">
        <v>15</v>
      </c>
      <c r="H70" s="400">
        <v>0.41666666666666669</v>
      </c>
      <c r="I70" s="164">
        <v>19.43</v>
      </c>
      <c r="J70" s="168"/>
      <c r="K70" s="168"/>
      <c r="L70" s="168"/>
      <c r="M70" s="168"/>
      <c r="N70" s="168">
        <v>16</v>
      </c>
    </row>
    <row r="71" spans="1:14" ht="24" x14ac:dyDescent="0.3">
      <c r="A71" s="158" t="s">
        <v>141</v>
      </c>
      <c r="B71" s="158" t="str">
        <f t="shared" si="1"/>
        <v>AEAT - 4 Couleurs+2 Blancs+3 Silvers</v>
      </c>
      <c r="C71" s="159" t="s">
        <v>349</v>
      </c>
      <c r="D71" s="160" t="s">
        <v>622</v>
      </c>
      <c r="E71" s="161">
        <v>0.77800000000000002</v>
      </c>
      <c r="F71" s="161">
        <v>0.1</v>
      </c>
      <c r="G71" s="162">
        <v>15</v>
      </c>
      <c r="H71" s="400">
        <v>0.41666666666666669</v>
      </c>
      <c r="I71" s="164">
        <v>22.72</v>
      </c>
      <c r="J71" s="168"/>
      <c r="K71" s="168"/>
      <c r="L71" s="168"/>
      <c r="M71" s="168"/>
      <c r="N71" s="168">
        <v>18</v>
      </c>
    </row>
    <row r="72" spans="1:14" ht="24" x14ac:dyDescent="0.3">
      <c r="A72" s="158" t="s">
        <v>141</v>
      </c>
      <c r="B72" s="158" t="str">
        <f t="shared" si="1"/>
        <v>AEAT - 4 Couleurs+2 Blancs+4 Silvers</v>
      </c>
      <c r="C72" s="159" t="s">
        <v>349</v>
      </c>
      <c r="D72" s="160" t="s">
        <v>623</v>
      </c>
      <c r="E72" s="161">
        <v>0.8</v>
      </c>
      <c r="F72" s="161">
        <v>0.1</v>
      </c>
      <c r="G72" s="162">
        <v>15</v>
      </c>
      <c r="H72" s="400">
        <v>0.41666666666666669</v>
      </c>
      <c r="I72" s="164">
        <v>25.34</v>
      </c>
      <c r="J72" s="168"/>
      <c r="K72" s="168"/>
      <c r="L72" s="168"/>
      <c r="M72" s="168"/>
      <c r="N72" s="168">
        <v>20</v>
      </c>
    </row>
    <row r="73" spans="1:14" x14ac:dyDescent="0.3">
      <c r="A73" s="158" t="s">
        <v>141</v>
      </c>
      <c r="B73" s="158" t="str">
        <f t="shared" si="1"/>
        <v>AEAT - 4 Couleurs+3 Silvers</v>
      </c>
      <c r="C73" s="159" t="s">
        <v>349</v>
      </c>
      <c r="D73" s="160" t="s">
        <v>624</v>
      </c>
      <c r="E73" s="161">
        <v>0.71400000000000008</v>
      </c>
      <c r="F73" s="161">
        <v>0.1</v>
      </c>
      <c r="G73" s="162">
        <v>15</v>
      </c>
      <c r="H73" s="400">
        <v>0.41666666666666669</v>
      </c>
      <c r="I73" s="164">
        <v>25.86</v>
      </c>
      <c r="J73" s="168"/>
      <c r="K73" s="168"/>
      <c r="L73" s="168"/>
      <c r="M73" s="168"/>
      <c r="N73" s="168">
        <v>14</v>
      </c>
    </row>
    <row r="74" spans="1:14" x14ac:dyDescent="0.3">
      <c r="A74" s="158" t="s">
        <v>141</v>
      </c>
      <c r="B74" s="158" t="str">
        <f t="shared" si="1"/>
        <v>AEAT - 4 Couleurs+4 Silvers</v>
      </c>
      <c r="C74" s="159" t="s">
        <v>349</v>
      </c>
      <c r="D74" s="160" t="s">
        <v>625</v>
      </c>
      <c r="E74" s="161">
        <v>0.75</v>
      </c>
      <c r="F74" s="161">
        <v>0.1</v>
      </c>
      <c r="G74" s="162">
        <v>15</v>
      </c>
      <c r="H74" s="400">
        <v>0.41666666666666669</v>
      </c>
      <c r="I74" s="164">
        <v>28.75</v>
      </c>
      <c r="J74" s="168"/>
      <c r="K74" s="168"/>
      <c r="L74" s="168"/>
      <c r="M74" s="168"/>
      <c r="N74" s="168">
        <v>16</v>
      </c>
    </row>
    <row r="75" spans="1:14" x14ac:dyDescent="0.3">
      <c r="A75" s="158" t="s">
        <v>141</v>
      </c>
      <c r="B75" s="158" t="str">
        <f t="shared" si="1"/>
        <v>AEAT - 4 Silvers</v>
      </c>
      <c r="C75" s="159" t="s">
        <v>349</v>
      </c>
      <c r="D75" s="160" t="s">
        <v>626</v>
      </c>
      <c r="E75" s="161">
        <v>0.5</v>
      </c>
      <c r="F75" s="161">
        <v>0.1</v>
      </c>
      <c r="G75" s="162">
        <v>15</v>
      </c>
      <c r="H75" s="400">
        <v>0.41666666666666669</v>
      </c>
      <c r="I75" s="164">
        <v>48.99</v>
      </c>
      <c r="J75" s="168"/>
      <c r="K75" s="168"/>
      <c r="L75" s="168"/>
      <c r="M75" s="168"/>
      <c r="N75" s="168">
        <v>8</v>
      </c>
    </row>
    <row r="76" spans="1:14" x14ac:dyDescent="0.3">
      <c r="A76" s="158" t="s">
        <v>141</v>
      </c>
      <c r="B76" s="158" t="str">
        <f t="shared" si="1"/>
        <v>AEAT - 5 Couleurs</v>
      </c>
      <c r="C76" s="159" t="s">
        <v>349</v>
      </c>
      <c r="D76" s="160" t="s">
        <v>627</v>
      </c>
      <c r="E76" s="161">
        <v>0.6</v>
      </c>
      <c r="F76" s="161">
        <v>0.1</v>
      </c>
      <c r="G76" s="162">
        <v>15</v>
      </c>
      <c r="H76" s="400">
        <v>0.41666666666666669</v>
      </c>
      <c r="I76" s="164">
        <v>8.52</v>
      </c>
      <c r="J76" s="168"/>
      <c r="K76" s="168"/>
      <c r="L76" s="168"/>
      <c r="M76" s="168"/>
      <c r="N76" s="168">
        <v>10</v>
      </c>
    </row>
    <row r="77" spans="1:14" x14ac:dyDescent="0.3">
      <c r="A77" s="158" t="s">
        <v>141</v>
      </c>
      <c r="B77" s="158" t="str">
        <f t="shared" si="1"/>
        <v>AEAT - 5 Couleurs+1 Silver</v>
      </c>
      <c r="C77" s="159" t="s">
        <v>349</v>
      </c>
      <c r="D77" s="160" t="s">
        <v>628</v>
      </c>
      <c r="E77" s="161">
        <v>0.66700000000000004</v>
      </c>
      <c r="F77" s="161">
        <v>0.1</v>
      </c>
      <c r="G77" s="162">
        <v>15</v>
      </c>
      <c r="H77" s="400">
        <v>0.41666666666666669</v>
      </c>
      <c r="I77" s="164">
        <v>15.26</v>
      </c>
      <c r="J77" s="168"/>
      <c r="K77" s="168"/>
      <c r="L77" s="168"/>
      <c r="M77" s="168"/>
      <c r="N77" s="168">
        <v>12</v>
      </c>
    </row>
    <row r="78" spans="1:14" x14ac:dyDescent="0.3">
      <c r="A78" s="158" t="s">
        <v>141</v>
      </c>
      <c r="B78" s="158" t="str">
        <f t="shared" si="1"/>
        <v>AEAT - 5 Couleurs+1 Blanc</v>
      </c>
      <c r="C78" s="159" t="s">
        <v>349</v>
      </c>
      <c r="D78" s="160" t="s">
        <v>629</v>
      </c>
      <c r="E78" s="161">
        <v>0.66700000000000004</v>
      </c>
      <c r="F78" s="161">
        <v>0.1</v>
      </c>
      <c r="G78" s="162">
        <v>15</v>
      </c>
      <c r="H78" s="400">
        <v>0.41666666666666669</v>
      </c>
      <c r="I78" s="164">
        <v>9.0500000000000007</v>
      </c>
      <c r="J78" s="168"/>
      <c r="K78" s="168"/>
      <c r="L78" s="168"/>
      <c r="M78" s="168"/>
      <c r="N78" s="168">
        <v>12</v>
      </c>
    </row>
    <row r="79" spans="1:14" ht="24" x14ac:dyDescent="0.3">
      <c r="A79" s="158" t="s">
        <v>141</v>
      </c>
      <c r="B79" s="158" t="str">
        <f t="shared" si="1"/>
        <v>AEAT - 5 Couleurs+1 Blanc+1 Silver</v>
      </c>
      <c r="C79" s="159" t="s">
        <v>349</v>
      </c>
      <c r="D79" s="160" t="s">
        <v>630</v>
      </c>
      <c r="E79" s="161">
        <v>0.71400000000000008</v>
      </c>
      <c r="F79" s="161">
        <v>0.1</v>
      </c>
      <c r="G79" s="162">
        <v>15</v>
      </c>
      <c r="H79" s="400">
        <v>0.41666666666666669</v>
      </c>
      <c r="I79" s="164">
        <v>14.75</v>
      </c>
      <c r="J79" s="168"/>
      <c r="K79" s="168"/>
      <c r="L79" s="168"/>
      <c r="M79" s="168"/>
      <c r="N79" s="168">
        <v>14</v>
      </c>
    </row>
    <row r="80" spans="1:14" ht="24" x14ac:dyDescent="0.3">
      <c r="A80" s="158" t="s">
        <v>141</v>
      </c>
      <c r="B80" s="158" t="str">
        <f t="shared" si="1"/>
        <v>AEAT - 5 Couleurs+1 Blanc+2 Silvers</v>
      </c>
      <c r="C80" s="159" t="s">
        <v>349</v>
      </c>
      <c r="D80" s="160" t="s">
        <v>631</v>
      </c>
      <c r="E80" s="161">
        <v>0.75</v>
      </c>
      <c r="F80" s="161">
        <v>0.1</v>
      </c>
      <c r="G80" s="162">
        <v>15</v>
      </c>
      <c r="H80" s="400">
        <v>0.41666666666666669</v>
      </c>
      <c r="I80" s="164">
        <v>19.03</v>
      </c>
      <c r="J80" s="168"/>
      <c r="K80" s="168"/>
      <c r="L80" s="168"/>
      <c r="M80" s="168"/>
      <c r="N80" s="168">
        <v>16</v>
      </c>
    </row>
    <row r="81" spans="1:14" ht="24" x14ac:dyDescent="0.3">
      <c r="A81" s="158" t="s">
        <v>141</v>
      </c>
      <c r="B81" s="158" t="str">
        <f t="shared" si="1"/>
        <v>AEAT - 5 Couleurs+1 Blanc+3 Silvers</v>
      </c>
      <c r="C81" s="159" t="s">
        <v>349</v>
      </c>
      <c r="D81" s="160" t="s">
        <v>632</v>
      </c>
      <c r="E81" s="161">
        <v>0.77800000000000002</v>
      </c>
      <c r="F81" s="161">
        <v>0.1</v>
      </c>
      <c r="G81" s="162">
        <v>15</v>
      </c>
      <c r="H81" s="400">
        <v>0.41666666666666669</v>
      </c>
      <c r="I81" s="164">
        <v>22.36</v>
      </c>
      <c r="J81" s="168"/>
      <c r="K81" s="168"/>
      <c r="L81" s="168"/>
      <c r="M81" s="168"/>
      <c r="N81" s="168">
        <v>18</v>
      </c>
    </row>
    <row r="82" spans="1:14" ht="24" x14ac:dyDescent="0.3">
      <c r="A82" s="158" t="s">
        <v>141</v>
      </c>
      <c r="B82" s="158" t="str">
        <f t="shared" si="1"/>
        <v>AEAT - 5 Couleurs+1 Blanc+4 Silvers</v>
      </c>
      <c r="C82" s="159" t="s">
        <v>349</v>
      </c>
      <c r="D82" s="160" t="s">
        <v>633</v>
      </c>
      <c r="E82" s="161">
        <v>0.8</v>
      </c>
      <c r="F82" s="161">
        <v>0.1</v>
      </c>
      <c r="G82" s="162">
        <v>15</v>
      </c>
      <c r="H82" s="400">
        <v>0.41666666666666669</v>
      </c>
      <c r="I82" s="164">
        <v>25.02</v>
      </c>
      <c r="J82" s="168"/>
      <c r="K82" s="168"/>
      <c r="L82" s="168"/>
      <c r="M82" s="168"/>
      <c r="N82" s="168">
        <v>20</v>
      </c>
    </row>
    <row r="83" spans="1:14" x14ac:dyDescent="0.3">
      <c r="A83" s="158" t="s">
        <v>141</v>
      </c>
      <c r="B83" s="158" t="str">
        <f t="shared" si="1"/>
        <v>AEAT - 5 Couleurs+2 Silvers</v>
      </c>
      <c r="C83" s="159" t="s">
        <v>349</v>
      </c>
      <c r="D83" s="160" t="s">
        <v>634</v>
      </c>
      <c r="E83" s="161">
        <v>0.71400000000000008</v>
      </c>
      <c r="F83" s="161">
        <v>0.1</v>
      </c>
      <c r="G83" s="162">
        <v>15</v>
      </c>
      <c r="H83" s="400">
        <v>0.41666666666666669</v>
      </c>
      <c r="I83" s="164">
        <v>20.079999999999998</v>
      </c>
      <c r="J83" s="168"/>
      <c r="K83" s="168"/>
      <c r="L83" s="168"/>
      <c r="M83" s="168"/>
      <c r="N83" s="168">
        <v>14</v>
      </c>
    </row>
    <row r="84" spans="1:14" x14ac:dyDescent="0.3">
      <c r="A84" s="158" t="s">
        <v>141</v>
      </c>
      <c r="B84" s="158" t="str">
        <f t="shared" si="1"/>
        <v>AEAT - 5 Couleurs+2 Blancs</v>
      </c>
      <c r="C84" s="159" t="s">
        <v>349</v>
      </c>
      <c r="D84" s="160" t="s">
        <v>635</v>
      </c>
      <c r="E84" s="161">
        <v>0.71400000000000008</v>
      </c>
      <c r="F84" s="161">
        <v>0.1</v>
      </c>
      <c r="G84" s="162">
        <v>15</v>
      </c>
      <c r="H84" s="400">
        <v>0.41666666666666669</v>
      </c>
      <c r="I84" s="164">
        <v>9.43</v>
      </c>
      <c r="J84" s="168"/>
      <c r="K84" s="168"/>
      <c r="L84" s="168"/>
      <c r="M84" s="168"/>
      <c r="N84" s="168">
        <v>14</v>
      </c>
    </row>
    <row r="85" spans="1:14" ht="24" x14ac:dyDescent="0.3">
      <c r="A85" s="158" t="s">
        <v>141</v>
      </c>
      <c r="B85" s="158" t="str">
        <f t="shared" si="1"/>
        <v>AEAT - 5 Couleurs+2 Blancs+1 Silver</v>
      </c>
      <c r="C85" s="159" t="s">
        <v>349</v>
      </c>
      <c r="D85" s="160" t="s">
        <v>636</v>
      </c>
      <c r="E85" s="161">
        <v>0.75</v>
      </c>
      <c r="F85" s="161">
        <v>0.1</v>
      </c>
      <c r="G85" s="162">
        <v>15</v>
      </c>
      <c r="H85" s="400">
        <v>0.41666666666666669</v>
      </c>
      <c r="I85" s="164">
        <v>14.37</v>
      </c>
      <c r="J85" s="168"/>
      <c r="K85" s="168"/>
      <c r="L85" s="168"/>
      <c r="M85" s="168"/>
      <c r="N85" s="168">
        <v>16</v>
      </c>
    </row>
    <row r="86" spans="1:14" ht="24" x14ac:dyDescent="0.3">
      <c r="A86" s="158" t="s">
        <v>141</v>
      </c>
      <c r="B86" s="158" t="str">
        <f t="shared" si="1"/>
        <v>AEAT - 5 Couleurs+2 Blancs+2 Silvers</v>
      </c>
      <c r="C86" s="159" t="s">
        <v>349</v>
      </c>
      <c r="D86" s="160" t="s">
        <v>637</v>
      </c>
      <c r="E86" s="161">
        <v>0.77800000000000002</v>
      </c>
      <c r="F86" s="161">
        <v>0.1</v>
      </c>
      <c r="G86" s="162">
        <v>15</v>
      </c>
      <c r="H86" s="400">
        <v>0.41666666666666669</v>
      </c>
      <c r="I86" s="164">
        <v>18.22</v>
      </c>
      <c r="J86" s="168"/>
      <c r="K86" s="168"/>
      <c r="L86" s="168"/>
      <c r="M86" s="168"/>
      <c r="N86" s="168">
        <v>18</v>
      </c>
    </row>
    <row r="87" spans="1:14" ht="24" x14ac:dyDescent="0.3">
      <c r="A87" s="158" t="s">
        <v>141</v>
      </c>
      <c r="B87" s="158" t="str">
        <f t="shared" si="1"/>
        <v>AEAT - 5 Couleurs+2 Blancs+3 Silvers</v>
      </c>
      <c r="C87" s="159" t="s">
        <v>349</v>
      </c>
      <c r="D87" s="160" t="s">
        <v>638</v>
      </c>
      <c r="E87" s="161">
        <v>0.8</v>
      </c>
      <c r="F87" s="161">
        <v>0.1</v>
      </c>
      <c r="G87" s="162">
        <v>15</v>
      </c>
      <c r="H87" s="400">
        <v>0.41666666666666669</v>
      </c>
      <c r="I87" s="164">
        <v>21.3</v>
      </c>
      <c r="J87" s="168"/>
      <c r="K87" s="168"/>
      <c r="L87" s="168"/>
      <c r="M87" s="168"/>
      <c r="N87" s="168">
        <v>20</v>
      </c>
    </row>
    <row r="88" spans="1:14" x14ac:dyDescent="0.3">
      <c r="A88" s="158" t="s">
        <v>141</v>
      </c>
      <c r="B88" s="158" t="str">
        <f t="shared" si="1"/>
        <v>AEAT - 5 Couleurs+3 Silvers</v>
      </c>
      <c r="C88" s="159" t="s">
        <v>349</v>
      </c>
      <c r="D88" s="160" t="s">
        <v>639</v>
      </c>
      <c r="E88" s="161">
        <v>0.75</v>
      </c>
      <c r="F88" s="161">
        <v>0.1</v>
      </c>
      <c r="G88" s="162">
        <v>15</v>
      </c>
      <c r="H88" s="400">
        <v>0.41666666666666669</v>
      </c>
      <c r="I88" s="164">
        <v>23.69</v>
      </c>
      <c r="J88" s="168"/>
      <c r="K88" s="168"/>
      <c r="L88" s="168"/>
      <c r="M88" s="168"/>
      <c r="N88" s="168">
        <v>16</v>
      </c>
    </row>
    <row r="89" spans="1:14" x14ac:dyDescent="0.3">
      <c r="A89" s="158" t="s">
        <v>141</v>
      </c>
      <c r="B89" s="158" t="str">
        <f t="shared" si="1"/>
        <v>AEAT - 5 Couleurs+4 Silvers</v>
      </c>
      <c r="C89" s="159" t="s">
        <v>349</v>
      </c>
      <c r="D89" s="160" t="s">
        <v>640</v>
      </c>
      <c r="E89" s="161">
        <v>0.77800000000000002</v>
      </c>
      <c r="F89" s="161">
        <v>0.1</v>
      </c>
      <c r="G89" s="162">
        <v>15</v>
      </c>
      <c r="H89" s="400">
        <v>0.41666666666666669</v>
      </c>
      <c r="I89" s="164">
        <v>26.5</v>
      </c>
      <c r="J89" s="168"/>
      <c r="K89" s="168"/>
      <c r="L89" s="168"/>
      <c r="M89" s="168"/>
      <c r="N89" s="168">
        <v>18</v>
      </c>
    </row>
    <row r="90" spans="1:14" x14ac:dyDescent="0.3">
      <c r="A90" s="158" t="s">
        <v>141</v>
      </c>
      <c r="B90" s="158" t="str">
        <f t="shared" si="1"/>
        <v>AEAT - 6 Couleurs</v>
      </c>
      <c r="C90" s="159" t="s">
        <v>349</v>
      </c>
      <c r="D90" s="160" t="s">
        <v>641</v>
      </c>
      <c r="E90" s="161">
        <v>0.66700000000000004</v>
      </c>
      <c r="F90" s="161">
        <v>0.1</v>
      </c>
      <c r="G90" s="162">
        <v>15</v>
      </c>
      <c r="H90" s="400">
        <v>0.41666666666666669</v>
      </c>
      <c r="I90" s="164">
        <v>8.52</v>
      </c>
      <c r="J90" s="168"/>
      <c r="K90" s="168"/>
      <c r="L90" s="168"/>
      <c r="M90" s="168"/>
      <c r="N90" s="168">
        <v>12</v>
      </c>
    </row>
    <row r="91" spans="1:14" x14ac:dyDescent="0.3">
      <c r="A91" s="158" t="s">
        <v>141</v>
      </c>
      <c r="B91" s="158" t="str">
        <f t="shared" si="1"/>
        <v>AEAT - 6 Couleurs+1 Silver</v>
      </c>
      <c r="C91" s="159" t="s">
        <v>349</v>
      </c>
      <c r="D91" s="160" t="s">
        <v>642</v>
      </c>
      <c r="E91" s="161">
        <v>0.71400000000000008</v>
      </c>
      <c r="F91" s="161">
        <v>0.1</v>
      </c>
      <c r="G91" s="162">
        <v>15</v>
      </c>
      <c r="H91" s="400">
        <v>0.41666666666666669</v>
      </c>
      <c r="I91" s="164">
        <v>14.3</v>
      </c>
      <c r="J91" s="168"/>
      <c r="K91" s="168"/>
      <c r="L91" s="168"/>
      <c r="M91" s="168"/>
      <c r="N91" s="168">
        <v>14</v>
      </c>
    </row>
    <row r="92" spans="1:14" x14ac:dyDescent="0.3">
      <c r="A92" s="158" t="s">
        <v>141</v>
      </c>
      <c r="B92" s="158" t="str">
        <f t="shared" si="1"/>
        <v>AEAT - 6 Couleurs+1 Blanc</v>
      </c>
      <c r="C92" s="159" t="s">
        <v>349</v>
      </c>
      <c r="D92" s="160" t="s">
        <v>643</v>
      </c>
      <c r="E92" s="161">
        <v>0.71400000000000008</v>
      </c>
      <c r="F92" s="161">
        <v>0.1</v>
      </c>
      <c r="G92" s="162">
        <v>15</v>
      </c>
      <c r="H92" s="400">
        <v>0.41666666666666669</v>
      </c>
      <c r="I92" s="164">
        <v>8.9700000000000006</v>
      </c>
      <c r="J92" s="168"/>
      <c r="K92" s="168"/>
      <c r="L92" s="168"/>
      <c r="M92" s="168"/>
      <c r="N92" s="168">
        <v>14</v>
      </c>
    </row>
    <row r="93" spans="1:14" ht="24" x14ac:dyDescent="0.3">
      <c r="A93" s="158" t="s">
        <v>141</v>
      </c>
      <c r="B93" s="158" t="str">
        <f t="shared" si="1"/>
        <v>AEAT - 6 Couleurs+1 Blanc+1 Silver</v>
      </c>
      <c r="C93" s="159" t="s">
        <v>349</v>
      </c>
      <c r="D93" s="160" t="s">
        <v>644</v>
      </c>
      <c r="E93" s="161">
        <v>0.75</v>
      </c>
      <c r="F93" s="161">
        <v>0.1</v>
      </c>
      <c r="G93" s="162">
        <v>15</v>
      </c>
      <c r="H93" s="400">
        <v>0.41666666666666669</v>
      </c>
      <c r="I93" s="164">
        <v>13.97</v>
      </c>
      <c r="J93" s="168"/>
      <c r="K93" s="168"/>
      <c r="L93" s="168"/>
      <c r="M93" s="168"/>
      <c r="N93" s="168">
        <v>16</v>
      </c>
    </row>
    <row r="94" spans="1:14" ht="24" x14ac:dyDescent="0.3">
      <c r="A94" s="158" t="s">
        <v>141</v>
      </c>
      <c r="B94" s="158" t="str">
        <f t="shared" si="1"/>
        <v>AEAT - 6 Couleurs+1 Blanc+2 Silvers</v>
      </c>
      <c r="C94" s="159" t="s">
        <v>349</v>
      </c>
      <c r="D94" s="160" t="s">
        <v>645</v>
      </c>
      <c r="E94" s="161">
        <v>0.77800000000000002</v>
      </c>
      <c r="F94" s="161">
        <v>0.1</v>
      </c>
      <c r="G94" s="162">
        <v>15</v>
      </c>
      <c r="H94" s="400">
        <v>0.41666666666666669</v>
      </c>
      <c r="I94" s="164">
        <v>17.86</v>
      </c>
      <c r="J94" s="168"/>
      <c r="K94" s="168"/>
      <c r="L94" s="168"/>
      <c r="M94" s="168"/>
      <c r="N94" s="168">
        <v>18</v>
      </c>
    </row>
    <row r="95" spans="1:14" ht="24" x14ac:dyDescent="0.3">
      <c r="A95" s="158" t="s">
        <v>141</v>
      </c>
      <c r="B95" s="158" t="str">
        <f t="shared" si="1"/>
        <v>AEAT - 6 Couleurs+1 Blanc+3 Silvers</v>
      </c>
      <c r="C95" s="159" t="s">
        <v>349</v>
      </c>
      <c r="D95" s="160" t="s">
        <v>646</v>
      </c>
      <c r="E95" s="161">
        <v>0.8</v>
      </c>
      <c r="F95" s="161">
        <v>0.1</v>
      </c>
      <c r="G95" s="162">
        <v>15</v>
      </c>
      <c r="H95" s="400">
        <v>0.41666666666666669</v>
      </c>
      <c r="I95" s="164">
        <v>20.98</v>
      </c>
      <c r="J95" s="168"/>
      <c r="K95" s="168"/>
      <c r="L95" s="168"/>
      <c r="M95" s="168"/>
      <c r="N95" s="168">
        <v>20</v>
      </c>
    </row>
    <row r="96" spans="1:14" x14ac:dyDescent="0.3">
      <c r="A96" s="158" t="s">
        <v>141</v>
      </c>
      <c r="B96" s="158" t="str">
        <f t="shared" si="1"/>
        <v>AEAT - 6 Couleurs+2 Silvers</v>
      </c>
      <c r="C96" s="159" t="s">
        <v>349</v>
      </c>
      <c r="D96" s="160" t="s">
        <v>647</v>
      </c>
      <c r="E96" s="161">
        <v>0.75</v>
      </c>
      <c r="F96" s="161">
        <v>0.1</v>
      </c>
      <c r="G96" s="162">
        <v>15</v>
      </c>
      <c r="H96" s="400">
        <v>0.41666666666666669</v>
      </c>
      <c r="I96" s="164">
        <v>18.63</v>
      </c>
      <c r="J96" s="168"/>
      <c r="K96" s="168"/>
      <c r="L96" s="168"/>
      <c r="M96" s="168"/>
      <c r="N96" s="168">
        <v>16</v>
      </c>
    </row>
    <row r="97" spans="1:14" x14ac:dyDescent="0.3">
      <c r="A97" s="158" t="s">
        <v>141</v>
      </c>
      <c r="B97" s="158" t="str">
        <f t="shared" si="1"/>
        <v>AEAT - 6 Couleurs+2 Blancs</v>
      </c>
      <c r="C97" s="159" t="s">
        <v>349</v>
      </c>
      <c r="D97" s="160" t="s">
        <v>648</v>
      </c>
      <c r="E97" s="161">
        <v>0.75</v>
      </c>
      <c r="F97" s="161">
        <v>0.1</v>
      </c>
      <c r="G97" s="162">
        <v>15</v>
      </c>
      <c r="H97" s="400">
        <v>0.41666666666666669</v>
      </c>
      <c r="I97" s="164">
        <v>9.31</v>
      </c>
      <c r="J97" s="168"/>
      <c r="K97" s="168"/>
      <c r="L97" s="168"/>
      <c r="M97" s="168"/>
      <c r="N97" s="168">
        <v>16</v>
      </c>
    </row>
    <row r="98" spans="1:14" ht="24" x14ac:dyDescent="0.3">
      <c r="A98" s="158" t="s">
        <v>141</v>
      </c>
      <c r="B98" s="158" t="str">
        <f t="shared" si="1"/>
        <v>AEAT - 6 Couleurs+2 Blancs+1 Silver</v>
      </c>
      <c r="C98" s="159" t="s">
        <v>349</v>
      </c>
      <c r="D98" s="160" t="s">
        <v>649</v>
      </c>
      <c r="E98" s="161">
        <v>0.77800000000000002</v>
      </c>
      <c r="F98" s="161">
        <v>0.1</v>
      </c>
      <c r="G98" s="162">
        <v>15</v>
      </c>
      <c r="H98" s="400">
        <v>0.41666666666666669</v>
      </c>
      <c r="I98" s="164">
        <v>13.72</v>
      </c>
      <c r="J98" s="168"/>
      <c r="K98" s="168"/>
      <c r="L98" s="168"/>
      <c r="M98" s="168"/>
      <c r="N98" s="168">
        <v>18</v>
      </c>
    </row>
    <row r="99" spans="1:14" ht="24" x14ac:dyDescent="0.3">
      <c r="A99" s="158" t="s">
        <v>141</v>
      </c>
      <c r="B99" s="158" t="str">
        <f t="shared" si="1"/>
        <v>AEAT - 6 Couleurs+2 Blancs+2 Silvers</v>
      </c>
      <c r="C99" s="159" t="s">
        <v>349</v>
      </c>
      <c r="D99" s="160" t="s">
        <v>650</v>
      </c>
      <c r="E99" s="161">
        <v>0.8</v>
      </c>
      <c r="F99" s="161">
        <v>0.1</v>
      </c>
      <c r="G99" s="162">
        <v>15</v>
      </c>
      <c r="H99" s="400">
        <v>0.41666666666666669</v>
      </c>
      <c r="I99" s="164">
        <v>17.25</v>
      </c>
      <c r="J99" s="168"/>
      <c r="K99" s="168"/>
      <c r="L99" s="168"/>
      <c r="M99" s="168"/>
      <c r="N99" s="168">
        <v>20</v>
      </c>
    </row>
    <row r="100" spans="1:14" x14ac:dyDescent="0.3">
      <c r="A100" s="158" t="s">
        <v>141</v>
      </c>
      <c r="B100" s="158" t="str">
        <f t="shared" si="1"/>
        <v>AEAT - 6 Couleurs+3 Silvers</v>
      </c>
      <c r="C100" s="159" t="s">
        <v>349</v>
      </c>
      <c r="D100" s="160" t="s">
        <v>651</v>
      </c>
      <c r="E100" s="161">
        <v>0.77800000000000002</v>
      </c>
      <c r="F100" s="161">
        <v>0.1</v>
      </c>
      <c r="G100" s="162">
        <v>15</v>
      </c>
      <c r="H100" s="400">
        <v>0.41666666666666669</v>
      </c>
      <c r="I100" s="164">
        <v>22.01</v>
      </c>
      <c r="J100" s="168"/>
      <c r="K100" s="168"/>
      <c r="L100" s="168"/>
      <c r="M100" s="168"/>
      <c r="N100" s="168">
        <v>18</v>
      </c>
    </row>
    <row r="101" spans="1:14" x14ac:dyDescent="0.3">
      <c r="A101" s="158" t="s">
        <v>141</v>
      </c>
      <c r="B101" s="158" t="str">
        <f t="shared" si="1"/>
        <v>AEAT - 6 Couleurs+4 Silvers</v>
      </c>
      <c r="C101" s="159" t="s">
        <v>349</v>
      </c>
      <c r="D101" s="160" t="s">
        <v>652</v>
      </c>
      <c r="E101" s="161">
        <v>0.8</v>
      </c>
      <c r="F101" s="161">
        <v>0.1</v>
      </c>
      <c r="G101" s="162">
        <v>15</v>
      </c>
      <c r="H101" s="400">
        <v>0.41666666666666669</v>
      </c>
      <c r="I101" s="164">
        <v>24.7</v>
      </c>
      <c r="J101" s="168"/>
      <c r="K101" s="168"/>
      <c r="L101" s="168"/>
      <c r="M101" s="168"/>
      <c r="N101" s="168">
        <v>20</v>
      </c>
    </row>
    <row r="102" spans="1:14" x14ac:dyDescent="0.3">
      <c r="A102" s="158" t="s">
        <v>141</v>
      </c>
      <c r="B102" s="158" t="str">
        <f t="shared" si="1"/>
        <v>AEAT - 7 Couleurs</v>
      </c>
      <c r="C102" s="159" t="s">
        <v>349</v>
      </c>
      <c r="D102" s="160" t="s">
        <v>653</v>
      </c>
      <c r="E102" s="161">
        <v>0.71400000000000008</v>
      </c>
      <c r="F102" s="161">
        <v>0.1</v>
      </c>
      <c r="G102" s="162">
        <v>15</v>
      </c>
      <c r="H102" s="400">
        <v>0.41666666666666669</v>
      </c>
      <c r="I102" s="164">
        <v>8.52</v>
      </c>
      <c r="J102" s="168"/>
      <c r="K102" s="168"/>
      <c r="L102" s="168"/>
      <c r="M102" s="168"/>
      <c r="N102" s="168">
        <v>14</v>
      </c>
    </row>
    <row r="103" spans="1:14" x14ac:dyDescent="0.3">
      <c r="A103" s="158" t="s">
        <v>141</v>
      </c>
      <c r="B103" s="158" t="str">
        <f t="shared" si="1"/>
        <v>AEAT - 7 Couleurs+1 Silver</v>
      </c>
      <c r="C103" s="159" t="s">
        <v>349</v>
      </c>
      <c r="D103" s="160" t="s">
        <v>654</v>
      </c>
      <c r="E103" s="161">
        <v>0.75</v>
      </c>
      <c r="F103" s="161">
        <v>0.1</v>
      </c>
      <c r="G103" s="162">
        <v>15</v>
      </c>
      <c r="H103" s="400">
        <v>0.41666666666666669</v>
      </c>
      <c r="I103" s="164">
        <v>13.57</v>
      </c>
      <c r="J103" s="168"/>
      <c r="K103" s="168"/>
      <c r="L103" s="168"/>
      <c r="M103" s="168"/>
      <c r="N103" s="168">
        <v>16</v>
      </c>
    </row>
    <row r="104" spans="1:14" x14ac:dyDescent="0.3">
      <c r="A104" s="158" t="s">
        <v>141</v>
      </c>
      <c r="B104" s="158" t="str">
        <f t="shared" si="1"/>
        <v>AEAT - 7 Couleurs+1 Blanc</v>
      </c>
      <c r="C104" s="159" t="s">
        <v>349</v>
      </c>
      <c r="D104" s="160" t="s">
        <v>655</v>
      </c>
      <c r="E104" s="161">
        <v>0.75</v>
      </c>
      <c r="F104" s="161">
        <v>0.1</v>
      </c>
      <c r="G104" s="162">
        <v>15</v>
      </c>
      <c r="H104" s="400">
        <v>0.41666666666666669</v>
      </c>
      <c r="I104" s="164">
        <v>8.91</v>
      </c>
      <c r="J104" s="168"/>
      <c r="K104" s="168"/>
      <c r="L104" s="168"/>
      <c r="M104" s="168"/>
      <c r="N104" s="168">
        <v>16</v>
      </c>
    </row>
    <row r="105" spans="1:14" ht="24" x14ac:dyDescent="0.3">
      <c r="A105" s="158" t="s">
        <v>141</v>
      </c>
      <c r="B105" s="158" t="str">
        <f t="shared" si="1"/>
        <v>AEAT - 7 Couleurs+1 Blanc+1 Silver</v>
      </c>
      <c r="C105" s="159" t="s">
        <v>349</v>
      </c>
      <c r="D105" s="160" t="s">
        <v>656</v>
      </c>
      <c r="E105" s="161">
        <v>0.77800000000000002</v>
      </c>
      <c r="F105" s="161">
        <v>0.1</v>
      </c>
      <c r="G105" s="162">
        <v>15</v>
      </c>
      <c r="H105" s="400">
        <v>0.41666666666666669</v>
      </c>
      <c r="I105" s="164">
        <v>13.37</v>
      </c>
      <c r="J105" s="168"/>
      <c r="K105" s="168"/>
      <c r="L105" s="168"/>
      <c r="M105" s="168"/>
      <c r="N105" s="168">
        <v>18</v>
      </c>
    </row>
    <row r="106" spans="1:14" ht="24" x14ac:dyDescent="0.3">
      <c r="A106" s="158" t="s">
        <v>141</v>
      </c>
      <c r="B106" s="158" t="str">
        <f t="shared" si="1"/>
        <v>AEAT - 7 Couleurs+1 Blanc+2 Silvers</v>
      </c>
      <c r="C106" s="159" t="s">
        <v>349</v>
      </c>
      <c r="D106" s="160" t="s">
        <v>657</v>
      </c>
      <c r="E106" s="161">
        <v>0.8</v>
      </c>
      <c r="F106" s="161">
        <v>0.1</v>
      </c>
      <c r="G106" s="162">
        <v>15</v>
      </c>
      <c r="H106" s="400">
        <v>0.41666666666666669</v>
      </c>
      <c r="I106" s="164">
        <v>16.93</v>
      </c>
      <c r="J106" s="168"/>
      <c r="K106" s="168"/>
      <c r="L106" s="168"/>
      <c r="M106" s="168"/>
      <c r="N106" s="168">
        <v>20</v>
      </c>
    </row>
    <row r="107" spans="1:14" x14ac:dyDescent="0.3">
      <c r="A107" s="158" t="s">
        <v>141</v>
      </c>
      <c r="B107" s="158" t="str">
        <f t="shared" si="1"/>
        <v>AEAT - 7 Couleurs+2 Silvers</v>
      </c>
      <c r="C107" s="159" t="s">
        <v>349</v>
      </c>
      <c r="D107" s="160" t="s">
        <v>658</v>
      </c>
      <c r="E107" s="161">
        <v>0.77800000000000002</v>
      </c>
      <c r="F107" s="161">
        <v>0.1</v>
      </c>
      <c r="G107" s="162">
        <v>15</v>
      </c>
      <c r="H107" s="400">
        <v>0.41666666666666669</v>
      </c>
      <c r="I107" s="164">
        <v>17.510000000000002</v>
      </c>
      <c r="J107" s="168"/>
      <c r="K107" s="168"/>
      <c r="L107" s="168"/>
      <c r="M107" s="168"/>
      <c r="N107" s="168">
        <v>18</v>
      </c>
    </row>
    <row r="108" spans="1:14" x14ac:dyDescent="0.3">
      <c r="A108" s="158" t="s">
        <v>141</v>
      </c>
      <c r="B108" s="158" t="str">
        <f t="shared" si="1"/>
        <v>AEAT - 7 Couleurs+2 Blancs</v>
      </c>
      <c r="C108" s="159" t="s">
        <v>349</v>
      </c>
      <c r="D108" s="160" t="s">
        <v>659</v>
      </c>
      <c r="E108" s="161">
        <v>0.77800000000000002</v>
      </c>
      <c r="F108" s="161">
        <v>0.1</v>
      </c>
      <c r="G108" s="162">
        <v>15</v>
      </c>
      <c r="H108" s="400">
        <v>0.41666666666666669</v>
      </c>
      <c r="I108" s="164">
        <v>9.23</v>
      </c>
      <c r="J108" s="168"/>
      <c r="K108" s="168"/>
      <c r="L108" s="168"/>
      <c r="M108" s="168"/>
      <c r="N108" s="168">
        <v>18</v>
      </c>
    </row>
    <row r="109" spans="1:14" ht="24" x14ac:dyDescent="0.3">
      <c r="A109" s="158" t="s">
        <v>141</v>
      </c>
      <c r="B109" s="158" t="str">
        <f t="shared" si="1"/>
        <v>AEAT - 7 Couleurs+2 Blancs+1 Silver</v>
      </c>
      <c r="C109" s="159" t="s">
        <v>349</v>
      </c>
      <c r="D109" s="160" t="s">
        <v>660</v>
      </c>
      <c r="E109" s="161">
        <v>0.8</v>
      </c>
      <c r="F109" s="161">
        <v>0.1</v>
      </c>
      <c r="G109" s="162">
        <v>15</v>
      </c>
      <c r="H109" s="400">
        <v>0.41666666666666669</v>
      </c>
      <c r="I109" s="164">
        <v>13.2</v>
      </c>
      <c r="J109" s="168"/>
      <c r="K109" s="168"/>
      <c r="L109" s="168"/>
      <c r="M109" s="168"/>
      <c r="N109" s="168">
        <v>20</v>
      </c>
    </row>
    <row r="110" spans="1:14" x14ac:dyDescent="0.3">
      <c r="A110" s="158" t="s">
        <v>141</v>
      </c>
      <c r="B110" s="158" t="str">
        <f t="shared" si="1"/>
        <v>AEAT - 7 Couleurs+3 Silvers</v>
      </c>
      <c r="C110" s="159" t="s">
        <v>349</v>
      </c>
      <c r="D110" s="160" t="s">
        <v>661</v>
      </c>
      <c r="E110" s="161">
        <v>0.8</v>
      </c>
      <c r="F110" s="161">
        <v>0.1</v>
      </c>
      <c r="G110" s="162">
        <v>15</v>
      </c>
      <c r="H110" s="400">
        <v>0.41666666666666669</v>
      </c>
      <c r="I110" s="164">
        <v>20.66</v>
      </c>
      <c r="J110" s="168"/>
      <c r="K110" s="168"/>
      <c r="L110" s="168"/>
      <c r="M110" s="168"/>
      <c r="N110" s="168">
        <v>20</v>
      </c>
    </row>
    <row r="111" spans="1:14" x14ac:dyDescent="0.3">
      <c r="A111" s="158" t="s">
        <v>141</v>
      </c>
      <c r="B111" s="158" t="str">
        <f t="shared" si="1"/>
        <v>AEAT - 8 Couleurs+1 Silver</v>
      </c>
      <c r="C111" s="159" t="s">
        <v>349</v>
      </c>
      <c r="D111" s="160" t="s">
        <v>662</v>
      </c>
      <c r="E111" s="161">
        <v>0.77800000000000002</v>
      </c>
      <c r="F111" s="161">
        <v>0.1</v>
      </c>
      <c r="G111" s="162">
        <v>15</v>
      </c>
      <c r="H111" s="400">
        <v>0.41666666666666669</v>
      </c>
      <c r="I111" s="164">
        <v>13.01</v>
      </c>
      <c r="J111" s="168"/>
      <c r="K111" s="168"/>
      <c r="L111" s="168"/>
      <c r="M111" s="168"/>
      <c r="N111" s="168">
        <v>18</v>
      </c>
    </row>
    <row r="112" spans="1:14" x14ac:dyDescent="0.3">
      <c r="A112" s="158" t="s">
        <v>141</v>
      </c>
      <c r="B112" s="158" t="str">
        <f t="shared" si="1"/>
        <v>AEAT - 8 Couleurs+1 Blanc</v>
      </c>
      <c r="C112" s="159" t="s">
        <v>349</v>
      </c>
      <c r="D112" s="160" t="s">
        <v>663</v>
      </c>
      <c r="E112" s="161">
        <v>0.77800000000000002</v>
      </c>
      <c r="F112" s="161">
        <v>0.1</v>
      </c>
      <c r="G112" s="162">
        <v>15</v>
      </c>
      <c r="H112" s="400">
        <v>0.41666666666666669</v>
      </c>
      <c r="I112" s="164">
        <v>8.8699999999999992</v>
      </c>
      <c r="J112" s="168"/>
      <c r="K112" s="168"/>
      <c r="L112" s="168"/>
      <c r="M112" s="168"/>
      <c r="N112" s="168">
        <v>18</v>
      </c>
    </row>
    <row r="113" spans="1:14" ht="24" x14ac:dyDescent="0.3">
      <c r="A113" s="158" t="s">
        <v>141</v>
      </c>
      <c r="B113" s="158" t="str">
        <f t="shared" si="1"/>
        <v>AEAT - 8 Couleurs+1 Blanc+1 Silver</v>
      </c>
      <c r="C113" s="159" t="s">
        <v>349</v>
      </c>
      <c r="D113" s="160" t="s">
        <v>664</v>
      </c>
      <c r="E113" s="161">
        <v>0.8</v>
      </c>
      <c r="F113" s="161">
        <v>0.1</v>
      </c>
      <c r="G113" s="162">
        <v>15</v>
      </c>
      <c r="H113" s="400">
        <v>0.41666666666666669</v>
      </c>
      <c r="I113" s="164">
        <v>12.88</v>
      </c>
      <c r="J113" s="168"/>
      <c r="K113" s="168"/>
      <c r="L113" s="168"/>
      <c r="M113" s="168"/>
      <c r="N113" s="168">
        <v>20</v>
      </c>
    </row>
    <row r="114" spans="1:14" x14ac:dyDescent="0.3">
      <c r="A114" s="158" t="s">
        <v>141</v>
      </c>
      <c r="B114" s="158" t="str">
        <f t="shared" si="1"/>
        <v>AEAT - 8 Couleurs+2 Silvers</v>
      </c>
      <c r="C114" s="159" t="s">
        <v>349</v>
      </c>
      <c r="D114" s="160" t="s">
        <v>665</v>
      </c>
      <c r="E114" s="161">
        <v>0.8</v>
      </c>
      <c r="F114" s="161">
        <v>0.1</v>
      </c>
      <c r="G114" s="162">
        <v>15</v>
      </c>
      <c r="H114" s="400">
        <v>0.41666666666666669</v>
      </c>
      <c r="I114" s="164">
        <v>16.61</v>
      </c>
      <c r="J114" s="168"/>
      <c r="K114" s="168"/>
      <c r="L114" s="168"/>
      <c r="M114" s="168"/>
      <c r="N114" s="168">
        <v>20</v>
      </c>
    </row>
    <row r="115" spans="1:14" x14ac:dyDescent="0.3">
      <c r="A115" s="158" t="s">
        <v>141</v>
      </c>
      <c r="B115" s="158" t="str">
        <f t="shared" si="1"/>
        <v>AEAT - 8 Couleurs+2 Blancs</v>
      </c>
      <c r="C115" s="159" t="s">
        <v>349</v>
      </c>
      <c r="D115" s="160" t="s">
        <v>666</v>
      </c>
      <c r="E115" s="161">
        <v>0.8</v>
      </c>
      <c r="F115" s="161">
        <v>0.1</v>
      </c>
      <c r="G115" s="162">
        <v>15</v>
      </c>
      <c r="H115" s="400">
        <v>0.41666666666666669</v>
      </c>
      <c r="I115" s="164">
        <v>9.15</v>
      </c>
      <c r="J115" s="168"/>
      <c r="K115" s="168"/>
      <c r="L115" s="168"/>
      <c r="M115" s="168"/>
      <c r="N115" s="168">
        <v>20</v>
      </c>
    </row>
    <row r="116" spans="1:14" x14ac:dyDescent="0.3">
      <c r="A116" s="158" t="s">
        <v>141</v>
      </c>
      <c r="B116" s="158" t="str">
        <f t="shared" si="1"/>
        <v>AEAT - 8 Couleurs+4 Blancs</v>
      </c>
      <c r="C116" s="159" t="s">
        <v>349</v>
      </c>
      <c r="D116" s="160" t="s">
        <v>667</v>
      </c>
      <c r="E116" s="161">
        <v>0.83299999999999996</v>
      </c>
      <c r="F116" s="161">
        <v>0.1</v>
      </c>
      <c r="G116" s="162">
        <v>15</v>
      </c>
      <c r="H116" s="400">
        <v>0.41666666666666669</v>
      </c>
      <c r="I116" s="164">
        <v>9.58</v>
      </c>
      <c r="J116" s="168"/>
      <c r="K116" s="168"/>
      <c r="L116" s="168"/>
      <c r="M116" s="168"/>
      <c r="N116" s="168">
        <v>24</v>
      </c>
    </row>
    <row r="117" spans="1:14" x14ac:dyDescent="0.3">
      <c r="A117" s="158" t="s">
        <v>141</v>
      </c>
      <c r="B117" s="158" t="str">
        <f t="shared" si="1"/>
        <v>AEAT - 8 Couleurs+6 Blancs</v>
      </c>
      <c r="C117" s="159" t="s">
        <v>349</v>
      </c>
      <c r="D117" s="160" t="s">
        <v>668</v>
      </c>
      <c r="E117" s="161">
        <v>0.85799999999999998</v>
      </c>
      <c r="F117" s="161">
        <v>0.1</v>
      </c>
      <c r="G117" s="162">
        <v>15</v>
      </c>
      <c r="H117" s="400">
        <v>0.41666666666666669</v>
      </c>
      <c r="I117" s="164">
        <v>9.8800000000000008</v>
      </c>
      <c r="J117" s="168"/>
      <c r="K117" s="168"/>
      <c r="L117" s="168"/>
      <c r="M117" s="168"/>
      <c r="N117" s="168">
        <v>28</v>
      </c>
    </row>
    <row r="118" spans="1:14" x14ac:dyDescent="0.3">
      <c r="A118" s="158" t="s">
        <v>147</v>
      </c>
      <c r="B118" s="158" t="str">
        <f t="shared" si="1"/>
        <v>AEBO - Noir</v>
      </c>
      <c r="C118" s="159" t="s">
        <v>349</v>
      </c>
      <c r="D118" s="160" t="s">
        <v>554</v>
      </c>
      <c r="E118" s="161">
        <v>0</v>
      </c>
      <c r="F118" s="161">
        <v>0.1</v>
      </c>
      <c r="G118" s="162">
        <v>15</v>
      </c>
      <c r="H118" s="400">
        <v>0.41666666666666669</v>
      </c>
      <c r="I118" s="164">
        <v>8.52</v>
      </c>
      <c r="J118" s="168"/>
      <c r="K118" s="168"/>
      <c r="L118" s="168"/>
      <c r="M118" s="168"/>
      <c r="N118" s="168">
        <v>2</v>
      </c>
    </row>
    <row r="119" spans="1:14" x14ac:dyDescent="0.3">
      <c r="A119" s="158" t="s">
        <v>147</v>
      </c>
      <c r="B119" s="158" t="str">
        <f t="shared" si="1"/>
        <v>AEBO - Noir+1 Silver</v>
      </c>
      <c r="C119" s="159" t="s">
        <v>349</v>
      </c>
      <c r="D119" s="160" t="s">
        <v>555</v>
      </c>
      <c r="E119" s="161">
        <v>0</v>
      </c>
      <c r="F119" s="161">
        <v>0.1</v>
      </c>
      <c r="G119" s="162">
        <v>15</v>
      </c>
      <c r="H119" s="400">
        <v>0.41666666666666669</v>
      </c>
      <c r="I119" s="164">
        <v>28.75</v>
      </c>
      <c r="J119" s="168"/>
      <c r="K119" s="168"/>
      <c r="L119" s="168"/>
      <c r="M119" s="168"/>
      <c r="N119" s="168">
        <v>4</v>
      </c>
    </row>
    <row r="120" spans="1:14" x14ac:dyDescent="0.3">
      <c r="A120" s="158" t="s">
        <v>147</v>
      </c>
      <c r="B120" s="158" t="str">
        <f t="shared" si="1"/>
        <v>AEBO - Noir+1 Blanc</v>
      </c>
      <c r="C120" s="159" t="s">
        <v>349</v>
      </c>
      <c r="D120" s="160" t="s">
        <v>556</v>
      </c>
      <c r="E120" s="161">
        <v>0</v>
      </c>
      <c r="F120" s="161">
        <v>0.1</v>
      </c>
      <c r="G120" s="162">
        <v>15</v>
      </c>
      <c r="H120" s="400">
        <v>0.41666666666666669</v>
      </c>
      <c r="I120" s="164">
        <v>10.11</v>
      </c>
      <c r="J120" s="168"/>
      <c r="K120" s="168"/>
      <c r="L120" s="168"/>
      <c r="M120" s="168"/>
      <c r="N120" s="168">
        <v>4</v>
      </c>
    </row>
    <row r="121" spans="1:14" x14ac:dyDescent="0.3">
      <c r="A121" s="158" t="s">
        <v>147</v>
      </c>
      <c r="B121" s="158" t="str">
        <f t="shared" si="1"/>
        <v>AEBO - Noir+1 Blanc+1 Silver</v>
      </c>
      <c r="C121" s="159" t="s">
        <v>349</v>
      </c>
      <c r="D121" s="160" t="s">
        <v>557</v>
      </c>
      <c r="E121" s="161">
        <v>0.33299999999999996</v>
      </c>
      <c r="F121" s="161">
        <v>0.1</v>
      </c>
      <c r="G121" s="162">
        <v>15</v>
      </c>
      <c r="H121" s="400">
        <v>0.41666666666666669</v>
      </c>
      <c r="I121" s="164">
        <v>23.07</v>
      </c>
      <c r="J121" s="168"/>
      <c r="K121" s="168"/>
      <c r="L121" s="168"/>
      <c r="M121" s="168"/>
      <c r="N121" s="168">
        <v>6</v>
      </c>
    </row>
    <row r="122" spans="1:14" x14ac:dyDescent="0.3">
      <c r="A122" s="158" t="s">
        <v>147</v>
      </c>
      <c r="B122" s="158" t="str">
        <f t="shared" si="1"/>
        <v>AEBO - Noir+1 Blanc+2 Silvers</v>
      </c>
      <c r="C122" s="159" t="s">
        <v>349</v>
      </c>
      <c r="D122" s="160" t="s">
        <v>558</v>
      </c>
      <c r="E122" s="161">
        <v>0.5</v>
      </c>
      <c r="F122" s="161">
        <v>0.1</v>
      </c>
      <c r="G122" s="162">
        <v>15</v>
      </c>
      <c r="H122" s="400">
        <v>0.41666666666666669</v>
      </c>
      <c r="I122" s="164">
        <v>29.55</v>
      </c>
      <c r="J122" s="168"/>
      <c r="K122" s="168"/>
      <c r="L122" s="168"/>
      <c r="M122" s="168"/>
      <c r="N122" s="168">
        <v>8</v>
      </c>
    </row>
    <row r="123" spans="1:14" x14ac:dyDescent="0.3">
      <c r="A123" s="158" t="s">
        <v>147</v>
      </c>
      <c r="B123" s="158" t="str">
        <f t="shared" si="1"/>
        <v>AEBO - Noir+2 Silvers</v>
      </c>
      <c r="C123" s="159" t="s">
        <v>349</v>
      </c>
      <c r="D123" s="160" t="s">
        <v>561</v>
      </c>
      <c r="E123" s="161">
        <v>0.33299999999999996</v>
      </c>
      <c r="F123" s="161">
        <v>0.1</v>
      </c>
      <c r="G123" s="162">
        <v>15</v>
      </c>
      <c r="H123" s="400">
        <v>0.41666666666666669</v>
      </c>
      <c r="I123" s="164">
        <v>35.5</v>
      </c>
      <c r="J123" s="168"/>
      <c r="K123" s="168"/>
      <c r="L123" s="168"/>
      <c r="M123" s="168"/>
      <c r="N123" s="168">
        <v>6</v>
      </c>
    </row>
    <row r="124" spans="1:14" x14ac:dyDescent="0.3">
      <c r="A124" s="158" t="s">
        <v>147</v>
      </c>
      <c r="B124" s="158" t="str">
        <f t="shared" si="1"/>
        <v>AEBO - Noir+2 Blancs</v>
      </c>
      <c r="C124" s="159" t="s">
        <v>349</v>
      </c>
      <c r="D124" s="160" t="s">
        <v>562</v>
      </c>
      <c r="E124" s="161">
        <v>0.33299999999999996</v>
      </c>
      <c r="F124" s="161">
        <v>0.1</v>
      </c>
      <c r="G124" s="162">
        <v>15</v>
      </c>
      <c r="H124" s="400">
        <v>0.41666666666666669</v>
      </c>
      <c r="I124" s="164">
        <v>10.65</v>
      </c>
      <c r="J124" s="168"/>
      <c r="K124" s="168"/>
      <c r="L124" s="168"/>
      <c r="M124" s="168"/>
      <c r="N124" s="168">
        <v>6</v>
      </c>
    </row>
    <row r="125" spans="1:14" x14ac:dyDescent="0.3">
      <c r="A125" s="158" t="s">
        <v>147</v>
      </c>
      <c r="B125" s="158" t="str">
        <f t="shared" si="1"/>
        <v>AEBO - Noir+2 Blancs+1 Silver</v>
      </c>
      <c r="C125" s="159" t="s">
        <v>349</v>
      </c>
      <c r="D125" s="160" t="s">
        <v>563</v>
      </c>
      <c r="E125" s="161">
        <v>0.5</v>
      </c>
      <c r="F125" s="161">
        <v>0.1</v>
      </c>
      <c r="G125" s="162">
        <v>15</v>
      </c>
      <c r="H125" s="400">
        <v>0.41666666666666669</v>
      </c>
      <c r="I125" s="164">
        <v>20.23</v>
      </c>
      <c r="J125" s="168"/>
      <c r="K125" s="168"/>
      <c r="L125" s="168"/>
      <c r="M125" s="168"/>
      <c r="N125" s="168">
        <v>8</v>
      </c>
    </row>
    <row r="126" spans="1:14" x14ac:dyDescent="0.3">
      <c r="A126" s="158" t="s">
        <v>147</v>
      </c>
      <c r="B126" s="158" t="str">
        <f t="shared" si="1"/>
        <v>AEBO - Noir+2 Blancs+2 Silvers</v>
      </c>
      <c r="C126" s="159" t="s">
        <v>349</v>
      </c>
      <c r="D126" s="160" t="s">
        <v>564</v>
      </c>
      <c r="E126" s="161">
        <v>0.6</v>
      </c>
      <c r="F126" s="161">
        <v>0.1</v>
      </c>
      <c r="G126" s="162">
        <v>15</v>
      </c>
      <c r="H126" s="400">
        <v>0.41666666666666669</v>
      </c>
      <c r="I126" s="164">
        <v>25.98</v>
      </c>
      <c r="J126" s="168"/>
      <c r="K126" s="168"/>
      <c r="L126" s="168"/>
      <c r="M126" s="168"/>
      <c r="N126" s="168">
        <v>10</v>
      </c>
    </row>
    <row r="127" spans="1:14" x14ac:dyDescent="0.3">
      <c r="A127" s="158" t="s">
        <v>147</v>
      </c>
      <c r="B127" s="158" t="str">
        <f t="shared" si="1"/>
        <v>AEBO - 1 Silver</v>
      </c>
      <c r="C127" s="159" t="s">
        <v>349</v>
      </c>
      <c r="D127" s="160" t="s">
        <v>569</v>
      </c>
      <c r="E127" s="161">
        <v>0</v>
      </c>
      <c r="F127" s="161">
        <v>0.1</v>
      </c>
      <c r="G127" s="162">
        <v>15</v>
      </c>
      <c r="H127" s="400">
        <v>0.41666666666666669</v>
      </c>
      <c r="I127" s="164">
        <v>48.99</v>
      </c>
      <c r="J127" s="168"/>
      <c r="K127" s="168"/>
      <c r="L127" s="168"/>
      <c r="M127" s="168"/>
      <c r="N127" s="168">
        <v>2</v>
      </c>
    </row>
    <row r="128" spans="1:14" x14ac:dyDescent="0.3">
      <c r="A128" s="158" t="s">
        <v>147</v>
      </c>
      <c r="B128" s="158" t="str">
        <f t="shared" si="1"/>
        <v>AEBO - 1 Blanc</v>
      </c>
      <c r="C128" s="159" t="s">
        <v>349</v>
      </c>
      <c r="D128" s="160" t="s">
        <v>570</v>
      </c>
      <c r="E128" s="161">
        <v>0</v>
      </c>
      <c r="F128" s="161">
        <v>0.1</v>
      </c>
      <c r="G128" s="162">
        <v>15</v>
      </c>
      <c r="H128" s="400">
        <v>0.41666666666666669</v>
      </c>
      <c r="I128" s="164">
        <v>11.71</v>
      </c>
      <c r="J128" s="168"/>
      <c r="K128" s="168"/>
      <c r="L128" s="168"/>
      <c r="M128" s="168"/>
      <c r="N128" s="168">
        <v>2</v>
      </c>
    </row>
    <row r="129" spans="1:14" x14ac:dyDescent="0.3">
      <c r="A129" s="158" t="s">
        <v>147</v>
      </c>
      <c r="B129" s="158" t="str">
        <f t="shared" si="1"/>
        <v>AEBO - 1 Blanc+1 Silver</v>
      </c>
      <c r="C129" s="159" t="s">
        <v>349</v>
      </c>
      <c r="D129" s="160" t="s">
        <v>571</v>
      </c>
      <c r="E129" s="161">
        <v>0</v>
      </c>
      <c r="F129" s="161">
        <v>0.1</v>
      </c>
      <c r="G129" s="162">
        <v>15</v>
      </c>
      <c r="H129" s="400">
        <v>0.41666666666666669</v>
      </c>
      <c r="I129" s="164">
        <v>30.35</v>
      </c>
      <c r="J129" s="168"/>
      <c r="K129" s="168"/>
      <c r="L129" s="168"/>
      <c r="M129" s="168"/>
      <c r="N129" s="168">
        <v>4</v>
      </c>
    </row>
    <row r="130" spans="1:14" x14ac:dyDescent="0.3">
      <c r="A130" s="158" t="s">
        <v>147</v>
      </c>
      <c r="B130" s="158" t="str">
        <f t="shared" si="1"/>
        <v>AEBO - 1 Blanc+2 Silvers</v>
      </c>
      <c r="C130" s="159" t="s">
        <v>349</v>
      </c>
      <c r="D130" s="160" t="s">
        <v>572</v>
      </c>
      <c r="E130" s="161">
        <v>0.33299999999999996</v>
      </c>
      <c r="F130" s="161">
        <v>0.1</v>
      </c>
      <c r="G130" s="162">
        <v>15</v>
      </c>
      <c r="H130" s="400">
        <v>0.41666666666666669</v>
      </c>
      <c r="I130" s="164">
        <v>36.56</v>
      </c>
      <c r="J130" s="168"/>
      <c r="K130" s="168"/>
      <c r="L130" s="168"/>
      <c r="M130" s="168"/>
      <c r="N130" s="168">
        <v>6</v>
      </c>
    </row>
    <row r="131" spans="1:14" x14ac:dyDescent="0.3">
      <c r="A131" s="158" t="s">
        <v>147</v>
      </c>
      <c r="B131" s="158" t="str">
        <f t="shared" ref="B131:B194" si="2">A131&amp;" - "&amp;D131</f>
        <v>AEBO - 2 Couleurs</v>
      </c>
      <c r="C131" s="159" t="s">
        <v>349</v>
      </c>
      <c r="D131" s="160" t="s">
        <v>575</v>
      </c>
      <c r="E131" s="161">
        <v>0</v>
      </c>
      <c r="F131" s="161">
        <v>0.1</v>
      </c>
      <c r="G131" s="162">
        <v>15</v>
      </c>
      <c r="H131" s="400">
        <v>0.41666666666666669</v>
      </c>
      <c r="I131" s="164">
        <v>8.52</v>
      </c>
      <c r="J131" s="168"/>
      <c r="K131" s="168"/>
      <c r="L131" s="168"/>
      <c r="M131" s="168"/>
      <c r="N131" s="168">
        <v>4</v>
      </c>
    </row>
    <row r="132" spans="1:14" x14ac:dyDescent="0.3">
      <c r="A132" s="158" t="s">
        <v>147</v>
      </c>
      <c r="B132" s="158" t="str">
        <f t="shared" si="2"/>
        <v>AEBO - 2 Couleurs+1 Silver</v>
      </c>
      <c r="C132" s="159" t="s">
        <v>349</v>
      </c>
      <c r="D132" s="160" t="s">
        <v>576</v>
      </c>
      <c r="E132" s="161">
        <v>0.33299999999999996</v>
      </c>
      <c r="F132" s="161">
        <v>0.1</v>
      </c>
      <c r="G132" s="162">
        <v>15</v>
      </c>
      <c r="H132" s="400">
        <v>0.41666666666666669</v>
      </c>
      <c r="I132" s="164">
        <v>22.01</v>
      </c>
      <c r="J132" s="168"/>
      <c r="K132" s="168"/>
      <c r="L132" s="168"/>
      <c r="M132" s="168"/>
      <c r="N132" s="168">
        <v>6</v>
      </c>
    </row>
    <row r="133" spans="1:14" x14ac:dyDescent="0.3">
      <c r="A133" s="158" t="s">
        <v>147</v>
      </c>
      <c r="B133" s="158" t="str">
        <f t="shared" si="2"/>
        <v>AEBO - 2 Couleurs+1 Blanc</v>
      </c>
      <c r="C133" s="159" t="s">
        <v>349</v>
      </c>
      <c r="D133" s="160" t="s">
        <v>577</v>
      </c>
      <c r="E133" s="161">
        <v>0.33299999999999996</v>
      </c>
      <c r="F133" s="161">
        <v>0.1</v>
      </c>
      <c r="G133" s="162">
        <v>15</v>
      </c>
      <c r="H133" s="400">
        <v>0.41666666666666669</v>
      </c>
      <c r="I133" s="164">
        <v>9.58</v>
      </c>
      <c r="J133" s="168"/>
      <c r="K133" s="168"/>
      <c r="L133" s="168"/>
      <c r="M133" s="168"/>
      <c r="N133" s="168">
        <v>6</v>
      </c>
    </row>
    <row r="134" spans="1:14" ht="24" x14ac:dyDescent="0.3">
      <c r="A134" s="158" t="s">
        <v>147</v>
      </c>
      <c r="B134" s="158" t="str">
        <f t="shared" si="2"/>
        <v>AEBO - 2 Couleurs+1 Blanc+1 Silver</v>
      </c>
      <c r="C134" s="159" t="s">
        <v>349</v>
      </c>
      <c r="D134" s="160" t="s">
        <v>578</v>
      </c>
      <c r="E134" s="161">
        <v>0.5</v>
      </c>
      <c r="F134" s="161">
        <v>0.1</v>
      </c>
      <c r="G134" s="162">
        <v>15</v>
      </c>
      <c r="H134" s="400">
        <v>0.41666666666666669</v>
      </c>
      <c r="I134" s="164">
        <v>19.43</v>
      </c>
      <c r="J134" s="168"/>
      <c r="K134" s="168"/>
      <c r="L134" s="168"/>
      <c r="M134" s="168"/>
      <c r="N134" s="168">
        <v>8</v>
      </c>
    </row>
    <row r="135" spans="1:14" ht="24" x14ac:dyDescent="0.3">
      <c r="A135" s="158" t="s">
        <v>147</v>
      </c>
      <c r="B135" s="158" t="str">
        <f t="shared" si="2"/>
        <v>AEBO - 2 Couleurs+1 Blanc+2 Silvers</v>
      </c>
      <c r="C135" s="159" t="s">
        <v>349</v>
      </c>
      <c r="D135" s="160" t="s">
        <v>579</v>
      </c>
      <c r="E135" s="161">
        <v>0.6</v>
      </c>
      <c r="F135" s="161">
        <v>0.1</v>
      </c>
      <c r="G135" s="162">
        <v>15</v>
      </c>
      <c r="H135" s="400">
        <v>0.41666666666666669</v>
      </c>
      <c r="I135" s="164">
        <v>25.34</v>
      </c>
      <c r="J135" s="168"/>
      <c r="K135" s="168"/>
      <c r="L135" s="168"/>
      <c r="M135" s="168"/>
      <c r="N135" s="168">
        <v>10</v>
      </c>
    </row>
    <row r="136" spans="1:14" x14ac:dyDescent="0.3">
      <c r="A136" s="158" t="s">
        <v>147</v>
      </c>
      <c r="B136" s="158" t="str">
        <f t="shared" si="2"/>
        <v>AEBO - 2 Couleurs+2 Silvers</v>
      </c>
      <c r="C136" s="159" t="s">
        <v>349</v>
      </c>
      <c r="D136" s="160" t="s">
        <v>582</v>
      </c>
      <c r="E136" s="161">
        <v>0.5</v>
      </c>
      <c r="F136" s="161">
        <v>0.1</v>
      </c>
      <c r="G136" s="162">
        <v>15</v>
      </c>
      <c r="H136" s="400">
        <v>0.41666666666666669</v>
      </c>
      <c r="I136" s="164">
        <v>28.75</v>
      </c>
      <c r="J136" s="168"/>
      <c r="K136" s="168"/>
      <c r="L136" s="168"/>
      <c r="M136" s="168"/>
      <c r="N136" s="168">
        <v>8</v>
      </c>
    </row>
    <row r="137" spans="1:14" x14ac:dyDescent="0.3">
      <c r="A137" s="158" t="s">
        <v>147</v>
      </c>
      <c r="B137" s="158" t="str">
        <f t="shared" si="2"/>
        <v>AEBO - 2 Couleurs+2 Blancs</v>
      </c>
      <c r="C137" s="159" t="s">
        <v>349</v>
      </c>
      <c r="D137" s="160" t="s">
        <v>583</v>
      </c>
      <c r="E137" s="161">
        <v>0.5</v>
      </c>
      <c r="F137" s="161">
        <v>0.1</v>
      </c>
      <c r="G137" s="162">
        <v>15</v>
      </c>
      <c r="H137" s="400">
        <v>0.41666666666666669</v>
      </c>
      <c r="I137" s="164">
        <v>10.11</v>
      </c>
      <c r="J137" s="168"/>
      <c r="K137" s="168"/>
      <c r="L137" s="168"/>
      <c r="M137" s="168"/>
      <c r="N137" s="168">
        <v>8</v>
      </c>
    </row>
    <row r="138" spans="1:14" ht="24" x14ac:dyDescent="0.3">
      <c r="A138" s="158" t="s">
        <v>147</v>
      </c>
      <c r="B138" s="158" t="str">
        <f t="shared" si="2"/>
        <v>AEBO - 2 Couleurs+2 Blancs+1 Silver</v>
      </c>
      <c r="C138" s="159" t="s">
        <v>349</v>
      </c>
      <c r="D138" s="160" t="s">
        <v>584</v>
      </c>
      <c r="E138" s="161">
        <v>0.6</v>
      </c>
      <c r="F138" s="161">
        <v>0.1</v>
      </c>
      <c r="G138" s="162">
        <v>15</v>
      </c>
      <c r="H138" s="400">
        <v>0.41666666666666669</v>
      </c>
      <c r="I138" s="164">
        <v>17.89</v>
      </c>
      <c r="J138" s="168"/>
      <c r="K138" s="168"/>
      <c r="L138" s="168"/>
      <c r="M138" s="168"/>
      <c r="N138" s="168">
        <v>10</v>
      </c>
    </row>
    <row r="139" spans="1:14" ht="24" x14ac:dyDescent="0.3">
      <c r="A139" s="158" t="s">
        <v>147</v>
      </c>
      <c r="B139" s="158" t="str">
        <f t="shared" si="2"/>
        <v>AEBO - 2 Couleurs+2 Blancs+2 Silvers</v>
      </c>
      <c r="C139" s="159" t="s">
        <v>349</v>
      </c>
      <c r="D139" s="160" t="s">
        <v>585</v>
      </c>
      <c r="E139" s="161">
        <v>0.66700000000000004</v>
      </c>
      <c r="F139" s="161">
        <v>0.1</v>
      </c>
      <c r="G139" s="162">
        <v>15</v>
      </c>
      <c r="H139" s="400">
        <v>0.41666666666666669</v>
      </c>
      <c r="I139" s="164">
        <v>23.07</v>
      </c>
      <c r="J139" s="168"/>
      <c r="K139" s="168"/>
      <c r="L139" s="168"/>
      <c r="M139" s="168"/>
      <c r="N139" s="168">
        <v>12</v>
      </c>
    </row>
    <row r="140" spans="1:14" x14ac:dyDescent="0.3">
      <c r="A140" s="158" t="s">
        <v>147</v>
      </c>
      <c r="B140" s="158" t="str">
        <f t="shared" si="2"/>
        <v>AEBO - 2 Silvers</v>
      </c>
      <c r="C140" s="159" t="s">
        <v>349</v>
      </c>
      <c r="D140" s="160" t="s">
        <v>590</v>
      </c>
      <c r="E140" s="161">
        <v>0</v>
      </c>
      <c r="F140" s="161">
        <v>0.1</v>
      </c>
      <c r="G140" s="162">
        <v>15</v>
      </c>
      <c r="H140" s="400">
        <v>0.41666666666666669</v>
      </c>
      <c r="I140" s="164">
        <v>48.99</v>
      </c>
      <c r="J140" s="168"/>
      <c r="K140" s="168"/>
      <c r="L140" s="168"/>
      <c r="M140" s="168"/>
      <c r="N140" s="168">
        <v>4</v>
      </c>
    </row>
    <row r="141" spans="1:14" x14ac:dyDescent="0.3">
      <c r="A141" s="158" t="s">
        <v>147</v>
      </c>
      <c r="B141" s="158" t="str">
        <f t="shared" si="2"/>
        <v>AEBO - 2 Blancs</v>
      </c>
      <c r="C141" s="159" t="s">
        <v>349</v>
      </c>
      <c r="D141" s="160" t="s">
        <v>591</v>
      </c>
      <c r="E141" s="161">
        <v>0</v>
      </c>
      <c r="F141" s="161">
        <v>0.1</v>
      </c>
      <c r="G141" s="162">
        <v>15</v>
      </c>
      <c r="H141" s="400">
        <v>0.41666666666666669</v>
      </c>
      <c r="I141" s="164">
        <v>11.71</v>
      </c>
      <c r="J141" s="168"/>
      <c r="K141" s="168"/>
      <c r="L141" s="168"/>
      <c r="M141" s="168"/>
      <c r="N141" s="168">
        <v>4</v>
      </c>
    </row>
    <row r="142" spans="1:14" x14ac:dyDescent="0.3">
      <c r="A142" s="158" t="s">
        <v>147</v>
      </c>
      <c r="B142" s="158" t="str">
        <f t="shared" si="2"/>
        <v>AEBO - 2 Blancs+1 Silver</v>
      </c>
      <c r="C142" s="159" t="s">
        <v>349</v>
      </c>
      <c r="D142" s="160" t="s">
        <v>592</v>
      </c>
      <c r="E142" s="161">
        <v>0.33299999999999996</v>
      </c>
      <c r="F142" s="161">
        <v>0.1</v>
      </c>
      <c r="G142" s="162">
        <v>15</v>
      </c>
      <c r="H142" s="400">
        <v>0.41666666666666669</v>
      </c>
      <c r="I142" s="164">
        <v>24.14</v>
      </c>
      <c r="J142" s="168"/>
      <c r="K142" s="168"/>
      <c r="L142" s="168"/>
      <c r="M142" s="168"/>
      <c r="N142" s="168">
        <v>6</v>
      </c>
    </row>
    <row r="143" spans="1:14" x14ac:dyDescent="0.3">
      <c r="A143" s="158" t="s">
        <v>147</v>
      </c>
      <c r="B143" s="158" t="str">
        <f t="shared" si="2"/>
        <v>AEBO - 2 Blancs+2 Silvers</v>
      </c>
      <c r="C143" s="159" t="s">
        <v>349</v>
      </c>
      <c r="D143" s="160" t="s">
        <v>593</v>
      </c>
      <c r="E143" s="161">
        <v>0.5</v>
      </c>
      <c r="F143" s="161">
        <v>0.1</v>
      </c>
      <c r="G143" s="162">
        <v>15</v>
      </c>
      <c r="H143" s="400">
        <v>0.41666666666666669</v>
      </c>
      <c r="I143" s="164">
        <v>30.35</v>
      </c>
      <c r="J143" s="168"/>
      <c r="K143" s="168"/>
      <c r="L143" s="168"/>
      <c r="M143" s="168"/>
      <c r="N143" s="168">
        <v>8</v>
      </c>
    </row>
    <row r="144" spans="1:14" x14ac:dyDescent="0.3">
      <c r="A144" s="158" t="s">
        <v>147</v>
      </c>
      <c r="B144" s="158" t="str">
        <f t="shared" si="2"/>
        <v>AEBO - 3 Couleurs</v>
      </c>
      <c r="C144" s="159" t="s">
        <v>349</v>
      </c>
      <c r="D144" s="160" t="s">
        <v>596</v>
      </c>
      <c r="E144" s="161">
        <v>0.33299999999999996</v>
      </c>
      <c r="F144" s="161">
        <v>0.1</v>
      </c>
      <c r="G144" s="162">
        <v>15</v>
      </c>
      <c r="H144" s="400">
        <v>0.41666666666666669</v>
      </c>
      <c r="I144" s="164">
        <v>8.52</v>
      </c>
      <c r="J144" s="168"/>
      <c r="K144" s="168"/>
      <c r="L144" s="168"/>
      <c r="M144" s="168"/>
      <c r="N144" s="168">
        <v>6</v>
      </c>
    </row>
    <row r="145" spans="1:14" x14ac:dyDescent="0.3">
      <c r="A145" s="158" t="s">
        <v>147</v>
      </c>
      <c r="B145" s="158" t="str">
        <f t="shared" si="2"/>
        <v>AEBO - 3 Couleurs+1 Silver</v>
      </c>
      <c r="C145" s="159" t="s">
        <v>349</v>
      </c>
      <c r="D145" s="160" t="s">
        <v>597</v>
      </c>
      <c r="E145" s="161">
        <v>0.5</v>
      </c>
      <c r="F145" s="161">
        <v>0.1</v>
      </c>
      <c r="G145" s="162">
        <v>15</v>
      </c>
      <c r="H145" s="400">
        <v>0.41666666666666669</v>
      </c>
      <c r="I145" s="164">
        <v>18.63</v>
      </c>
      <c r="J145" s="168"/>
      <c r="K145" s="168"/>
      <c r="L145" s="168"/>
      <c r="M145" s="168"/>
      <c r="N145" s="168">
        <v>8</v>
      </c>
    </row>
    <row r="146" spans="1:14" x14ac:dyDescent="0.3">
      <c r="A146" s="158" t="s">
        <v>147</v>
      </c>
      <c r="B146" s="158" t="str">
        <f t="shared" si="2"/>
        <v>AEBO - 3 Couleurs+1 Blanc</v>
      </c>
      <c r="C146" s="159" t="s">
        <v>349</v>
      </c>
      <c r="D146" s="160" t="s">
        <v>598</v>
      </c>
      <c r="E146" s="161">
        <v>0.5</v>
      </c>
      <c r="F146" s="161">
        <v>0.1</v>
      </c>
      <c r="G146" s="162">
        <v>15</v>
      </c>
      <c r="H146" s="400">
        <v>0.41666666666666669</v>
      </c>
      <c r="I146" s="164">
        <v>9.31</v>
      </c>
      <c r="J146" s="168"/>
      <c r="K146" s="168"/>
      <c r="L146" s="168"/>
      <c r="M146" s="168"/>
      <c r="N146" s="168">
        <v>8</v>
      </c>
    </row>
    <row r="147" spans="1:14" ht="24" x14ac:dyDescent="0.3">
      <c r="A147" s="158" t="s">
        <v>147</v>
      </c>
      <c r="B147" s="158" t="str">
        <f t="shared" si="2"/>
        <v>AEBO - 3 Couleurs+1 Blanc+1 Silver</v>
      </c>
      <c r="C147" s="159" t="s">
        <v>349</v>
      </c>
      <c r="D147" s="160" t="s">
        <v>599</v>
      </c>
      <c r="E147" s="161">
        <v>0.6</v>
      </c>
      <c r="F147" s="161">
        <v>0.1</v>
      </c>
      <c r="G147" s="162">
        <v>15</v>
      </c>
      <c r="H147" s="400">
        <v>0.41666666666666669</v>
      </c>
      <c r="I147" s="164">
        <v>17.25</v>
      </c>
      <c r="J147" s="168"/>
      <c r="K147" s="168"/>
      <c r="L147" s="168"/>
      <c r="M147" s="168"/>
      <c r="N147" s="168">
        <v>10</v>
      </c>
    </row>
    <row r="148" spans="1:14" ht="24" x14ac:dyDescent="0.3">
      <c r="A148" s="158" t="s">
        <v>147</v>
      </c>
      <c r="B148" s="158" t="str">
        <f t="shared" si="2"/>
        <v>AEBO - 3 Couleurs+1 Blanc+2 Silvers</v>
      </c>
      <c r="C148" s="159" t="s">
        <v>349</v>
      </c>
      <c r="D148" s="160" t="s">
        <v>600</v>
      </c>
      <c r="E148" s="161">
        <v>0.66700000000000004</v>
      </c>
      <c r="F148" s="161">
        <v>0.1</v>
      </c>
      <c r="G148" s="162">
        <v>15</v>
      </c>
      <c r="H148" s="400">
        <v>0.41666666666666669</v>
      </c>
      <c r="I148" s="164">
        <v>22.54</v>
      </c>
      <c r="J148" s="168"/>
      <c r="K148" s="168"/>
      <c r="L148" s="168"/>
      <c r="M148" s="168"/>
      <c r="N148" s="168">
        <v>12</v>
      </c>
    </row>
    <row r="149" spans="1:14" x14ac:dyDescent="0.3">
      <c r="A149" s="158" t="s">
        <v>147</v>
      </c>
      <c r="B149" s="158" t="str">
        <f t="shared" si="2"/>
        <v>AEBO - 3 Couleurs+2 Silvers</v>
      </c>
      <c r="C149" s="159" t="s">
        <v>349</v>
      </c>
      <c r="D149" s="160" t="s">
        <v>603</v>
      </c>
      <c r="E149" s="161">
        <v>0.6</v>
      </c>
      <c r="F149" s="161">
        <v>0.1</v>
      </c>
      <c r="G149" s="162">
        <v>15</v>
      </c>
      <c r="H149" s="400">
        <v>0.41666666666666669</v>
      </c>
      <c r="I149" s="164">
        <v>24.7</v>
      </c>
      <c r="J149" s="168"/>
      <c r="K149" s="168"/>
      <c r="L149" s="168"/>
      <c r="M149" s="168"/>
      <c r="N149" s="168">
        <v>10</v>
      </c>
    </row>
    <row r="150" spans="1:14" x14ac:dyDescent="0.3">
      <c r="A150" s="158" t="s">
        <v>147</v>
      </c>
      <c r="B150" s="158" t="str">
        <f t="shared" si="2"/>
        <v>AEBO - 3 Couleurs+2 Blancs</v>
      </c>
      <c r="C150" s="159" t="s">
        <v>349</v>
      </c>
      <c r="D150" s="160" t="s">
        <v>604</v>
      </c>
      <c r="E150" s="161">
        <v>0.6</v>
      </c>
      <c r="F150" s="161">
        <v>0.1</v>
      </c>
      <c r="G150" s="162">
        <v>15</v>
      </c>
      <c r="H150" s="400">
        <v>0.41666666666666669</v>
      </c>
      <c r="I150" s="164">
        <v>9.7899999999999991</v>
      </c>
      <c r="J150" s="168"/>
      <c r="K150" s="168"/>
      <c r="L150" s="168"/>
      <c r="M150" s="168"/>
      <c r="N150" s="168">
        <v>10</v>
      </c>
    </row>
    <row r="151" spans="1:14" ht="24" x14ac:dyDescent="0.3">
      <c r="A151" s="158" t="s">
        <v>147</v>
      </c>
      <c r="B151" s="158" t="str">
        <f t="shared" si="2"/>
        <v>AEBO - 3 Couleurs+2 Blancs+1 Silver</v>
      </c>
      <c r="C151" s="159" t="s">
        <v>349</v>
      </c>
      <c r="D151" s="160" t="s">
        <v>605</v>
      </c>
      <c r="E151" s="161">
        <v>0.66700000000000004</v>
      </c>
      <c r="F151" s="161">
        <v>0.1</v>
      </c>
      <c r="G151" s="162">
        <v>15</v>
      </c>
      <c r="H151" s="400">
        <v>0.41666666666666669</v>
      </c>
      <c r="I151" s="164">
        <v>16.329999999999998</v>
      </c>
      <c r="J151" s="168"/>
      <c r="K151" s="168"/>
      <c r="L151" s="168"/>
      <c r="M151" s="168"/>
      <c r="N151" s="168">
        <v>12</v>
      </c>
    </row>
    <row r="152" spans="1:14" ht="24" x14ac:dyDescent="0.3">
      <c r="A152" s="158" t="s">
        <v>147</v>
      </c>
      <c r="B152" s="158" t="str">
        <f t="shared" si="2"/>
        <v>AEBO - 3 Couleurs+2 Blancs+2 Silvers</v>
      </c>
      <c r="C152" s="159" t="s">
        <v>349</v>
      </c>
      <c r="D152" s="160" t="s">
        <v>606</v>
      </c>
      <c r="E152" s="161">
        <v>0.71400000000000008</v>
      </c>
      <c r="F152" s="161">
        <v>0.1</v>
      </c>
      <c r="G152" s="162">
        <v>15</v>
      </c>
      <c r="H152" s="400">
        <v>0.41666666666666669</v>
      </c>
      <c r="I152" s="164">
        <v>20.99</v>
      </c>
      <c r="J152" s="168"/>
      <c r="K152" s="168"/>
      <c r="L152" s="168"/>
      <c r="M152" s="168"/>
      <c r="N152" s="168">
        <v>14</v>
      </c>
    </row>
    <row r="153" spans="1:14" x14ac:dyDescent="0.3">
      <c r="A153" s="158" t="s">
        <v>147</v>
      </c>
      <c r="B153" s="158" t="str">
        <f t="shared" si="2"/>
        <v>AEBO - 4 Couleurs</v>
      </c>
      <c r="C153" s="159" t="s">
        <v>349</v>
      </c>
      <c r="D153" s="160" t="s">
        <v>33</v>
      </c>
      <c r="E153" s="161">
        <v>0.5</v>
      </c>
      <c r="F153" s="161">
        <v>0.1</v>
      </c>
      <c r="G153" s="162">
        <v>15</v>
      </c>
      <c r="H153" s="400">
        <v>0.41666666666666669</v>
      </c>
      <c r="I153" s="164">
        <v>8.52</v>
      </c>
      <c r="J153" s="168"/>
      <c r="K153" s="168"/>
      <c r="L153" s="168"/>
      <c r="M153" s="168"/>
      <c r="N153" s="168">
        <v>8</v>
      </c>
    </row>
    <row r="154" spans="1:14" x14ac:dyDescent="0.3">
      <c r="A154" s="158" t="s">
        <v>147</v>
      </c>
      <c r="B154" s="158" t="str">
        <f t="shared" si="2"/>
        <v>AEBO - 4 Couleurs+1 Silver</v>
      </c>
      <c r="C154" s="159" t="s">
        <v>349</v>
      </c>
      <c r="D154" s="160" t="s">
        <v>612</v>
      </c>
      <c r="E154" s="161">
        <v>0.6</v>
      </c>
      <c r="F154" s="161">
        <v>0.1</v>
      </c>
      <c r="G154" s="162">
        <v>15</v>
      </c>
      <c r="H154" s="400">
        <v>0.41666666666666669</v>
      </c>
      <c r="I154" s="164">
        <v>16.61</v>
      </c>
      <c r="J154" s="168"/>
      <c r="K154" s="168"/>
      <c r="L154" s="168"/>
      <c r="M154" s="168"/>
      <c r="N154" s="168">
        <v>10</v>
      </c>
    </row>
    <row r="155" spans="1:14" x14ac:dyDescent="0.3">
      <c r="A155" s="158" t="s">
        <v>147</v>
      </c>
      <c r="B155" s="158" t="str">
        <f t="shared" si="2"/>
        <v>AEBO - 4 Couleurs+1 Blanc</v>
      </c>
      <c r="C155" s="159" t="s">
        <v>349</v>
      </c>
      <c r="D155" s="160" t="s">
        <v>613</v>
      </c>
      <c r="E155" s="161">
        <v>0.6</v>
      </c>
      <c r="F155" s="161">
        <v>0.1</v>
      </c>
      <c r="G155" s="162">
        <v>15</v>
      </c>
      <c r="H155" s="400">
        <v>0.41666666666666669</v>
      </c>
      <c r="I155" s="164">
        <v>9.15</v>
      </c>
      <c r="J155" s="168"/>
      <c r="K155" s="168"/>
      <c r="L155" s="168"/>
      <c r="M155" s="168"/>
      <c r="N155" s="168">
        <v>10</v>
      </c>
    </row>
    <row r="156" spans="1:14" ht="24" x14ac:dyDescent="0.3">
      <c r="A156" s="158" t="s">
        <v>147</v>
      </c>
      <c r="B156" s="158" t="str">
        <f t="shared" si="2"/>
        <v>AEBO - 4 Couleurs+1 Blanc+1 Silver</v>
      </c>
      <c r="C156" s="159" t="s">
        <v>349</v>
      </c>
      <c r="D156" s="160" t="s">
        <v>614</v>
      </c>
      <c r="E156" s="161">
        <v>0.66700000000000004</v>
      </c>
      <c r="F156" s="161">
        <v>0.1</v>
      </c>
      <c r="G156" s="162">
        <v>15</v>
      </c>
      <c r="H156" s="400">
        <v>0.41666666666666669</v>
      </c>
      <c r="I156" s="164">
        <v>15.79</v>
      </c>
      <c r="J156" s="168"/>
      <c r="K156" s="168"/>
      <c r="L156" s="168"/>
      <c r="M156" s="168"/>
      <c r="N156" s="168">
        <v>12</v>
      </c>
    </row>
    <row r="157" spans="1:14" ht="24" x14ac:dyDescent="0.3">
      <c r="A157" s="158" t="s">
        <v>147</v>
      </c>
      <c r="B157" s="158" t="str">
        <f t="shared" si="2"/>
        <v>AEBO - 4 Couleurs+1 Blanc+2 Silvers</v>
      </c>
      <c r="C157" s="159" t="s">
        <v>349</v>
      </c>
      <c r="D157" s="160" t="s">
        <v>615</v>
      </c>
      <c r="E157" s="161">
        <v>0.71400000000000008</v>
      </c>
      <c r="F157" s="161">
        <v>0.1</v>
      </c>
      <c r="G157" s="162">
        <v>15</v>
      </c>
      <c r="H157" s="400">
        <v>0.41666666666666669</v>
      </c>
      <c r="I157" s="164">
        <v>20.53</v>
      </c>
      <c r="J157" s="168"/>
      <c r="K157" s="168"/>
      <c r="L157" s="168"/>
      <c r="M157" s="168"/>
      <c r="N157" s="168">
        <v>14</v>
      </c>
    </row>
    <row r="158" spans="1:14" x14ac:dyDescent="0.3">
      <c r="A158" s="158" t="s">
        <v>147</v>
      </c>
      <c r="B158" s="158" t="str">
        <f t="shared" si="2"/>
        <v>AEBO - 4 Couleurs+2 Silvers</v>
      </c>
      <c r="C158" s="159" t="s">
        <v>349</v>
      </c>
      <c r="D158" s="160" t="s">
        <v>618</v>
      </c>
      <c r="E158" s="161">
        <v>0.66700000000000004</v>
      </c>
      <c r="F158" s="161">
        <v>0.1</v>
      </c>
      <c r="G158" s="162">
        <v>15</v>
      </c>
      <c r="H158" s="400">
        <v>0.41666666666666669</v>
      </c>
      <c r="I158" s="164">
        <v>22.01</v>
      </c>
      <c r="J158" s="168"/>
      <c r="K158" s="168"/>
      <c r="L158" s="168"/>
      <c r="M158" s="168"/>
      <c r="N158" s="168">
        <v>12</v>
      </c>
    </row>
    <row r="159" spans="1:14" x14ac:dyDescent="0.3">
      <c r="A159" s="158" t="s">
        <v>147</v>
      </c>
      <c r="B159" s="158" t="str">
        <f t="shared" si="2"/>
        <v>AEBO - 4 Couleurs+2 Blancs</v>
      </c>
      <c r="C159" s="159" t="s">
        <v>349</v>
      </c>
      <c r="D159" s="160" t="s">
        <v>619</v>
      </c>
      <c r="E159" s="161">
        <v>0.66700000000000004</v>
      </c>
      <c r="F159" s="161">
        <v>0.1</v>
      </c>
      <c r="G159" s="162">
        <v>15</v>
      </c>
      <c r="H159" s="400">
        <v>0.41666666666666669</v>
      </c>
      <c r="I159" s="164">
        <v>9.58</v>
      </c>
      <c r="J159" s="168"/>
      <c r="K159" s="168"/>
      <c r="L159" s="168"/>
      <c r="M159" s="168"/>
      <c r="N159" s="168">
        <v>12</v>
      </c>
    </row>
    <row r="160" spans="1:14" ht="24" x14ac:dyDescent="0.3">
      <c r="A160" s="158" t="s">
        <v>147</v>
      </c>
      <c r="B160" s="158" t="str">
        <f t="shared" si="2"/>
        <v>AEBO - 4 Couleurs+2 Blancs+1 Silver</v>
      </c>
      <c r="C160" s="159" t="s">
        <v>349</v>
      </c>
      <c r="D160" s="160" t="s">
        <v>620</v>
      </c>
      <c r="E160" s="161">
        <v>0.71400000000000008</v>
      </c>
      <c r="F160" s="161">
        <v>0.1</v>
      </c>
      <c r="G160" s="162">
        <v>15</v>
      </c>
      <c r="H160" s="400">
        <v>0.41666666666666669</v>
      </c>
      <c r="I160" s="164">
        <v>15.21</v>
      </c>
      <c r="J160" s="168"/>
      <c r="K160" s="168"/>
      <c r="L160" s="168"/>
      <c r="M160" s="168"/>
      <c r="N160" s="168">
        <v>14</v>
      </c>
    </row>
    <row r="161" spans="1:14" ht="24" x14ac:dyDescent="0.3">
      <c r="A161" s="158" t="s">
        <v>147</v>
      </c>
      <c r="B161" s="158" t="str">
        <f t="shared" si="2"/>
        <v>AEBO - 4 Couleurs+2 Blancs+2 Silvers</v>
      </c>
      <c r="C161" s="159" t="s">
        <v>349</v>
      </c>
      <c r="D161" s="160" t="s">
        <v>621</v>
      </c>
      <c r="E161" s="161">
        <v>0.75</v>
      </c>
      <c r="F161" s="161">
        <v>0.1</v>
      </c>
      <c r="G161" s="162">
        <v>15</v>
      </c>
      <c r="H161" s="400">
        <v>0.41666666666666669</v>
      </c>
      <c r="I161" s="164">
        <v>19.43</v>
      </c>
      <c r="J161" s="168"/>
      <c r="K161" s="168"/>
      <c r="L161" s="168"/>
      <c r="M161" s="168"/>
      <c r="N161" s="168">
        <v>16</v>
      </c>
    </row>
    <row r="162" spans="1:14" x14ac:dyDescent="0.3">
      <c r="A162" s="158" t="s">
        <v>147</v>
      </c>
      <c r="B162" s="158" t="str">
        <f t="shared" si="2"/>
        <v>AEBO - 5 Couleurs</v>
      </c>
      <c r="C162" s="159" t="s">
        <v>349</v>
      </c>
      <c r="D162" s="160" t="s">
        <v>627</v>
      </c>
      <c r="E162" s="161">
        <v>0.6</v>
      </c>
      <c r="F162" s="161">
        <v>0.1</v>
      </c>
      <c r="G162" s="162">
        <v>15</v>
      </c>
      <c r="H162" s="400">
        <v>0.41666666666666669</v>
      </c>
      <c r="I162" s="164">
        <v>8.52</v>
      </c>
      <c r="J162" s="168"/>
      <c r="K162" s="168"/>
      <c r="L162" s="168"/>
      <c r="M162" s="168"/>
      <c r="N162" s="168">
        <v>10</v>
      </c>
    </row>
    <row r="163" spans="1:14" x14ac:dyDescent="0.3">
      <c r="A163" s="158" t="s">
        <v>147</v>
      </c>
      <c r="B163" s="158" t="str">
        <f t="shared" si="2"/>
        <v>AEBO - 5 Couleurs+1 Blanc</v>
      </c>
      <c r="C163" s="159" t="s">
        <v>349</v>
      </c>
      <c r="D163" s="160" t="s">
        <v>629</v>
      </c>
      <c r="E163" s="161">
        <v>0.66700000000000004</v>
      </c>
      <c r="F163" s="161">
        <v>0.1</v>
      </c>
      <c r="G163" s="162">
        <v>15</v>
      </c>
      <c r="H163" s="400">
        <v>0.41666666666666669</v>
      </c>
      <c r="I163" s="164">
        <v>9.0500000000000007</v>
      </c>
      <c r="J163" s="168"/>
      <c r="K163" s="168"/>
      <c r="L163" s="168"/>
      <c r="M163" s="168"/>
      <c r="N163" s="168">
        <v>12</v>
      </c>
    </row>
    <row r="164" spans="1:14" x14ac:dyDescent="0.3">
      <c r="A164" s="158" t="s">
        <v>147</v>
      </c>
      <c r="B164" s="158" t="str">
        <f t="shared" si="2"/>
        <v>AEBO - 5 Couleurs+2 Blancs</v>
      </c>
      <c r="C164" s="159" t="s">
        <v>349</v>
      </c>
      <c r="D164" s="160" t="s">
        <v>635</v>
      </c>
      <c r="E164" s="161">
        <v>0.71400000000000008</v>
      </c>
      <c r="F164" s="161">
        <v>0.1</v>
      </c>
      <c r="G164" s="162">
        <v>15</v>
      </c>
      <c r="H164" s="400">
        <v>0.41666666666666669</v>
      </c>
      <c r="I164" s="164">
        <v>9.43</v>
      </c>
      <c r="J164" s="168"/>
      <c r="K164" s="168"/>
      <c r="L164" s="168"/>
      <c r="M164" s="168"/>
      <c r="N164" s="168">
        <v>14</v>
      </c>
    </row>
    <row r="165" spans="1:14" x14ac:dyDescent="0.3">
      <c r="A165" s="158" t="s">
        <v>147</v>
      </c>
      <c r="B165" s="158" t="str">
        <f t="shared" si="2"/>
        <v>AEBO - 6 Couleurs</v>
      </c>
      <c r="C165" s="159" t="s">
        <v>349</v>
      </c>
      <c r="D165" s="160" t="s">
        <v>641</v>
      </c>
      <c r="E165" s="161">
        <v>0.66700000000000004</v>
      </c>
      <c r="F165" s="161">
        <v>0.1</v>
      </c>
      <c r="G165" s="162">
        <v>15</v>
      </c>
      <c r="H165" s="400">
        <v>0.41666666666666669</v>
      </c>
      <c r="I165" s="164">
        <v>8.52</v>
      </c>
      <c r="J165" s="168"/>
      <c r="K165" s="168"/>
      <c r="L165" s="168"/>
      <c r="M165" s="168"/>
      <c r="N165" s="168">
        <v>12</v>
      </c>
    </row>
    <row r="166" spans="1:14" x14ac:dyDescent="0.3">
      <c r="A166" s="158" t="s">
        <v>147</v>
      </c>
      <c r="B166" s="158" t="str">
        <f t="shared" si="2"/>
        <v>AEBO - 6 Couleurs+1 Blanc</v>
      </c>
      <c r="C166" s="159" t="s">
        <v>349</v>
      </c>
      <c r="D166" s="160" t="s">
        <v>643</v>
      </c>
      <c r="E166" s="161">
        <v>0.71400000000000008</v>
      </c>
      <c r="F166" s="161">
        <v>0.1</v>
      </c>
      <c r="G166" s="162">
        <v>15</v>
      </c>
      <c r="H166" s="400">
        <v>0.41666666666666669</v>
      </c>
      <c r="I166" s="164">
        <v>8.9700000000000006</v>
      </c>
      <c r="J166" s="168"/>
      <c r="K166" s="168"/>
      <c r="L166" s="168"/>
      <c r="M166" s="168"/>
      <c r="N166" s="168">
        <v>14</v>
      </c>
    </row>
    <row r="167" spans="1:14" x14ac:dyDescent="0.3">
      <c r="A167" s="158" t="s">
        <v>147</v>
      </c>
      <c r="B167" s="158" t="str">
        <f t="shared" si="2"/>
        <v>AEBO - 6 Couleurs+2 Blancs</v>
      </c>
      <c r="C167" s="159" t="s">
        <v>349</v>
      </c>
      <c r="D167" s="160" t="s">
        <v>648</v>
      </c>
      <c r="E167" s="161">
        <v>0.75</v>
      </c>
      <c r="F167" s="161">
        <v>0.1</v>
      </c>
      <c r="G167" s="162">
        <v>15</v>
      </c>
      <c r="H167" s="400">
        <v>0.41666666666666669</v>
      </c>
      <c r="I167" s="164">
        <v>9.31</v>
      </c>
      <c r="J167" s="168"/>
      <c r="K167" s="168"/>
      <c r="L167" s="168"/>
      <c r="M167" s="168"/>
      <c r="N167" s="168">
        <v>16</v>
      </c>
    </row>
    <row r="168" spans="1:14" x14ac:dyDescent="0.3">
      <c r="A168" s="158" t="s">
        <v>147</v>
      </c>
      <c r="B168" s="158" t="str">
        <f t="shared" si="2"/>
        <v>AEBO - 7 Couleurs</v>
      </c>
      <c r="C168" s="159" t="s">
        <v>349</v>
      </c>
      <c r="D168" s="160" t="s">
        <v>653</v>
      </c>
      <c r="E168" s="161">
        <v>0.71400000000000008</v>
      </c>
      <c r="F168" s="161">
        <v>0.1</v>
      </c>
      <c r="G168" s="162">
        <v>15</v>
      </c>
      <c r="H168" s="400">
        <v>0.41666666666666669</v>
      </c>
      <c r="I168" s="164">
        <v>8.52</v>
      </c>
      <c r="J168" s="168"/>
      <c r="K168" s="168"/>
      <c r="L168" s="168"/>
      <c r="M168" s="168"/>
      <c r="N168" s="168">
        <v>14</v>
      </c>
    </row>
    <row r="169" spans="1:14" x14ac:dyDescent="0.3">
      <c r="A169" s="158" t="s">
        <v>147</v>
      </c>
      <c r="B169" s="158" t="str">
        <f t="shared" si="2"/>
        <v>AEBO - 7 Couleurs+1 Blanc</v>
      </c>
      <c r="C169" s="159" t="s">
        <v>349</v>
      </c>
      <c r="D169" s="160" t="s">
        <v>655</v>
      </c>
      <c r="E169" s="161">
        <v>0.75</v>
      </c>
      <c r="F169" s="161">
        <v>0.1</v>
      </c>
      <c r="G169" s="162">
        <v>15</v>
      </c>
      <c r="H169" s="400">
        <v>0.41666666666666669</v>
      </c>
      <c r="I169" s="164">
        <v>8.91</v>
      </c>
      <c r="J169" s="168"/>
      <c r="K169" s="168"/>
      <c r="L169" s="168"/>
      <c r="M169" s="168"/>
      <c r="N169" s="168">
        <v>16</v>
      </c>
    </row>
    <row r="170" spans="1:14" x14ac:dyDescent="0.3">
      <c r="A170" s="158" t="s">
        <v>147</v>
      </c>
      <c r="B170" s="158" t="str">
        <f t="shared" si="2"/>
        <v>AEBO - 7 Couleurs+2 Blancs</v>
      </c>
      <c r="C170" s="159" t="s">
        <v>349</v>
      </c>
      <c r="D170" s="160" t="s">
        <v>659</v>
      </c>
      <c r="E170" s="161">
        <v>0.77800000000000002</v>
      </c>
      <c r="F170" s="161">
        <v>0.1</v>
      </c>
      <c r="G170" s="162">
        <v>15</v>
      </c>
      <c r="H170" s="400">
        <v>0.41666666666666669</v>
      </c>
      <c r="I170" s="164">
        <v>9.23</v>
      </c>
      <c r="J170" s="168"/>
      <c r="K170" s="168"/>
      <c r="L170" s="168"/>
      <c r="M170" s="168"/>
      <c r="N170" s="168">
        <v>18</v>
      </c>
    </row>
    <row r="171" spans="1:14" x14ac:dyDescent="0.3">
      <c r="A171" s="158" t="s">
        <v>147</v>
      </c>
      <c r="B171" s="158" t="str">
        <f t="shared" si="2"/>
        <v>AEBO - 8 Couleurs</v>
      </c>
      <c r="C171" s="159" t="s">
        <v>349</v>
      </c>
      <c r="D171" s="160" t="s">
        <v>669</v>
      </c>
      <c r="E171" s="161">
        <v>0.75</v>
      </c>
      <c r="F171" s="161">
        <v>0.1</v>
      </c>
      <c r="G171" s="162">
        <v>15</v>
      </c>
      <c r="H171" s="400">
        <v>0.41666666666666669</v>
      </c>
      <c r="I171" s="164">
        <v>8.52</v>
      </c>
      <c r="J171" s="168"/>
      <c r="K171" s="168"/>
      <c r="L171" s="168"/>
      <c r="M171" s="168"/>
      <c r="N171" s="168">
        <v>16</v>
      </c>
    </row>
    <row r="172" spans="1:14" x14ac:dyDescent="0.3">
      <c r="A172" s="158" t="s">
        <v>147</v>
      </c>
      <c r="B172" s="158" t="str">
        <f t="shared" si="2"/>
        <v>AEBO - 8 Couleurs+1 Blanc</v>
      </c>
      <c r="C172" s="159" t="s">
        <v>349</v>
      </c>
      <c r="D172" s="160" t="s">
        <v>663</v>
      </c>
      <c r="E172" s="161">
        <v>0.77800000000000002</v>
      </c>
      <c r="F172" s="161">
        <v>0.1</v>
      </c>
      <c r="G172" s="162">
        <v>15</v>
      </c>
      <c r="H172" s="400">
        <v>0.41666666666666669</v>
      </c>
      <c r="I172" s="164">
        <v>8.8699999999999992</v>
      </c>
      <c r="J172" s="168"/>
      <c r="K172" s="168"/>
      <c r="L172" s="168"/>
      <c r="M172" s="168"/>
      <c r="N172" s="168">
        <v>18</v>
      </c>
    </row>
    <row r="173" spans="1:14" x14ac:dyDescent="0.3">
      <c r="A173" s="158" t="s">
        <v>147</v>
      </c>
      <c r="B173" s="158" t="str">
        <f t="shared" si="2"/>
        <v>AEBO - 8 Couleurs+2 Blancs</v>
      </c>
      <c r="C173" s="159" t="s">
        <v>349</v>
      </c>
      <c r="D173" s="160" t="s">
        <v>666</v>
      </c>
      <c r="E173" s="161">
        <v>0.8</v>
      </c>
      <c r="F173" s="161">
        <v>0.1</v>
      </c>
      <c r="G173" s="162">
        <v>15</v>
      </c>
      <c r="H173" s="400">
        <v>0.41666666666666669</v>
      </c>
      <c r="I173" s="164">
        <v>9.15</v>
      </c>
      <c r="J173" s="168"/>
      <c r="K173" s="168"/>
      <c r="L173" s="168"/>
      <c r="M173" s="168"/>
      <c r="N173" s="168">
        <v>20</v>
      </c>
    </row>
    <row r="174" spans="1:14" x14ac:dyDescent="0.3">
      <c r="A174" s="158" t="s">
        <v>147</v>
      </c>
      <c r="B174" s="158" t="str">
        <f t="shared" si="2"/>
        <v>AEBO - 9 Couleurs</v>
      </c>
      <c r="C174" s="159" t="s">
        <v>349</v>
      </c>
      <c r="D174" s="160" t="s">
        <v>670</v>
      </c>
      <c r="E174" s="161">
        <v>0.77800000000000002</v>
      </c>
      <c r="F174" s="161">
        <v>0.1</v>
      </c>
      <c r="G174" s="162">
        <v>15</v>
      </c>
      <c r="H174" s="400">
        <v>0.41666666666666669</v>
      </c>
      <c r="I174" s="164">
        <v>8.52</v>
      </c>
      <c r="J174" s="168"/>
      <c r="K174" s="168"/>
      <c r="L174" s="168"/>
      <c r="M174" s="168"/>
      <c r="N174" s="168">
        <v>18</v>
      </c>
    </row>
    <row r="175" spans="1:14" x14ac:dyDescent="0.3">
      <c r="A175" s="158" t="s">
        <v>147</v>
      </c>
      <c r="B175" s="158" t="str">
        <f t="shared" si="2"/>
        <v>AEBO - 9 Couleurs+1 Blanc</v>
      </c>
      <c r="C175" s="159" t="s">
        <v>349</v>
      </c>
      <c r="D175" s="160" t="s">
        <v>671</v>
      </c>
      <c r="E175" s="161">
        <v>0.8</v>
      </c>
      <c r="F175" s="161">
        <v>0.1</v>
      </c>
      <c r="G175" s="162">
        <v>15</v>
      </c>
      <c r="H175" s="400">
        <v>0.41666666666666669</v>
      </c>
      <c r="I175" s="164">
        <v>8.83</v>
      </c>
      <c r="J175" s="168"/>
      <c r="K175" s="168"/>
      <c r="L175" s="168"/>
      <c r="M175" s="168"/>
      <c r="N175" s="168">
        <v>20</v>
      </c>
    </row>
    <row r="176" spans="1:14" x14ac:dyDescent="0.3">
      <c r="A176" s="158" t="s">
        <v>139</v>
      </c>
      <c r="B176" s="158" t="str">
        <f t="shared" si="2"/>
        <v>AEEP - Noir</v>
      </c>
      <c r="C176" s="159" t="s">
        <v>349</v>
      </c>
      <c r="D176" s="160" t="s">
        <v>554</v>
      </c>
      <c r="E176" s="161">
        <v>0</v>
      </c>
      <c r="F176" s="161">
        <v>0.1</v>
      </c>
      <c r="G176" s="162">
        <v>15</v>
      </c>
      <c r="H176" s="400">
        <v>0.41666666666666669</v>
      </c>
      <c r="I176" s="164">
        <v>8.52</v>
      </c>
      <c r="J176" s="168"/>
      <c r="K176" s="168"/>
      <c r="L176" s="168"/>
      <c r="M176" s="168"/>
      <c r="N176" s="168">
        <v>2</v>
      </c>
    </row>
    <row r="177" spans="1:14" x14ac:dyDescent="0.3">
      <c r="A177" s="158" t="s">
        <v>139</v>
      </c>
      <c r="B177" s="158" t="str">
        <f t="shared" si="2"/>
        <v>AEEP - Noir+1 Silver</v>
      </c>
      <c r="C177" s="159" t="s">
        <v>349</v>
      </c>
      <c r="D177" s="160" t="s">
        <v>555</v>
      </c>
      <c r="E177" s="161">
        <v>0</v>
      </c>
      <c r="F177" s="161">
        <v>0.1</v>
      </c>
      <c r="G177" s="162">
        <v>15</v>
      </c>
      <c r="H177" s="400">
        <v>0.41666666666666669</v>
      </c>
      <c r="I177" s="164">
        <v>28.75</v>
      </c>
      <c r="J177" s="168"/>
      <c r="K177" s="168"/>
      <c r="L177" s="168"/>
      <c r="M177" s="168"/>
      <c r="N177" s="168">
        <v>4</v>
      </c>
    </row>
    <row r="178" spans="1:14" x14ac:dyDescent="0.3">
      <c r="A178" s="158" t="s">
        <v>139</v>
      </c>
      <c r="B178" s="158" t="str">
        <f t="shared" si="2"/>
        <v>AEEP - Noir+1 Blanc</v>
      </c>
      <c r="C178" s="159" t="s">
        <v>349</v>
      </c>
      <c r="D178" s="160" t="s">
        <v>556</v>
      </c>
      <c r="E178" s="161">
        <v>0</v>
      </c>
      <c r="F178" s="161">
        <v>0.1</v>
      </c>
      <c r="G178" s="162">
        <v>15</v>
      </c>
      <c r="H178" s="400">
        <v>0.41666666666666669</v>
      </c>
      <c r="I178" s="164">
        <v>10.11</v>
      </c>
      <c r="J178" s="168"/>
      <c r="K178" s="168"/>
      <c r="L178" s="168"/>
      <c r="M178" s="168"/>
      <c r="N178" s="168">
        <v>4</v>
      </c>
    </row>
    <row r="179" spans="1:14" x14ac:dyDescent="0.3">
      <c r="A179" s="158" t="s">
        <v>139</v>
      </c>
      <c r="B179" s="158" t="str">
        <f t="shared" si="2"/>
        <v>AEEP - Noir+1 Blanc+1 Silver</v>
      </c>
      <c r="C179" s="159" t="s">
        <v>349</v>
      </c>
      <c r="D179" s="160" t="s">
        <v>557</v>
      </c>
      <c r="E179" s="161">
        <v>0.33299999999999996</v>
      </c>
      <c r="F179" s="161">
        <v>0.1</v>
      </c>
      <c r="G179" s="162">
        <v>15</v>
      </c>
      <c r="H179" s="400">
        <v>0.41666666666666669</v>
      </c>
      <c r="I179" s="164">
        <v>23.07</v>
      </c>
      <c r="J179" s="168"/>
      <c r="K179" s="168"/>
      <c r="L179" s="168"/>
      <c r="M179" s="168"/>
      <c r="N179" s="168">
        <v>6</v>
      </c>
    </row>
    <row r="180" spans="1:14" x14ac:dyDescent="0.3">
      <c r="A180" s="158" t="s">
        <v>139</v>
      </c>
      <c r="B180" s="158" t="str">
        <f t="shared" si="2"/>
        <v>AEEP - Noir+1 Blanc+2 Silvers</v>
      </c>
      <c r="C180" s="159" t="s">
        <v>349</v>
      </c>
      <c r="D180" s="160" t="s">
        <v>558</v>
      </c>
      <c r="E180" s="161">
        <v>0.5</v>
      </c>
      <c r="F180" s="161">
        <v>0.1</v>
      </c>
      <c r="G180" s="162">
        <v>15</v>
      </c>
      <c r="H180" s="400">
        <v>0.41666666666666669</v>
      </c>
      <c r="I180" s="164">
        <v>29.55</v>
      </c>
      <c r="J180" s="168"/>
      <c r="K180" s="168"/>
      <c r="L180" s="168"/>
      <c r="M180" s="168"/>
      <c r="N180" s="168">
        <v>8</v>
      </c>
    </row>
    <row r="181" spans="1:14" x14ac:dyDescent="0.3">
      <c r="A181" s="158" t="s">
        <v>139</v>
      </c>
      <c r="B181" s="158" t="str">
        <f t="shared" si="2"/>
        <v>AEEP - Noir+2 Silvers</v>
      </c>
      <c r="C181" s="159" t="s">
        <v>349</v>
      </c>
      <c r="D181" s="160" t="s">
        <v>561</v>
      </c>
      <c r="E181" s="161">
        <v>0.33299999999999996</v>
      </c>
      <c r="F181" s="161">
        <v>0.1</v>
      </c>
      <c r="G181" s="162">
        <v>15</v>
      </c>
      <c r="H181" s="400">
        <v>0.41666666666666669</v>
      </c>
      <c r="I181" s="164">
        <v>35.5</v>
      </c>
      <c r="J181" s="168"/>
      <c r="K181" s="168"/>
      <c r="L181" s="168"/>
      <c r="M181" s="168"/>
      <c r="N181" s="168">
        <v>6</v>
      </c>
    </row>
    <row r="182" spans="1:14" x14ac:dyDescent="0.3">
      <c r="A182" s="158" t="s">
        <v>139</v>
      </c>
      <c r="B182" s="158" t="str">
        <f t="shared" si="2"/>
        <v>AEEP - Noir+2 Blancs</v>
      </c>
      <c r="C182" s="159" t="s">
        <v>349</v>
      </c>
      <c r="D182" s="160" t="s">
        <v>562</v>
      </c>
      <c r="E182" s="161">
        <v>0.33299999999999996</v>
      </c>
      <c r="F182" s="161">
        <v>0.1</v>
      </c>
      <c r="G182" s="162">
        <v>15</v>
      </c>
      <c r="H182" s="400">
        <v>0.41666666666666669</v>
      </c>
      <c r="I182" s="164">
        <v>10.65</v>
      </c>
      <c r="J182" s="168"/>
      <c r="K182" s="168"/>
      <c r="L182" s="168"/>
      <c r="M182" s="168"/>
      <c r="N182" s="168">
        <v>6</v>
      </c>
    </row>
    <row r="183" spans="1:14" x14ac:dyDescent="0.3">
      <c r="A183" s="158" t="s">
        <v>139</v>
      </c>
      <c r="B183" s="158" t="str">
        <f t="shared" si="2"/>
        <v>AEEP - Noir+2 Blancs+1 Silver</v>
      </c>
      <c r="C183" s="159" t="s">
        <v>349</v>
      </c>
      <c r="D183" s="160" t="s">
        <v>563</v>
      </c>
      <c r="E183" s="161">
        <v>0.5</v>
      </c>
      <c r="F183" s="161">
        <v>0.1</v>
      </c>
      <c r="G183" s="162">
        <v>15</v>
      </c>
      <c r="H183" s="400">
        <v>0.41666666666666669</v>
      </c>
      <c r="I183" s="164">
        <v>20.23</v>
      </c>
      <c r="J183" s="168"/>
      <c r="K183" s="168"/>
      <c r="L183" s="168"/>
      <c r="M183" s="168"/>
      <c r="N183" s="168">
        <v>8</v>
      </c>
    </row>
    <row r="184" spans="1:14" x14ac:dyDescent="0.3">
      <c r="A184" s="158" t="s">
        <v>139</v>
      </c>
      <c r="B184" s="158" t="str">
        <f t="shared" si="2"/>
        <v>AEEP - Noir+2 Blancs+2 Silvers</v>
      </c>
      <c r="C184" s="159" t="s">
        <v>349</v>
      </c>
      <c r="D184" s="160" t="s">
        <v>564</v>
      </c>
      <c r="E184" s="161">
        <v>0.6</v>
      </c>
      <c r="F184" s="161">
        <v>0.1</v>
      </c>
      <c r="G184" s="162">
        <v>15</v>
      </c>
      <c r="H184" s="400">
        <v>0.41666666666666669</v>
      </c>
      <c r="I184" s="164">
        <v>25.98</v>
      </c>
      <c r="J184" s="168"/>
      <c r="K184" s="168"/>
      <c r="L184" s="168"/>
      <c r="M184" s="168"/>
      <c r="N184" s="168">
        <v>10</v>
      </c>
    </row>
    <row r="185" spans="1:14" x14ac:dyDescent="0.3">
      <c r="A185" s="158" t="s">
        <v>139</v>
      </c>
      <c r="B185" s="158" t="str">
        <f t="shared" si="2"/>
        <v>AEEP - 1 Silver</v>
      </c>
      <c r="C185" s="159" t="s">
        <v>349</v>
      </c>
      <c r="D185" s="160" t="s">
        <v>569</v>
      </c>
      <c r="E185" s="161">
        <v>0</v>
      </c>
      <c r="F185" s="161">
        <v>0.1</v>
      </c>
      <c r="G185" s="162">
        <v>15</v>
      </c>
      <c r="H185" s="400">
        <v>0.41666666666666669</v>
      </c>
      <c r="I185" s="164">
        <v>48.99</v>
      </c>
      <c r="J185" s="168"/>
      <c r="K185" s="168"/>
      <c r="L185" s="168"/>
      <c r="M185" s="168"/>
      <c r="N185" s="168">
        <v>2</v>
      </c>
    </row>
    <row r="186" spans="1:14" x14ac:dyDescent="0.3">
      <c r="A186" s="158" t="s">
        <v>139</v>
      </c>
      <c r="B186" s="158" t="str">
        <f t="shared" si="2"/>
        <v>AEEP - 1 Blanc</v>
      </c>
      <c r="C186" s="159" t="s">
        <v>349</v>
      </c>
      <c r="D186" s="160" t="s">
        <v>570</v>
      </c>
      <c r="E186" s="161">
        <v>0</v>
      </c>
      <c r="F186" s="161">
        <v>0.1</v>
      </c>
      <c r="G186" s="162">
        <v>15</v>
      </c>
      <c r="H186" s="400">
        <v>0.41666666666666669</v>
      </c>
      <c r="I186" s="164">
        <v>11.71</v>
      </c>
      <c r="J186" s="168"/>
      <c r="K186" s="168"/>
      <c r="L186" s="168"/>
      <c r="M186" s="168"/>
      <c r="N186" s="168">
        <v>2</v>
      </c>
    </row>
    <row r="187" spans="1:14" x14ac:dyDescent="0.3">
      <c r="A187" s="158" t="s">
        <v>139</v>
      </c>
      <c r="B187" s="158" t="str">
        <f t="shared" si="2"/>
        <v>AEEP - 1 Blanc+1 Silver</v>
      </c>
      <c r="C187" s="159" t="s">
        <v>349</v>
      </c>
      <c r="D187" s="160" t="s">
        <v>571</v>
      </c>
      <c r="E187" s="161">
        <v>0</v>
      </c>
      <c r="F187" s="161">
        <v>0.1</v>
      </c>
      <c r="G187" s="162">
        <v>15</v>
      </c>
      <c r="H187" s="400">
        <v>0.41666666666666669</v>
      </c>
      <c r="I187" s="164">
        <v>30.35</v>
      </c>
      <c r="J187" s="168"/>
      <c r="K187" s="168"/>
      <c r="L187" s="168"/>
      <c r="M187" s="168"/>
      <c r="N187" s="168">
        <v>4</v>
      </c>
    </row>
    <row r="188" spans="1:14" x14ac:dyDescent="0.3">
      <c r="A188" s="158" t="s">
        <v>139</v>
      </c>
      <c r="B188" s="158" t="str">
        <f t="shared" si="2"/>
        <v>AEEP - 1 Blanc+2 Silvers</v>
      </c>
      <c r="C188" s="159" t="s">
        <v>349</v>
      </c>
      <c r="D188" s="160" t="s">
        <v>572</v>
      </c>
      <c r="E188" s="161">
        <v>0.33299999999999996</v>
      </c>
      <c r="F188" s="161">
        <v>0.1</v>
      </c>
      <c r="G188" s="162">
        <v>15</v>
      </c>
      <c r="H188" s="400">
        <v>0.41666666666666669</v>
      </c>
      <c r="I188" s="164">
        <v>36.56</v>
      </c>
      <c r="J188" s="168"/>
      <c r="K188" s="168"/>
      <c r="L188" s="168"/>
      <c r="M188" s="168"/>
      <c r="N188" s="168">
        <v>6</v>
      </c>
    </row>
    <row r="189" spans="1:14" x14ac:dyDescent="0.3">
      <c r="A189" s="158" t="s">
        <v>139</v>
      </c>
      <c r="B189" s="158" t="str">
        <f t="shared" si="2"/>
        <v>AEEP - 2 Couleurs</v>
      </c>
      <c r="C189" s="159" t="s">
        <v>349</v>
      </c>
      <c r="D189" s="160" t="s">
        <v>575</v>
      </c>
      <c r="E189" s="161">
        <v>0</v>
      </c>
      <c r="F189" s="161">
        <v>0.1</v>
      </c>
      <c r="G189" s="162">
        <v>15</v>
      </c>
      <c r="H189" s="400">
        <v>0.41666666666666669</v>
      </c>
      <c r="I189" s="164">
        <v>8.52</v>
      </c>
      <c r="J189" s="168"/>
      <c r="K189" s="168"/>
      <c r="L189" s="168"/>
      <c r="M189" s="168"/>
      <c r="N189" s="168">
        <v>4</v>
      </c>
    </row>
    <row r="190" spans="1:14" x14ac:dyDescent="0.3">
      <c r="A190" s="158" t="s">
        <v>139</v>
      </c>
      <c r="B190" s="158" t="str">
        <f t="shared" si="2"/>
        <v>AEEP - 2 Couleurs+1 Silver</v>
      </c>
      <c r="C190" s="159" t="s">
        <v>349</v>
      </c>
      <c r="D190" s="160" t="s">
        <v>576</v>
      </c>
      <c r="E190" s="161">
        <v>0.33299999999999996</v>
      </c>
      <c r="F190" s="161">
        <v>0.1</v>
      </c>
      <c r="G190" s="162">
        <v>15</v>
      </c>
      <c r="H190" s="400">
        <v>0.41666666666666669</v>
      </c>
      <c r="I190" s="164">
        <v>22.01</v>
      </c>
      <c r="J190" s="168"/>
      <c r="K190" s="168"/>
      <c r="L190" s="168"/>
      <c r="M190" s="168"/>
      <c r="N190" s="168">
        <v>6</v>
      </c>
    </row>
    <row r="191" spans="1:14" x14ac:dyDescent="0.3">
      <c r="A191" s="158" t="s">
        <v>139</v>
      </c>
      <c r="B191" s="158" t="str">
        <f t="shared" si="2"/>
        <v>AEEP - 2 Couleurs+1 Blanc</v>
      </c>
      <c r="C191" s="159" t="s">
        <v>349</v>
      </c>
      <c r="D191" s="160" t="s">
        <v>577</v>
      </c>
      <c r="E191" s="161">
        <v>0.33299999999999996</v>
      </c>
      <c r="F191" s="161">
        <v>0.1</v>
      </c>
      <c r="G191" s="162">
        <v>15</v>
      </c>
      <c r="H191" s="400">
        <v>0.41666666666666669</v>
      </c>
      <c r="I191" s="164">
        <v>9.58</v>
      </c>
      <c r="J191" s="168"/>
      <c r="K191" s="168"/>
      <c r="L191" s="168"/>
      <c r="M191" s="168"/>
      <c r="N191" s="168">
        <v>6</v>
      </c>
    </row>
    <row r="192" spans="1:14" ht="24" x14ac:dyDescent="0.3">
      <c r="A192" s="158" t="s">
        <v>139</v>
      </c>
      <c r="B192" s="158" t="str">
        <f t="shared" si="2"/>
        <v>AEEP - 2 Couleurs+1 Blanc+1 Silver</v>
      </c>
      <c r="C192" s="159" t="s">
        <v>349</v>
      </c>
      <c r="D192" s="160" t="s">
        <v>578</v>
      </c>
      <c r="E192" s="161">
        <v>0.5</v>
      </c>
      <c r="F192" s="161">
        <v>0.1</v>
      </c>
      <c r="G192" s="162">
        <v>15</v>
      </c>
      <c r="H192" s="400">
        <v>0.41666666666666669</v>
      </c>
      <c r="I192" s="164">
        <v>19.43</v>
      </c>
      <c r="J192" s="168"/>
      <c r="K192" s="168"/>
      <c r="L192" s="168"/>
      <c r="M192" s="168"/>
      <c r="N192" s="168">
        <v>8</v>
      </c>
    </row>
    <row r="193" spans="1:14" ht="24" x14ac:dyDescent="0.3">
      <c r="A193" s="158" t="s">
        <v>139</v>
      </c>
      <c r="B193" s="158" t="str">
        <f t="shared" si="2"/>
        <v>AEEP - 2 Couleurs+1 Blanc+2 Silvers</v>
      </c>
      <c r="C193" s="159" t="s">
        <v>349</v>
      </c>
      <c r="D193" s="160" t="s">
        <v>579</v>
      </c>
      <c r="E193" s="161">
        <v>0.6</v>
      </c>
      <c r="F193" s="161">
        <v>0.1</v>
      </c>
      <c r="G193" s="162">
        <v>15</v>
      </c>
      <c r="H193" s="400">
        <v>0.41666666666666669</v>
      </c>
      <c r="I193" s="164">
        <v>25.34</v>
      </c>
      <c r="J193" s="168"/>
      <c r="K193" s="168"/>
      <c r="L193" s="168"/>
      <c r="M193" s="168"/>
      <c r="N193" s="168">
        <v>10</v>
      </c>
    </row>
    <row r="194" spans="1:14" x14ac:dyDescent="0.3">
      <c r="A194" s="158" t="s">
        <v>139</v>
      </c>
      <c r="B194" s="158" t="str">
        <f t="shared" si="2"/>
        <v>AEEP - 2 Couleurs+2 Silvers</v>
      </c>
      <c r="C194" s="159" t="s">
        <v>349</v>
      </c>
      <c r="D194" s="160" t="s">
        <v>582</v>
      </c>
      <c r="E194" s="161">
        <v>0.5</v>
      </c>
      <c r="F194" s="161">
        <v>0.1</v>
      </c>
      <c r="G194" s="162">
        <v>15</v>
      </c>
      <c r="H194" s="400">
        <v>0.41666666666666669</v>
      </c>
      <c r="I194" s="164">
        <v>28.75</v>
      </c>
      <c r="J194" s="168"/>
      <c r="K194" s="168"/>
      <c r="L194" s="168"/>
      <c r="M194" s="168"/>
      <c r="N194" s="168">
        <v>8</v>
      </c>
    </row>
    <row r="195" spans="1:14" x14ac:dyDescent="0.3">
      <c r="A195" s="158" t="s">
        <v>139</v>
      </c>
      <c r="B195" s="158" t="str">
        <f t="shared" ref="B195:B258" si="3">A195&amp;" - "&amp;D195</f>
        <v>AEEP - 2 Couleurs+2 Blancs</v>
      </c>
      <c r="C195" s="159" t="s">
        <v>349</v>
      </c>
      <c r="D195" s="160" t="s">
        <v>583</v>
      </c>
      <c r="E195" s="161">
        <v>0.5</v>
      </c>
      <c r="F195" s="161">
        <v>0.1</v>
      </c>
      <c r="G195" s="162">
        <v>15</v>
      </c>
      <c r="H195" s="400">
        <v>0.41666666666666669</v>
      </c>
      <c r="I195" s="164">
        <v>10.11</v>
      </c>
      <c r="J195" s="168"/>
      <c r="K195" s="168"/>
      <c r="L195" s="168"/>
      <c r="M195" s="168"/>
      <c r="N195" s="168">
        <v>8</v>
      </c>
    </row>
    <row r="196" spans="1:14" ht="24" x14ac:dyDescent="0.3">
      <c r="A196" s="158" t="s">
        <v>139</v>
      </c>
      <c r="B196" s="158" t="str">
        <f t="shared" si="3"/>
        <v>AEEP - 2 Couleurs+2 Blancs+1 Silver</v>
      </c>
      <c r="C196" s="159" t="s">
        <v>349</v>
      </c>
      <c r="D196" s="160" t="s">
        <v>584</v>
      </c>
      <c r="E196" s="161">
        <v>0.6</v>
      </c>
      <c r="F196" s="161">
        <v>0.1</v>
      </c>
      <c r="G196" s="162">
        <v>15</v>
      </c>
      <c r="H196" s="400">
        <v>0.41666666666666669</v>
      </c>
      <c r="I196" s="164">
        <v>17.89</v>
      </c>
      <c r="J196" s="168"/>
      <c r="K196" s="168"/>
      <c r="L196" s="168"/>
      <c r="M196" s="168"/>
      <c r="N196" s="168">
        <v>10</v>
      </c>
    </row>
    <row r="197" spans="1:14" ht="24" x14ac:dyDescent="0.3">
      <c r="A197" s="158" t="s">
        <v>139</v>
      </c>
      <c r="B197" s="158" t="str">
        <f t="shared" si="3"/>
        <v>AEEP - 2 Couleurs+2 Blancs+2 Silvers</v>
      </c>
      <c r="C197" s="159" t="s">
        <v>349</v>
      </c>
      <c r="D197" s="160" t="s">
        <v>585</v>
      </c>
      <c r="E197" s="161">
        <v>0.66700000000000004</v>
      </c>
      <c r="F197" s="161">
        <v>0.1</v>
      </c>
      <c r="G197" s="162">
        <v>15</v>
      </c>
      <c r="H197" s="400">
        <v>0.41666666666666669</v>
      </c>
      <c r="I197" s="164">
        <v>23.07</v>
      </c>
      <c r="J197" s="168"/>
      <c r="K197" s="168"/>
      <c r="L197" s="168"/>
      <c r="M197" s="168"/>
      <c r="N197" s="168">
        <v>12</v>
      </c>
    </row>
    <row r="198" spans="1:14" x14ac:dyDescent="0.3">
      <c r="A198" s="158" t="s">
        <v>139</v>
      </c>
      <c r="B198" s="158" t="str">
        <f t="shared" si="3"/>
        <v>AEEP - 2 Silvers</v>
      </c>
      <c r="C198" s="159" t="s">
        <v>349</v>
      </c>
      <c r="D198" s="160" t="s">
        <v>590</v>
      </c>
      <c r="E198" s="161">
        <v>0</v>
      </c>
      <c r="F198" s="161">
        <v>0.1</v>
      </c>
      <c r="G198" s="162">
        <v>15</v>
      </c>
      <c r="H198" s="400">
        <v>0.41666666666666669</v>
      </c>
      <c r="I198" s="164">
        <v>48.99</v>
      </c>
      <c r="J198" s="168"/>
      <c r="K198" s="168"/>
      <c r="L198" s="168"/>
      <c r="M198" s="168"/>
      <c r="N198" s="168">
        <v>4</v>
      </c>
    </row>
    <row r="199" spans="1:14" x14ac:dyDescent="0.3">
      <c r="A199" s="158" t="s">
        <v>139</v>
      </c>
      <c r="B199" s="158" t="str">
        <f t="shared" si="3"/>
        <v>AEEP - 2 Blancs</v>
      </c>
      <c r="C199" s="159" t="s">
        <v>349</v>
      </c>
      <c r="D199" s="160" t="s">
        <v>591</v>
      </c>
      <c r="E199" s="161">
        <v>0</v>
      </c>
      <c r="F199" s="161">
        <v>0.1</v>
      </c>
      <c r="G199" s="162">
        <v>15</v>
      </c>
      <c r="H199" s="400">
        <v>0.41666666666666669</v>
      </c>
      <c r="I199" s="164">
        <v>11.71</v>
      </c>
      <c r="J199" s="168"/>
      <c r="K199" s="168"/>
      <c r="L199" s="168"/>
      <c r="M199" s="168"/>
      <c r="N199" s="168">
        <v>4</v>
      </c>
    </row>
    <row r="200" spans="1:14" x14ac:dyDescent="0.3">
      <c r="A200" s="158" t="s">
        <v>139</v>
      </c>
      <c r="B200" s="158" t="str">
        <f t="shared" si="3"/>
        <v>AEEP - 2 Blancs+1 Silver</v>
      </c>
      <c r="C200" s="159" t="s">
        <v>349</v>
      </c>
      <c r="D200" s="160" t="s">
        <v>592</v>
      </c>
      <c r="E200" s="161">
        <v>0.33299999999999996</v>
      </c>
      <c r="F200" s="161">
        <v>0.1</v>
      </c>
      <c r="G200" s="162">
        <v>15</v>
      </c>
      <c r="H200" s="400">
        <v>0.41666666666666669</v>
      </c>
      <c r="I200" s="164">
        <v>24.14</v>
      </c>
      <c r="J200" s="168"/>
      <c r="K200" s="168"/>
      <c r="L200" s="168"/>
      <c r="M200" s="168"/>
      <c r="N200" s="168">
        <v>6</v>
      </c>
    </row>
    <row r="201" spans="1:14" x14ac:dyDescent="0.3">
      <c r="A201" s="158" t="s">
        <v>139</v>
      </c>
      <c r="B201" s="158" t="str">
        <f t="shared" si="3"/>
        <v>AEEP - 2 Blancs+2 Silvers</v>
      </c>
      <c r="C201" s="159" t="s">
        <v>349</v>
      </c>
      <c r="D201" s="160" t="s">
        <v>593</v>
      </c>
      <c r="E201" s="161">
        <v>0.5</v>
      </c>
      <c r="F201" s="161">
        <v>0.1</v>
      </c>
      <c r="G201" s="162">
        <v>15</v>
      </c>
      <c r="H201" s="400">
        <v>0.41666666666666669</v>
      </c>
      <c r="I201" s="164">
        <v>30.35</v>
      </c>
      <c r="J201" s="168"/>
      <c r="K201" s="168"/>
      <c r="L201" s="168"/>
      <c r="M201" s="168"/>
      <c r="N201" s="168">
        <v>8</v>
      </c>
    </row>
    <row r="202" spans="1:14" x14ac:dyDescent="0.3">
      <c r="A202" s="158" t="s">
        <v>139</v>
      </c>
      <c r="B202" s="158" t="str">
        <f t="shared" si="3"/>
        <v>AEEP - 3 Couleurs</v>
      </c>
      <c r="C202" s="159" t="s">
        <v>349</v>
      </c>
      <c r="D202" s="160" t="s">
        <v>596</v>
      </c>
      <c r="E202" s="161">
        <v>0.33299999999999996</v>
      </c>
      <c r="F202" s="161">
        <v>0.1</v>
      </c>
      <c r="G202" s="162">
        <v>15</v>
      </c>
      <c r="H202" s="400">
        <v>0.41666666666666669</v>
      </c>
      <c r="I202" s="164">
        <v>8.52</v>
      </c>
      <c r="J202" s="168"/>
      <c r="K202" s="168"/>
      <c r="L202" s="168"/>
      <c r="M202" s="168"/>
      <c r="N202" s="168">
        <v>6</v>
      </c>
    </row>
    <row r="203" spans="1:14" x14ac:dyDescent="0.3">
      <c r="A203" s="158" t="s">
        <v>139</v>
      </c>
      <c r="B203" s="158" t="str">
        <f t="shared" si="3"/>
        <v>AEEP - 3 Couleurs+1 Silver</v>
      </c>
      <c r="C203" s="159" t="s">
        <v>349</v>
      </c>
      <c r="D203" s="160" t="s">
        <v>597</v>
      </c>
      <c r="E203" s="161">
        <v>0.5</v>
      </c>
      <c r="F203" s="161">
        <v>0.1</v>
      </c>
      <c r="G203" s="162">
        <v>15</v>
      </c>
      <c r="H203" s="400">
        <v>0.41666666666666669</v>
      </c>
      <c r="I203" s="164">
        <v>18.63</v>
      </c>
      <c r="J203" s="168"/>
      <c r="K203" s="168"/>
      <c r="L203" s="168"/>
      <c r="M203" s="168"/>
      <c r="N203" s="168">
        <v>8</v>
      </c>
    </row>
    <row r="204" spans="1:14" x14ac:dyDescent="0.3">
      <c r="A204" s="158" t="s">
        <v>139</v>
      </c>
      <c r="B204" s="158" t="str">
        <f t="shared" si="3"/>
        <v>AEEP - 3 Couleurs+1 Blanc</v>
      </c>
      <c r="C204" s="159" t="s">
        <v>349</v>
      </c>
      <c r="D204" s="160" t="s">
        <v>598</v>
      </c>
      <c r="E204" s="161">
        <v>0.5</v>
      </c>
      <c r="F204" s="161">
        <v>0.1</v>
      </c>
      <c r="G204" s="162">
        <v>15</v>
      </c>
      <c r="H204" s="400">
        <v>0.41666666666666669</v>
      </c>
      <c r="I204" s="164">
        <v>9.31</v>
      </c>
      <c r="J204" s="168"/>
      <c r="K204" s="168"/>
      <c r="L204" s="168"/>
      <c r="M204" s="168"/>
      <c r="N204" s="168">
        <v>8</v>
      </c>
    </row>
    <row r="205" spans="1:14" ht="24" x14ac:dyDescent="0.3">
      <c r="A205" s="158" t="s">
        <v>139</v>
      </c>
      <c r="B205" s="158" t="str">
        <f t="shared" si="3"/>
        <v>AEEP - 3 Couleurs+1 Blanc+1 Silver</v>
      </c>
      <c r="C205" s="159" t="s">
        <v>349</v>
      </c>
      <c r="D205" s="160" t="s">
        <v>599</v>
      </c>
      <c r="E205" s="161">
        <v>0.6</v>
      </c>
      <c r="F205" s="161">
        <v>0.1</v>
      </c>
      <c r="G205" s="162">
        <v>15</v>
      </c>
      <c r="H205" s="400">
        <v>0.41666666666666669</v>
      </c>
      <c r="I205" s="164">
        <v>17.25</v>
      </c>
      <c r="J205" s="168"/>
      <c r="K205" s="168"/>
      <c r="L205" s="168"/>
      <c r="M205" s="168"/>
      <c r="N205" s="168">
        <v>10</v>
      </c>
    </row>
    <row r="206" spans="1:14" ht="24" x14ac:dyDescent="0.3">
      <c r="A206" s="158" t="s">
        <v>139</v>
      </c>
      <c r="B206" s="158" t="str">
        <f t="shared" si="3"/>
        <v>AEEP - 3 Couleurs+1 Blanc+2 Silvers</v>
      </c>
      <c r="C206" s="159" t="s">
        <v>349</v>
      </c>
      <c r="D206" s="160" t="s">
        <v>600</v>
      </c>
      <c r="E206" s="161">
        <v>0.66700000000000004</v>
      </c>
      <c r="F206" s="161">
        <v>0.1</v>
      </c>
      <c r="G206" s="162">
        <v>15</v>
      </c>
      <c r="H206" s="400">
        <v>0.41666666666666669</v>
      </c>
      <c r="I206" s="164">
        <v>22.54</v>
      </c>
      <c r="J206" s="168"/>
      <c r="K206" s="168"/>
      <c r="L206" s="168"/>
      <c r="M206" s="168"/>
      <c r="N206" s="168">
        <v>12</v>
      </c>
    </row>
    <row r="207" spans="1:14" x14ac:dyDescent="0.3">
      <c r="A207" s="158" t="s">
        <v>139</v>
      </c>
      <c r="B207" s="158" t="str">
        <f t="shared" si="3"/>
        <v>AEEP - 3 Couleurs+2 Silvers</v>
      </c>
      <c r="C207" s="159" t="s">
        <v>349</v>
      </c>
      <c r="D207" s="160" t="s">
        <v>603</v>
      </c>
      <c r="E207" s="161">
        <v>0.6</v>
      </c>
      <c r="F207" s="161">
        <v>0.1</v>
      </c>
      <c r="G207" s="162">
        <v>15</v>
      </c>
      <c r="H207" s="400">
        <v>0.41666666666666669</v>
      </c>
      <c r="I207" s="164">
        <v>24.7</v>
      </c>
      <c r="J207" s="168"/>
      <c r="K207" s="168"/>
      <c r="L207" s="168"/>
      <c r="M207" s="168"/>
      <c r="N207" s="168">
        <v>10</v>
      </c>
    </row>
    <row r="208" spans="1:14" x14ac:dyDescent="0.3">
      <c r="A208" s="158" t="s">
        <v>139</v>
      </c>
      <c r="B208" s="158" t="str">
        <f t="shared" si="3"/>
        <v>AEEP - 3 Couleurs+2 Blancs</v>
      </c>
      <c r="C208" s="159" t="s">
        <v>349</v>
      </c>
      <c r="D208" s="160" t="s">
        <v>604</v>
      </c>
      <c r="E208" s="161">
        <v>0.6</v>
      </c>
      <c r="F208" s="161">
        <v>0.1</v>
      </c>
      <c r="G208" s="162">
        <v>15</v>
      </c>
      <c r="H208" s="400">
        <v>0.41666666666666669</v>
      </c>
      <c r="I208" s="164">
        <v>9.7899999999999991</v>
      </c>
      <c r="J208" s="168"/>
      <c r="K208" s="168"/>
      <c r="L208" s="168"/>
      <c r="M208" s="168"/>
      <c r="N208" s="168">
        <v>10</v>
      </c>
    </row>
    <row r="209" spans="1:14" ht="24" x14ac:dyDescent="0.3">
      <c r="A209" s="158" t="s">
        <v>139</v>
      </c>
      <c r="B209" s="158" t="str">
        <f t="shared" si="3"/>
        <v>AEEP - 3 Couleurs+2 Blancs+1 Silver</v>
      </c>
      <c r="C209" s="159" t="s">
        <v>349</v>
      </c>
      <c r="D209" s="160" t="s">
        <v>605</v>
      </c>
      <c r="E209" s="161">
        <v>0.66700000000000004</v>
      </c>
      <c r="F209" s="161">
        <v>0.1</v>
      </c>
      <c r="G209" s="162">
        <v>15</v>
      </c>
      <c r="H209" s="400">
        <v>0.41666666666666669</v>
      </c>
      <c r="I209" s="164">
        <v>16.329999999999998</v>
      </c>
      <c r="J209" s="168"/>
      <c r="K209" s="168"/>
      <c r="L209" s="168"/>
      <c r="M209" s="168"/>
      <c r="N209" s="168">
        <v>12</v>
      </c>
    </row>
    <row r="210" spans="1:14" ht="24" x14ac:dyDescent="0.3">
      <c r="A210" s="158" t="s">
        <v>139</v>
      </c>
      <c r="B210" s="158" t="str">
        <f t="shared" si="3"/>
        <v>AEEP - 3 Couleurs+2 Blancs+2 Silvers</v>
      </c>
      <c r="C210" s="159" t="s">
        <v>349</v>
      </c>
      <c r="D210" s="160" t="s">
        <v>606</v>
      </c>
      <c r="E210" s="161">
        <v>0.71400000000000008</v>
      </c>
      <c r="F210" s="161">
        <v>0.1</v>
      </c>
      <c r="G210" s="162">
        <v>15</v>
      </c>
      <c r="H210" s="400">
        <v>0.41666666666666669</v>
      </c>
      <c r="I210" s="164">
        <v>20.99</v>
      </c>
      <c r="J210" s="168"/>
      <c r="K210" s="168"/>
      <c r="L210" s="168"/>
      <c r="M210" s="168"/>
      <c r="N210" s="168">
        <v>14</v>
      </c>
    </row>
    <row r="211" spans="1:14" x14ac:dyDescent="0.3">
      <c r="A211" s="158" t="s">
        <v>139</v>
      </c>
      <c r="B211" s="158" t="str">
        <f t="shared" si="3"/>
        <v>AEEP - 4 Couleurs</v>
      </c>
      <c r="C211" s="159" t="s">
        <v>349</v>
      </c>
      <c r="D211" s="160" t="s">
        <v>33</v>
      </c>
      <c r="E211" s="161">
        <v>0.5</v>
      </c>
      <c r="F211" s="161">
        <v>0.1</v>
      </c>
      <c r="G211" s="162">
        <v>15</v>
      </c>
      <c r="H211" s="400">
        <v>0.41666666666666669</v>
      </c>
      <c r="I211" s="164">
        <v>8.52</v>
      </c>
      <c r="J211" s="168"/>
      <c r="K211" s="168"/>
      <c r="L211" s="168"/>
      <c r="M211" s="168"/>
      <c r="N211" s="168">
        <v>8</v>
      </c>
    </row>
    <row r="212" spans="1:14" x14ac:dyDescent="0.3">
      <c r="A212" s="158" t="s">
        <v>139</v>
      </c>
      <c r="B212" s="158" t="str">
        <f t="shared" si="3"/>
        <v>AEEP - 4 Couleurs+1 Silver</v>
      </c>
      <c r="C212" s="159" t="s">
        <v>349</v>
      </c>
      <c r="D212" s="160" t="s">
        <v>612</v>
      </c>
      <c r="E212" s="161">
        <v>0.6</v>
      </c>
      <c r="F212" s="161">
        <v>0.1</v>
      </c>
      <c r="G212" s="162">
        <v>15</v>
      </c>
      <c r="H212" s="400">
        <v>0.41666666666666669</v>
      </c>
      <c r="I212" s="164">
        <v>16.61</v>
      </c>
      <c r="J212" s="168"/>
      <c r="K212" s="168"/>
      <c r="L212" s="168"/>
      <c r="M212" s="168"/>
      <c r="N212" s="168">
        <v>10</v>
      </c>
    </row>
    <row r="213" spans="1:14" x14ac:dyDescent="0.3">
      <c r="A213" s="158" t="s">
        <v>139</v>
      </c>
      <c r="B213" s="158" t="str">
        <f t="shared" si="3"/>
        <v>AEEP - 4 Couleurs+1 Blanc</v>
      </c>
      <c r="C213" s="159" t="s">
        <v>349</v>
      </c>
      <c r="D213" s="160" t="s">
        <v>613</v>
      </c>
      <c r="E213" s="161">
        <v>0.6</v>
      </c>
      <c r="F213" s="161">
        <v>0.1</v>
      </c>
      <c r="G213" s="162">
        <v>15</v>
      </c>
      <c r="H213" s="400">
        <v>0.41666666666666669</v>
      </c>
      <c r="I213" s="164">
        <v>9.15</v>
      </c>
      <c r="J213" s="168"/>
      <c r="K213" s="168"/>
      <c r="L213" s="168"/>
      <c r="M213" s="168"/>
      <c r="N213" s="168">
        <v>10</v>
      </c>
    </row>
    <row r="214" spans="1:14" ht="24" x14ac:dyDescent="0.3">
      <c r="A214" s="158" t="s">
        <v>139</v>
      </c>
      <c r="B214" s="158" t="str">
        <f t="shared" si="3"/>
        <v>AEEP - 4 Couleurs+1 Blanc+1 Silver</v>
      </c>
      <c r="C214" s="159" t="s">
        <v>349</v>
      </c>
      <c r="D214" s="160" t="s">
        <v>614</v>
      </c>
      <c r="E214" s="161">
        <v>0.66700000000000004</v>
      </c>
      <c r="F214" s="161">
        <v>0.1</v>
      </c>
      <c r="G214" s="162">
        <v>15</v>
      </c>
      <c r="H214" s="400">
        <v>0.41666666666666669</v>
      </c>
      <c r="I214" s="164">
        <v>15.79</v>
      </c>
      <c r="J214" s="168"/>
      <c r="K214" s="168"/>
      <c r="L214" s="168"/>
      <c r="M214" s="168"/>
      <c r="N214" s="168">
        <v>12</v>
      </c>
    </row>
    <row r="215" spans="1:14" ht="24" x14ac:dyDescent="0.3">
      <c r="A215" s="158" t="s">
        <v>139</v>
      </c>
      <c r="B215" s="158" t="str">
        <f t="shared" si="3"/>
        <v>AEEP - 4 Couleurs+1 Blanc+2 Silvers</v>
      </c>
      <c r="C215" s="159" t="s">
        <v>349</v>
      </c>
      <c r="D215" s="160" t="s">
        <v>615</v>
      </c>
      <c r="E215" s="161">
        <v>0.71400000000000008</v>
      </c>
      <c r="F215" s="161">
        <v>0.1</v>
      </c>
      <c r="G215" s="162">
        <v>15</v>
      </c>
      <c r="H215" s="400">
        <v>0.41666666666666669</v>
      </c>
      <c r="I215" s="164">
        <v>20.53</v>
      </c>
      <c r="J215" s="168"/>
      <c r="K215" s="168"/>
      <c r="L215" s="168"/>
      <c r="M215" s="168"/>
      <c r="N215" s="168">
        <v>14</v>
      </c>
    </row>
    <row r="216" spans="1:14" x14ac:dyDescent="0.3">
      <c r="A216" s="158" t="s">
        <v>139</v>
      </c>
      <c r="B216" s="158" t="str">
        <f t="shared" si="3"/>
        <v>AEEP - 4 Couleurs+2 Silvers</v>
      </c>
      <c r="C216" s="159" t="s">
        <v>349</v>
      </c>
      <c r="D216" s="160" t="s">
        <v>618</v>
      </c>
      <c r="E216" s="161">
        <v>0.66700000000000004</v>
      </c>
      <c r="F216" s="161">
        <v>0.1</v>
      </c>
      <c r="G216" s="162">
        <v>15</v>
      </c>
      <c r="H216" s="400">
        <v>0.41666666666666669</v>
      </c>
      <c r="I216" s="164">
        <v>22.01</v>
      </c>
      <c r="J216" s="168"/>
      <c r="K216" s="168"/>
      <c r="L216" s="168"/>
      <c r="M216" s="168"/>
      <c r="N216" s="168">
        <v>12</v>
      </c>
    </row>
    <row r="217" spans="1:14" x14ac:dyDescent="0.3">
      <c r="A217" s="158" t="s">
        <v>139</v>
      </c>
      <c r="B217" s="158" t="str">
        <f t="shared" si="3"/>
        <v>AEEP - 4 Couleurs+2 Blancs</v>
      </c>
      <c r="C217" s="159" t="s">
        <v>349</v>
      </c>
      <c r="D217" s="160" t="s">
        <v>619</v>
      </c>
      <c r="E217" s="161">
        <v>0.66700000000000004</v>
      </c>
      <c r="F217" s="161">
        <v>0.1</v>
      </c>
      <c r="G217" s="162">
        <v>15</v>
      </c>
      <c r="H217" s="400">
        <v>0.41666666666666669</v>
      </c>
      <c r="I217" s="164">
        <v>9.58</v>
      </c>
      <c r="J217" s="168"/>
      <c r="K217" s="168"/>
      <c r="L217" s="168"/>
      <c r="M217" s="168"/>
      <c r="N217" s="168">
        <v>12</v>
      </c>
    </row>
    <row r="218" spans="1:14" ht="24" x14ac:dyDescent="0.3">
      <c r="A218" s="158" t="s">
        <v>139</v>
      </c>
      <c r="B218" s="158" t="str">
        <f t="shared" si="3"/>
        <v>AEEP - 4 Couleurs+2 Blancs+1 Silver</v>
      </c>
      <c r="C218" s="159" t="s">
        <v>349</v>
      </c>
      <c r="D218" s="160" t="s">
        <v>620</v>
      </c>
      <c r="E218" s="161">
        <v>0.71400000000000008</v>
      </c>
      <c r="F218" s="161">
        <v>0.1</v>
      </c>
      <c r="G218" s="162">
        <v>15</v>
      </c>
      <c r="H218" s="400">
        <v>0.41666666666666669</v>
      </c>
      <c r="I218" s="164">
        <v>15.21</v>
      </c>
      <c r="J218" s="168"/>
      <c r="K218" s="168"/>
      <c r="L218" s="168"/>
      <c r="M218" s="168"/>
      <c r="N218" s="168">
        <v>14</v>
      </c>
    </row>
    <row r="219" spans="1:14" ht="24" x14ac:dyDescent="0.3">
      <c r="A219" s="158" t="s">
        <v>139</v>
      </c>
      <c r="B219" s="158" t="str">
        <f t="shared" si="3"/>
        <v>AEEP - 4 Couleurs+2 Blancs+2 Silvers</v>
      </c>
      <c r="C219" s="159" t="s">
        <v>349</v>
      </c>
      <c r="D219" s="160" t="s">
        <v>621</v>
      </c>
      <c r="E219" s="161">
        <v>0.75</v>
      </c>
      <c r="F219" s="161">
        <v>0.1</v>
      </c>
      <c r="G219" s="162">
        <v>15</v>
      </c>
      <c r="H219" s="400">
        <v>0.41666666666666669</v>
      </c>
      <c r="I219" s="164">
        <v>19.43</v>
      </c>
      <c r="J219" s="168"/>
      <c r="K219" s="168"/>
      <c r="L219" s="168"/>
      <c r="M219" s="168"/>
      <c r="N219" s="168">
        <v>16</v>
      </c>
    </row>
    <row r="220" spans="1:14" x14ac:dyDescent="0.3">
      <c r="A220" s="158" t="s">
        <v>139</v>
      </c>
      <c r="B220" s="158" t="str">
        <f t="shared" si="3"/>
        <v>AEEP - 5 Couleurs</v>
      </c>
      <c r="C220" s="159" t="s">
        <v>349</v>
      </c>
      <c r="D220" s="160" t="s">
        <v>627</v>
      </c>
      <c r="E220" s="161">
        <v>0.6</v>
      </c>
      <c r="F220" s="161">
        <v>0.1</v>
      </c>
      <c r="G220" s="162">
        <v>15</v>
      </c>
      <c r="H220" s="400">
        <v>0.41666666666666669</v>
      </c>
      <c r="I220" s="164">
        <v>8.52</v>
      </c>
      <c r="J220" s="168"/>
      <c r="K220" s="168"/>
      <c r="L220" s="168"/>
      <c r="M220" s="168"/>
      <c r="N220" s="168">
        <v>10</v>
      </c>
    </row>
    <row r="221" spans="1:14" x14ac:dyDescent="0.3">
      <c r="A221" s="158" t="s">
        <v>139</v>
      </c>
      <c r="B221" s="158" t="str">
        <f t="shared" si="3"/>
        <v>AEEP - 5 Couleurs+1 Silver</v>
      </c>
      <c r="C221" s="159" t="s">
        <v>349</v>
      </c>
      <c r="D221" s="160" t="s">
        <v>628</v>
      </c>
      <c r="E221" s="161">
        <v>0.66700000000000004</v>
      </c>
      <c r="F221" s="161">
        <v>0.1</v>
      </c>
      <c r="G221" s="162">
        <v>15</v>
      </c>
      <c r="H221" s="400">
        <v>0.41666666666666669</v>
      </c>
      <c r="I221" s="164">
        <v>15.26</v>
      </c>
      <c r="J221" s="168"/>
      <c r="K221" s="168"/>
      <c r="L221" s="168"/>
      <c r="M221" s="168"/>
      <c r="N221" s="168">
        <v>12</v>
      </c>
    </row>
    <row r="222" spans="1:14" x14ac:dyDescent="0.3">
      <c r="A222" s="158" t="s">
        <v>139</v>
      </c>
      <c r="B222" s="158" t="str">
        <f t="shared" si="3"/>
        <v>AEEP - 5 Couleurs+1 Blanc</v>
      </c>
      <c r="C222" s="159" t="s">
        <v>349</v>
      </c>
      <c r="D222" s="160" t="s">
        <v>629</v>
      </c>
      <c r="E222" s="161">
        <v>0.66700000000000004</v>
      </c>
      <c r="F222" s="161">
        <v>0.1</v>
      </c>
      <c r="G222" s="162">
        <v>15</v>
      </c>
      <c r="H222" s="400">
        <v>0.41666666666666669</v>
      </c>
      <c r="I222" s="164">
        <v>9.0500000000000007</v>
      </c>
      <c r="J222" s="168"/>
      <c r="K222" s="168"/>
      <c r="L222" s="168"/>
      <c r="M222" s="168"/>
      <c r="N222" s="168">
        <v>12</v>
      </c>
    </row>
    <row r="223" spans="1:14" ht="24" x14ac:dyDescent="0.3">
      <c r="A223" s="158" t="s">
        <v>139</v>
      </c>
      <c r="B223" s="158" t="str">
        <f t="shared" si="3"/>
        <v>AEEP - 5 Couleurs+1 Blanc+1 Silver</v>
      </c>
      <c r="C223" s="159" t="s">
        <v>349</v>
      </c>
      <c r="D223" s="160" t="s">
        <v>630</v>
      </c>
      <c r="E223" s="161">
        <v>0.71400000000000008</v>
      </c>
      <c r="F223" s="161">
        <v>0.1</v>
      </c>
      <c r="G223" s="162">
        <v>15</v>
      </c>
      <c r="H223" s="400">
        <v>0.41666666666666669</v>
      </c>
      <c r="I223" s="164">
        <v>14.75</v>
      </c>
      <c r="J223" s="168"/>
      <c r="K223" s="168"/>
      <c r="L223" s="168"/>
      <c r="M223" s="168"/>
      <c r="N223" s="168">
        <v>14</v>
      </c>
    </row>
    <row r="224" spans="1:14" ht="24" x14ac:dyDescent="0.3">
      <c r="A224" s="158" t="s">
        <v>139</v>
      </c>
      <c r="B224" s="158" t="str">
        <f t="shared" si="3"/>
        <v>AEEP - 5 Couleurs+1 Blanc+2 Silvers</v>
      </c>
      <c r="C224" s="159" t="s">
        <v>349</v>
      </c>
      <c r="D224" s="160" t="s">
        <v>631</v>
      </c>
      <c r="E224" s="161">
        <v>0.75</v>
      </c>
      <c r="F224" s="161">
        <v>0.1</v>
      </c>
      <c r="G224" s="162">
        <v>15</v>
      </c>
      <c r="H224" s="400">
        <v>0.41666666666666669</v>
      </c>
      <c r="I224" s="164">
        <v>19.03</v>
      </c>
      <c r="J224" s="168"/>
      <c r="K224" s="168"/>
      <c r="L224" s="168"/>
      <c r="M224" s="168"/>
      <c r="N224" s="168">
        <v>16</v>
      </c>
    </row>
    <row r="225" spans="1:14" x14ac:dyDescent="0.3">
      <c r="A225" s="158" t="s">
        <v>139</v>
      </c>
      <c r="B225" s="158" t="str">
        <f t="shared" si="3"/>
        <v>AEEP - 5 Couleurs+2 Silvers</v>
      </c>
      <c r="C225" s="159" t="s">
        <v>349</v>
      </c>
      <c r="D225" s="160" t="s">
        <v>634</v>
      </c>
      <c r="E225" s="161">
        <v>0.71400000000000008</v>
      </c>
      <c r="F225" s="161">
        <v>0.1</v>
      </c>
      <c r="G225" s="162">
        <v>15</v>
      </c>
      <c r="H225" s="400">
        <v>0.41666666666666669</v>
      </c>
      <c r="I225" s="164">
        <v>20.079999999999998</v>
      </c>
      <c r="J225" s="168"/>
      <c r="K225" s="168"/>
      <c r="L225" s="168"/>
      <c r="M225" s="168"/>
      <c r="N225" s="168">
        <v>14</v>
      </c>
    </row>
    <row r="226" spans="1:14" x14ac:dyDescent="0.3">
      <c r="A226" s="158" t="s">
        <v>139</v>
      </c>
      <c r="B226" s="158" t="str">
        <f t="shared" si="3"/>
        <v>AEEP - 5 Couleurs+2 Blancs</v>
      </c>
      <c r="C226" s="159" t="s">
        <v>349</v>
      </c>
      <c r="D226" s="160" t="s">
        <v>635</v>
      </c>
      <c r="E226" s="161">
        <v>0.71400000000000008</v>
      </c>
      <c r="F226" s="161">
        <v>0.1</v>
      </c>
      <c r="G226" s="162">
        <v>15</v>
      </c>
      <c r="H226" s="400">
        <v>0.41666666666666669</v>
      </c>
      <c r="I226" s="164">
        <v>9.43</v>
      </c>
      <c r="J226" s="168"/>
      <c r="K226" s="168"/>
      <c r="L226" s="168"/>
      <c r="M226" s="168"/>
      <c r="N226" s="168">
        <v>14</v>
      </c>
    </row>
    <row r="227" spans="1:14" ht="24" x14ac:dyDescent="0.3">
      <c r="A227" s="158" t="s">
        <v>139</v>
      </c>
      <c r="B227" s="158" t="str">
        <f t="shared" si="3"/>
        <v>AEEP - 5 Couleurs+2 Blancs+1 Silver</v>
      </c>
      <c r="C227" s="159" t="s">
        <v>349</v>
      </c>
      <c r="D227" s="160" t="s">
        <v>636</v>
      </c>
      <c r="E227" s="161">
        <v>0.75</v>
      </c>
      <c r="F227" s="161">
        <v>0.1</v>
      </c>
      <c r="G227" s="162">
        <v>15</v>
      </c>
      <c r="H227" s="400">
        <v>0.41666666666666669</v>
      </c>
      <c r="I227" s="164">
        <v>14.37</v>
      </c>
      <c r="J227" s="168"/>
      <c r="K227" s="168"/>
      <c r="L227" s="168"/>
      <c r="M227" s="168"/>
      <c r="N227" s="168">
        <v>16</v>
      </c>
    </row>
    <row r="228" spans="1:14" ht="24" x14ac:dyDescent="0.3">
      <c r="A228" s="158" t="s">
        <v>139</v>
      </c>
      <c r="B228" s="158" t="str">
        <f t="shared" si="3"/>
        <v>AEEP - 5 Couleurs+2 Blancs+2 Silvers</v>
      </c>
      <c r="C228" s="159" t="s">
        <v>349</v>
      </c>
      <c r="D228" s="160" t="s">
        <v>637</v>
      </c>
      <c r="E228" s="161">
        <v>0.77800000000000002</v>
      </c>
      <c r="F228" s="161">
        <v>0.1</v>
      </c>
      <c r="G228" s="162">
        <v>15</v>
      </c>
      <c r="H228" s="400">
        <v>0.41666666666666669</v>
      </c>
      <c r="I228" s="164">
        <v>18.22</v>
      </c>
      <c r="J228" s="168"/>
      <c r="K228" s="168"/>
      <c r="L228" s="168"/>
      <c r="M228" s="168"/>
      <c r="N228" s="168">
        <v>18</v>
      </c>
    </row>
    <row r="229" spans="1:14" x14ac:dyDescent="0.3">
      <c r="A229" s="158" t="s">
        <v>139</v>
      </c>
      <c r="B229" s="158" t="str">
        <f t="shared" si="3"/>
        <v>AEEP - 6 Couleurs</v>
      </c>
      <c r="C229" s="159" t="s">
        <v>349</v>
      </c>
      <c r="D229" s="160" t="s">
        <v>641</v>
      </c>
      <c r="E229" s="161">
        <v>0.66700000000000004</v>
      </c>
      <c r="F229" s="161">
        <v>0.1</v>
      </c>
      <c r="G229" s="162">
        <v>15</v>
      </c>
      <c r="H229" s="400">
        <v>0.41666666666666669</v>
      </c>
      <c r="I229" s="164">
        <v>8.52</v>
      </c>
      <c r="J229" s="168"/>
      <c r="K229" s="168"/>
      <c r="L229" s="168"/>
      <c r="M229" s="168"/>
      <c r="N229" s="168">
        <v>12</v>
      </c>
    </row>
    <row r="230" spans="1:14" x14ac:dyDescent="0.3">
      <c r="A230" s="158" t="s">
        <v>139</v>
      </c>
      <c r="B230" s="158" t="str">
        <f t="shared" si="3"/>
        <v>AEEP - 6 Couleurs+1 Silver</v>
      </c>
      <c r="C230" s="159" t="s">
        <v>349</v>
      </c>
      <c r="D230" s="160" t="s">
        <v>642</v>
      </c>
      <c r="E230" s="161">
        <v>0.71400000000000008</v>
      </c>
      <c r="F230" s="161">
        <v>0.1</v>
      </c>
      <c r="G230" s="162">
        <v>15</v>
      </c>
      <c r="H230" s="400">
        <v>0.41666666666666669</v>
      </c>
      <c r="I230" s="164">
        <v>14.3</v>
      </c>
      <c r="J230" s="168"/>
      <c r="K230" s="168"/>
      <c r="L230" s="168"/>
      <c r="M230" s="168"/>
      <c r="N230" s="168">
        <v>14</v>
      </c>
    </row>
    <row r="231" spans="1:14" x14ac:dyDescent="0.3">
      <c r="A231" s="158" t="s">
        <v>139</v>
      </c>
      <c r="B231" s="158" t="str">
        <f t="shared" si="3"/>
        <v>AEEP - 6 Couleurs+1 Blanc</v>
      </c>
      <c r="C231" s="159" t="s">
        <v>349</v>
      </c>
      <c r="D231" s="160" t="s">
        <v>643</v>
      </c>
      <c r="E231" s="161">
        <v>0.71400000000000008</v>
      </c>
      <c r="F231" s="161">
        <v>0.1</v>
      </c>
      <c r="G231" s="162">
        <v>15</v>
      </c>
      <c r="H231" s="400">
        <v>0.41666666666666669</v>
      </c>
      <c r="I231" s="164">
        <v>8.9700000000000006</v>
      </c>
      <c r="J231" s="168"/>
      <c r="K231" s="168"/>
      <c r="L231" s="168"/>
      <c r="M231" s="168"/>
      <c r="N231" s="168">
        <v>14</v>
      </c>
    </row>
    <row r="232" spans="1:14" ht="24" x14ac:dyDescent="0.3">
      <c r="A232" s="158" t="s">
        <v>139</v>
      </c>
      <c r="B232" s="158" t="str">
        <f t="shared" si="3"/>
        <v>AEEP - 6 Couleurs+1 Blanc+1 Silver</v>
      </c>
      <c r="C232" s="159" t="s">
        <v>349</v>
      </c>
      <c r="D232" s="160" t="s">
        <v>644</v>
      </c>
      <c r="E232" s="161">
        <v>0.75</v>
      </c>
      <c r="F232" s="161">
        <v>0.1</v>
      </c>
      <c r="G232" s="162">
        <v>15</v>
      </c>
      <c r="H232" s="400">
        <v>0.41666666666666669</v>
      </c>
      <c r="I232" s="164">
        <v>13.97</v>
      </c>
      <c r="J232" s="168"/>
      <c r="K232" s="168"/>
      <c r="L232" s="168"/>
      <c r="M232" s="168"/>
      <c r="N232" s="168">
        <v>16</v>
      </c>
    </row>
    <row r="233" spans="1:14" ht="24" x14ac:dyDescent="0.3">
      <c r="A233" s="158" t="s">
        <v>139</v>
      </c>
      <c r="B233" s="158" t="str">
        <f t="shared" si="3"/>
        <v>AEEP - 6 Couleurs+1 Blanc+2 Silvers</v>
      </c>
      <c r="C233" s="159" t="s">
        <v>349</v>
      </c>
      <c r="D233" s="160" t="s">
        <v>645</v>
      </c>
      <c r="E233" s="161">
        <v>0.77800000000000002</v>
      </c>
      <c r="F233" s="161">
        <v>0.1</v>
      </c>
      <c r="G233" s="162">
        <v>15</v>
      </c>
      <c r="H233" s="400">
        <v>0.41666666666666669</v>
      </c>
      <c r="I233" s="164">
        <v>17.86</v>
      </c>
      <c r="J233" s="168"/>
      <c r="K233" s="168"/>
      <c r="L233" s="168"/>
      <c r="M233" s="168"/>
      <c r="N233" s="168">
        <v>18</v>
      </c>
    </row>
    <row r="234" spans="1:14" x14ac:dyDescent="0.3">
      <c r="A234" s="158" t="s">
        <v>139</v>
      </c>
      <c r="B234" s="158" t="str">
        <f t="shared" si="3"/>
        <v>AEEP - 6 Couleurs+2 Silvers</v>
      </c>
      <c r="C234" s="159" t="s">
        <v>349</v>
      </c>
      <c r="D234" s="160" t="s">
        <v>647</v>
      </c>
      <c r="E234" s="161">
        <v>0.75</v>
      </c>
      <c r="F234" s="161">
        <v>0.1</v>
      </c>
      <c r="G234" s="162">
        <v>15</v>
      </c>
      <c r="H234" s="400">
        <v>0.41666666666666669</v>
      </c>
      <c r="I234" s="164">
        <v>18.63</v>
      </c>
      <c r="J234" s="168"/>
      <c r="K234" s="168"/>
      <c r="L234" s="168"/>
      <c r="M234" s="168"/>
      <c r="N234" s="168">
        <v>16</v>
      </c>
    </row>
    <row r="235" spans="1:14" x14ac:dyDescent="0.3">
      <c r="A235" s="158" t="s">
        <v>139</v>
      </c>
      <c r="B235" s="158" t="str">
        <f t="shared" si="3"/>
        <v>AEEP - 6 Couleurs+2 Blancs</v>
      </c>
      <c r="C235" s="159" t="s">
        <v>349</v>
      </c>
      <c r="D235" s="160" t="s">
        <v>648</v>
      </c>
      <c r="E235" s="161">
        <v>0.75</v>
      </c>
      <c r="F235" s="161">
        <v>0.1</v>
      </c>
      <c r="G235" s="162">
        <v>15</v>
      </c>
      <c r="H235" s="400">
        <v>0.41666666666666669</v>
      </c>
      <c r="I235" s="164">
        <v>9.31</v>
      </c>
      <c r="J235" s="168"/>
      <c r="K235" s="168"/>
      <c r="L235" s="168"/>
      <c r="M235" s="168"/>
      <c r="N235" s="168">
        <v>16</v>
      </c>
    </row>
    <row r="236" spans="1:14" ht="24" x14ac:dyDescent="0.3">
      <c r="A236" s="158" t="s">
        <v>139</v>
      </c>
      <c r="B236" s="158" t="str">
        <f t="shared" si="3"/>
        <v>AEEP - 6 Couleurs+2 Blancs+1 Silver</v>
      </c>
      <c r="C236" s="159" t="s">
        <v>349</v>
      </c>
      <c r="D236" s="160" t="s">
        <v>649</v>
      </c>
      <c r="E236" s="161">
        <v>0.77800000000000002</v>
      </c>
      <c r="F236" s="161">
        <v>0.1</v>
      </c>
      <c r="G236" s="162">
        <v>15</v>
      </c>
      <c r="H236" s="400">
        <v>0.41666666666666669</v>
      </c>
      <c r="I236" s="164">
        <v>13.72</v>
      </c>
      <c r="J236" s="168"/>
      <c r="K236" s="168"/>
      <c r="L236" s="168"/>
      <c r="M236" s="168"/>
      <c r="N236" s="168">
        <v>18</v>
      </c>
    </row>
    <row r="237" spans="1:14" ht="24" x14ac:dyDescent="0.3">
      <c r="A237" s="158" t="s">
        <v>139</v>
      </c>
      <c r="B237" s="158" t="str">
        <f t="shared" si="3"/>
        <v>AEEP - 6 Couleurs+2 Blancs+2 Silvers</v>
      </c>
      <c r="C237" s="159" t="s">
        <v>349</v>
      </c>
      <c r="D237" s="160" t="s">
        <v>650</v>
      </c>
      <c r="E237" s="161">
        <v>0.8</v>
      </c>
      <c r="F237" s="161">
        <v>0.1</v>
      </c>
      <c r="G237" s="162">
        <v>15</v>
      </c>
      <c r="H237" s="400">
        <v>0.41666666666666669</v>
      </c>
      <c r="I237" s="164">
        <v>17.25</v>
      </c>
      <c r="J237" s="168"/>
      <c r="K237" s="168"/>
      <c r="L237" s="168"/>
      <c r="M237" s="168"/>
      <c r="N237" s="168">
        <v>20</v>
      </c>
    </row>
    <row r="238" spans="1:14" x14ac:dyDescent="0.3">
      <c r="A238" s="158" t="s">
        <v>139</v>
      </c>
      <c r="B238" s="158" t="str">
        <f t="shared" si="3"/>
        <v>AEEP - 7 Couleurs</v>
      </c>
      <c r="C238" s="159" t="s">
        <v>349</v>
      </c>
      <c r="D238" s="160" t="s">
        <v>653</v>
      </c>
      <c r="E238" s="161">
        <v>0.71400000000000008</v>
      </c>
      <c r="F238" s="161">
        <v>0.1</v>
      </c>
      <c r="G238" s="162">
        <v>15</v>
      </c>
      <c r="H238" s="400">
        <v>0.41666666666666669</v>
      </c>
      <c r="I238" s="164">
        <v>8.52</v>
      </c>
      <c r="J238" s="168"/>
      <c r="K238" s="168"/>
      <c r="L238" s="168"/>
      <c r="M238" s="168"/>
      <c r="N238" s="168">
        <v>14</v>
      </c>
    </row>
    <row r="239" spans="1:14" x14ac:dyDescent="0.3">
      <c r="A239" s="158" t="s">
        <v>139</v>
      </c>
      <c r="B239" s="158" t="str">
        <f t="shared" si="3"/>
        <v>AEEP - 7 Couleurs+1 Silver</v>
      </c>
      <c r="C239" s="159" t="s">
        <v>349</v>
      </c>
      <c r="D239" s="160" t="s">
        <v>654</v>
      </c>
      <c r="E239" s="161">
        <v>0.75</v>
      </c>
      <c r="F239" s="161">
        <v>0.1</v>
      </c>
      <c r="G239" s="162">
        <v>15</v>
      </c>
      <c r="H239" s="400">
        <v>0.41666666666666669</v>
      </c>
      <c r="I239" s="164">
        <v>13.57</v>
      </c>
      <c r="J239" s="168"/>
      <c r="K239" s="168"/>
      <c r="L239" s="168"/>
      <c r="M239" s="168"/>
      <c r="N239" s="168">
        <v>16</v>
      </c>
    </row>
    <row r="240" spans="1:14" x14ac:dyDescent="0.3">
      <c r="A240" s="158" t="s">
        <v>139</v>
      </c>
      <c r="B240" s="158" t="str">
        <f t="shared" si="3"/>
        <v>AEEP - 7 Couleurs+1 Blanc</v>
      </c>
      <c r="C240" s="159" t="s">
        <v>349</v>
      </c>
      <c r="D240" s="160" t="s">
        <v>655</v>
      </c>
      <c r="E240" s="161">
        <v>0.75</v>
      </c>
      <c r="F240" s="161">
        <v>0.1</v>
      </c>
      <c r="G240" s="162">
        <v>15</v>
      </c>
      <c r="H240" s="400">
        <v>0.41666666666666669</v>
      </c>
      <c r="I240" s="164">
        <v>8.91</v>
      </c>
      <c r="J240" s="168"/>
      <c r="K240" s="168"/>
      <c r="L240" s="168"/>
      <c r="M240" s="168"/>
      <c r="N240" s="168">
        <v>16</v>
      </c>
    </row>
    <row r="241" spans="1:14" ht="24" x14ac:dyDescent="0.3">
      <c r="A241" s="158" t="s">
        <v>139</v>
      </c>
      <c r="B241" s="158" t="str">
        <f t="shared" si="3"/>
        <v>AEEP - 7 Couleurs+1 Blanc+1 Silver</v>
      </c>
      <c r="C241" s="159" t="s">
        <v>349</v>
      </c>
      <c r="D241" s="160" t="s">
        <v>656</v>
      </c>
      <c r="E241" s="161">
        <v>0.77800000000000002</v>
      </c>
      <c r="F241" s="161">
        <v>0.1</v>
      </c>
      <c r="G241" s="162">
        <v>15</v>
      </c>
      <c r="H241" s="400">
        <v>0.41666666666666669</v>
      </c>
      <c r="I241" s="164">
        <v>13.37</v>
      </c>
      <c r="J241" s="168"/>
      <c r="K241" s="168"/>
      <c r="L241" s="168"/>
      <c r="M241" s="168"/>
      <c r="N241" s="168">
        <v>18</v>
      </c>
    </row>
    <row r="242" spans="1:14" ht="24" x14ac:dyDescent="0.3">
      <c r="A242" s="158" t="s">
        <v>139</v>
      </c>
      <c r="B242" s="158" t="str">
        <f t="shared" si="3"/>
        <v>AEEP - 7 Couleurs+1 Blanc+2 Silvers</v>
      </c>
      <c r="C242" s="159" t="s">
        <v>349</v>
      </c>
      <c r="D242" s="160" t="s">
        <v>657</v>
      </c>
      <c r="E242" s="161">
        <v>0.8</v>
      </c>
      <c r="F242" s="161">
        <v>0.1</v>
      </c>
      <c r="G242" s="162">
        <v>15</v>
      </c>
      <c r="H242" s="400">
        <v>0.41666666666666669</v>
      </c>
      <c r="I242" s="164">
        <v>16.93</v>
      </c>
      <c r="J242" s="168"/>
      <c r="K242" s="168"/>
      <c r="L242" s="168"/>
      <c r="M242" s="168"/>
      <c r="N242" s="168">
        <v>20</v>
      </c>
    </row>
    <row r="243" spans="1:14" x14ac:dyDescent="0.3">
      <c r="A243" s="158" t="s">
        <v>139</v>
      </c>
      <c r="B243" s="158" t="str">
        <f t="shared" si="3"/>
        <v>AEEP - 7 Couleurs+2 Silvers</v>
      </c>
      <c r="C243" s="159" t="s">
        <v>349</v>
      </c>
      <c r="D243" s="160" t="s">
        <v>658</v>
      </c>
      <c r="E243" s="161">
        <v>0.77800000000000002</v>
      </c>
      <c r="F243" s="161">
        <v>0.1</v>
      </c>
      <c r="G243" s="162">
        <v>15</v>
      </c>
      <c r="H243" s="400">
        <v>0.41666666666666669</v>
      </c>
      <c r="I243" s="164">
        <v>17.510000000000002</v>
      </c>
      <c r="J243" s="168"/>
      <c r="K243" s="168"/>
      <c r="L243" s="168"/>
      <c r="M243" s="168"/>
      <c r="N243" s="168">
        <v>18</v>
      </c>
    </row>
    <row r="244" spans="1:14" x14ac:dyDescent="0.3">
      <c r="A244" s="158" t="s">
        <v>139</v>
      </c>
      <c r="B244" s="158" t="str">
        <f t="shared" si="3"/>
        <v>AEEP - 7 Couleurs+2 Blancs</v>
      </c>
      <c r="C244" s="159" t="s">
        <v>349</v>
      </c>
      <c r="D244" s="160" t="s">
        <v>659</v>
      </c>
      <c r="E244" s="161">
        <v>0.77800000000000002</v>
      </c>
      <c r="F244" s="161">
        <v>0.1</v>
      </c>
      <c r="G244" s="162">
        <v>15</v>
      </c>
      <c r="H244" s="400">
        <v>0.41666666666666669</v>
      </c>
      <c r="I244" s="164">
        <v>9.23</v>
      </c>
      <c r="J244" s="168"/>
      <c r="K244" s="168"/>
      <c r="L244" s="168"/>
      <c r="M244" s="168"/>
      <c r="N244" s="168">
        <v>18</v>
      </c>
    </row>
    <row r="245" spans="1:14" ht="24" x14ac:dyDescent="0.3">
      <c r="A245" s="158" t="s">
        <v>139</v>
      </c>
      <c r="B245" s="158" t="str">
        <f t="shared" si="3"/>
        <v>AEEP - 7 Couleurs+2 Blancs+1 Silver</v>
      </c>
      <c r="C245" s="159" t="s">
        <v>349</v>
      </c>
      <c r="D245" s="160" t="s">
        <v>660</v>
      </c>
      <c r="E245" s="161">
        <v>0.8</v>
      </c>
      <c r="F245" s="161">
        <v>0.1</v>
      </c>
      <c r="G245" s="162">
        <v>15</v>
      </c>
      <c r="H245" s="400">
        <v>0.41666666666666669</v>
      </c>
      <c r="I245" s="164">
        <v>13.2</v>
      </c>
      <c r="J245" s="168"/>
      <c r="K245" s="168"/>
      <c r="L245" s="168"/>
      <c r="M245" s="168"/>
      <c r="N245" s="168">
        <v>20</v>
      </c>
    </row>
    <row r="246" spans="1:14" x14ac:dyDescent="0.3">
      <c r="A246" s="158" t="s">
        <v>139</v>
      </c>
      <c r="B246" s="158" t="str">
        <f t="shared" si="3"/>
        <v>AEEP - 8 Couleurs</v>
      </c>
      <c r="C246" s="159" t="s">
        <v>349</v>
      </c>
      <c r="D246" s="160" t="s">
        <v>669</v>
      </c>
      <c r="E246" s="161">
        <v>0.75</v>
      </c>
      <c r="F246" s="161">
        <v>0.1</v>
      </c>
      <c r="G246" s="162">
        <v>15</v>
      </c>
      <c r="H246" s="400">
        <v>0.41666666666666669</v>
      </c>
      <c r="I246" s="164">
        <v>8.52</v>
      </c>
      <c r="J246" s="168"/>
      <c r="K246" s="168"/>
      <c r="L246" s="168"/>
      <c r="M246" s="168"/>
      <c r="N246" s="168">
        <v>16</v>
      </c>
    </row>
    <row r="247" spans="1:14" x14ac:dyDescent="0.3">
      <c r="A247" s="158" t="s">
        <v>139</v>
      </c>
      <c r="B247" s="158" t="str">
        <f t="shared" si="3"/>
        <v>AEEP - 8 Couleurs+1 Silver</v>
      </c>
      <c r="C247" s="159" t="s">
        <v>349</v>
      </c>
      <c r="D247" s="160" t="s">
        <v>662</v>
      </c>
      <c r="E247" s="161">
        <v>0.77800000000000002</v>
      </c>
      <c r="F247" s="161">
        <v>0.1</v>
      </c>
      <c r="G247" s="162">
        <v>15</v>
      </c>
      <c r="H247" s="400">
        <v>0.41666666666666669</v>
      </c>
      <c r="I247" s="164">
        <v>13.01</v>
      </c>
      <c r="J247" s="168"/>
      <c r="K247" s="168"/>
      <c r="L247" s="168"/>
      <c r="M247" s="168"/>
      <c r="N247" s="168">
        <v>18</v>
      </c>
    </row>
    <row r="248" spans="1:14" x14ac:dyDescent="0.3">
      <c r="A248" s="158" t="s">
        <v>139</v>
      </c>
      <c r="B248" s="158" t="str">
        <f t="shared" si="3"/>
        <v>AEEP - 8 Couleurs+1 Blanc</v>
      </c>
      <c r="C248" s="159" t="s">
        <v>349</v>
      </c>
      <c r="D248" s="160" t="s">
        <v>663</v>
      </c>
      <c r="E248" s="161">
        <v>0.77800000000000002</v>
      </c>
      <c r="F248" s="161">
        <v>0.1</v>
      </c>
      <c r="G248" s="162">
        <v>15</v>
      </c>
      <c r="H248" s="400">
        <v>0.41666666666666669</v>
      </c>
      <c r="I248" s="164">
        <v>8.8699999999999992</v>
      </c>
      <c r="J248" s="168"/>
      <c r="K248" s="168"/>
      <c r="L248" s="168"/>
      <c r="M248" s="168"/>
      <c r="N248" s="168">
        <v>18</v>
      </c>
    </row>
    <row r="249" spans="1:14" ht="24" x14ac:dyDescent="0.3">
      <c r="A249" s="158" t="s">
        <v>139</v>
      </c>
      <c r="B249" s="158" t="str">
        <f t="shared" si="3"/>
        <v>AEEP - 8 Couleurs+1 Blanc+1 Silver</v>
      </c>
      <c r="C249" s="159" t="s">
        <v>349</v>
      </c>
      <c r="D249" s="160" t="s">
        <v>664</v>
      </c>
      <c r="E249" s="161">
        <v>0.8</v>
      </c>
      <c r="F249" s="161">
        <v>0.1</v>
      </c>
      <c r="G249" s="162">
        <v>15</v>
      </c>
      <c r="H249" s="400">
        <v>0.41666666666666669</v>
      </c>
      <c r="I249" s="164">
        <v>12.88</v>
      </c>
      <c r="J249" s="168"/>
      <c r="K249" s="168"/>
      <c r="L249" s="168"/>
      <c r="M249" s="168"/>
      <c r="N249" s="168">
        <v>20</v>
      </c>
    </row>
    <row r="250" spans="1:14" x14ac:dyDescent="0.3">
      <c r="A250" s="158" t="s">
        <v>139</v>
      </c>
      <c r="B250" s="158" t="str">
        <f t="shared" si="3"/>
        <v>AEEP - 8 Couleurs+2 Silvers</v>
      </c>
      <c r="C250" s="159" t="s">
        <v>349</v>
      </c>
      <c r="D250" s="160" t="s">
        <v>665</v>
      </c>
      <c r="E250" s="161">
        <v>0.8</v>
      </c>
      <c r="F250" s="161">
        <v>0.1</v>
      </c>
      <c r="G250" s="162">
        <v>15</v>
      </c>
      <c r="H250" s="400">
        <v>0.41666666666666669</v>
      </c>
      <c r="I250" s="164">
        <v>16.61</v>
      </c>
      <c r="J250" s="168"/>
      <c r="K250" s="168"/>
      <c r="L250" s="168"/>
      <c r="M250" s="168"/>
      <c r="N250" s="168">
        <v>20</v>
      </c>
    </row>
    <row r="251" spans="1:14" x14ac:dyDescent="0.3">
      <c r="A251" s="158" t="s">
        <v>139</v>
      </c>
      <c r="B251" s="158" t="str">
        <f t="shared" si="3"/>
        <v>AEEP - 8 Couleurs+2 Blancs</v>
      </c>
      <c r="C251" s="159" t="s">
        <v>349</v>
      </c>
      <c r="D251" s="160" t="s">
        <v>666</v>
      </c>
      <c r="E251" s="161">
        <v>0.8</v>
      </c>
      <c r="F251" s="161">
        <v>0.1</v>
      </c>
      <c r="G251" s="162">
        <v>15</v>
      </c>
      <c r="H251" s="400">
        <v>0.41666666666666669</v>
      </c>
      <c r="I251" s="164">
        <v>9.15</v>
      </c>
      <c r="J251" s="168"/>
      <c r="K251" s="168"/>
      <c r="L251" s="168"/>
      <c r="M251" s="168"/>
      <c r="N251" s="168">
        <v>20</v>
      </c>
    </row>
    <row r="252" spans="1:14" x14ac:dyDescent="0.3">
      <c r="A252" s="158" t="s">
        <v>139</v>
      </c>
      <c r="B252" s="158" t="str">
        <f t="shared" si="3"/>
        <v>AEEP - 9 Couleurs</v>
      </c>
      <c r="C252" s="159" t="s">
        <v>349</v>
      </c>
      <c r="D252" s="160" t="s">
        <v>670</v>
      </c>
      <c r="E252" s="161">
        <v>0.77800000000000002</v>
      </c>
      <c r="F252" s="161">
        <v>0.1</v>
      </c>
      <c r="G252" s="162">
        <v>15</v>
      </c>
      <c r="H252" s="400">
        <v>0.41666666666666669</v>
      </c>
      <c r="I252" s="164">
        <v>8.52</v>
      </c>
      <c r="J252" s="168"/>
      <c r="K252" s="168"/>
      <c r="L252" s="168"/>
      <c r="M252" s="168"/>
      <c r="N252" s="168">
        <v>18</v>
      </c>
    </row>
    <row r="253" spans="1:14" x14ac:dyDescent="0.3">
      <c r="A253" s="158" t="s">
        <v>139</v>
      </c>
      <c r="B253" s="158" t="str">
        <f t="shared" si="3"/>
        <v>AEEP - 9 Couleurs+1 Silver</v>
      </c>
      <c r="C253" s="159" t="s">
        <v>349</v>
      </c>
      <c r="D253" s="160" t="s">
        <v>672</v>
      </c>
      <c r="E253" s="161">
        <v>0.8</v>
      </c>
      <c r="F253" s="161">
        <v>0.1</v>
      </c>
      <c r="G253" s="162">
        <v>15</v>
      </c>
      <c r="H253" s="400">
        <v>0.41666666666666669</v>
      </c>
      <c r="I253" s="164">
        <v>12.56</v>
      </c>
      <c r="J253" s="168"/>
      <c r="K253" s="168"/>
      <c r="L253" s="168"/>
      <c r="M253" s="168"/>
      <c r="N253" s="168">
        <v>20</v>
      </c>
    </row>
    <row r="254" spans="1:14" x14ac:dyDescent="0.3">
      <c r="A254" s="158" t="s">
        <v>139</v>
      </c>
      <c r="B254" s="158" t="str">
        <f t="shared" si="3"/>
        <v>AEEP - 9 Couleurs+1 Blanc</v>
      </c>
      <c r="C254" s="159" t="s">
        <v>349</v>
      </c>
      <c r="D254" s="160" t="s">
        <v>671</v>
      </c>
      <c r="E254" s="161">
        <v>0.8</v>
      </c>
      <c r="F254" s="161">
        <v>0.1</v>
      </c>
      <c r="G254" s="162">
        <v>15</v>
      </c>
      <c r="H254" s="400">
        <v>0.41666666666666669</v>
      </c>
      <c r="I254" s="164">
        <v>8.83</v>
      </c>
      <c r="J254" s="168"/>
      <c r="K254" s="168"/>
      <c r="L254" s="168"/>
      <c r="M254" s="168"/>
      <c r="N254" s="168">
        <v>20</v>
      </c>
    </row>
    <row r="255" spans="1:14" x14ac:dyDescent="0.3">
      <c r="A255" s="158" t="s">
        <v>139</v>
      </c>
      <c r="B255" s="158" t="str">
        <f t="shared" si="3"/>
        <v>AEEP - 9 Couleurs+2 Blancs</v>
      </c>
      <c r="C255" s="159" t="s">
        <v>349</v>
      </c>
      <c r="D255" s="160" t="s">
        <v>673</v>
      </c>
      <c r="E255" s="161">
        <v>0.81799999999999995</v>
      </c>
      <c r="F255" s="161">
        <v>0.1</v>
      </c>
      <c r="G255" s="162">
        <v>15</v>
      </c>
      <c r="H255" s="400">
        <v>0.41666666666666669</v>
      </c>
      <c r="I255" s="164">
        <v>9.1</v>
      </c>
      <c r="J255" s="168"/>
      <c r="K255" s="168"/>
      <c r="L255" s="168"/>
      <c r="M255" s="168"/>
      <c r="N255" s="168">
        <v>22</v>
      </c>
    </row>
    <row r="256" spans="1:14" x14ac:dyDescent="0.3">
      <c r="A256" s="158" t="s">
        <v>155</v>
      </c>
      <c r="B256" s="158" t="str">
        <f t="shared" si="3"/>
        <v>AELO - Noir</v>
      </c>
      <c r="C256" s="159" t="s">
        <v>349</v>
      </c>
      <c r="D256" s="160" t="s">
        <v>554</v>
      </c>
      <c r="E256" s="161">
        <v>0</v>
      </c>
      <c r="F256" s="161">
        <v>0.1</v>
      </c>
      <c r="G256" s="162">
        <v>15</v>
      </c>
      <c r="H256" s="400">
        <v>0.41666666666666669</v>
      </c>
      <c r="I256" s="164">
        <v>8.52</v>
      </c>
      <c r="J256" s="168"/>
      <c r="K256" s="168"/>
      <c r="L256" s="168"/>
      <c r="M256" s="168"/>
      <c r="N256" s="168">
        <v>2</v>
      </c>
    </row>
    <row r="257" spans="1:14" x14ac:dyDescent="0.3">
      <c r="A257" s="158" t="s">
        <v>155</v>
      </c>
      <c r="B257" s="158" t="str">
        <f t="shared" si="3"/>
        <v>AELO - Noir+1 Silver</v>
      </c>
      <c r="C257" s="159" t="s">
        <v>349</v>
      </c>
      <c r="D257" s="160" t="s">
        <v>555</v>
      </c>
      <c r="E257" s="161">
        <v>0</v>
      </c>
      <c r="F257" s="161">
        <v>0.1</v>
      </c>
      <c r="G257" s="162">
        <v>15</v>
      </c>
      <c r="H257" s="400">
        <v>0.41666666666666669</v>
      </c>
      <c r="I257" s="164">
        <v>28.75</v>
      </c>
      <c r="J257" s="168"/>
      <c r="K257" s="168"/>
      <c r="L257" s="168"/>
      <c r="M257" s="168"/>
      <c r="N257" s="168">
        <v>4</v>
      </c>
    </row>
    <row r="258" spans="1:14" x14ac:dyDescent="0.3">
      <c r="A258" s="158" t="s">
        <v>155</v>
      </c>
      <c r="B258" s="158" t="str">
        <f t="shared" si="3"/>
        <v>AELO - Noir+1 Blanc</v>
      </c>
      <c r="C258" s="159" t="s">
        <v>349</v>
      </c>
      <c r="D258" s="160" t="s">
        <v>556</v>
      </c>
      <c r="E258" s="161">
        <v>0</v>
      </c>
      <c r="F258" s="161">
        <v>0.1</v>
      </c>
      <c r="G258" s="162">
        <v>15</v>
      </c>
      <c r="H258" s="400">
        <v>0.41666666666666669</v>
      </c>
      <c r="I258" s="164">
        <v>10.11</v>
      </c>
      <c r="J258" s="168"/>
      <c r="K258" s="168"/>
      <c r="L258" s="168"/>
      <c r="M258" s="168"/>
      <c r="N258" s="168">
        <v>4</v>
      </c>
    </row>
    <row r="259" spans="1:14" x14ac:dyDescent="0.3">
      <c r="A259" s="158" t="s">
        <v>155</v>
      </c>
      <c r="B259" s="158" t="str">
        <f t="shared" ref="B259:B322" si="4">A259&amp;" - "&amp;D259</f>
        <v>AELO - Noir+1 Blanc+1 Silver</v>
      </c>
      <c r="C259" s="159" t="s">
        <v>349</v>
      </c>
      <c r="D259" s="160" t="s">
        <v>557</v>
      </c>
      <c r="E259" s="161">
        <v>0.33299999999999996</v>
      </c>
      <c r="F259" s="161">
        <v>0.1</v>
      </c>
      <c r="G259" s="162">
        <v>15</v>
      </c>
      <c r="H259" s="400">
        <v>0.41666666666666669</v>
      </c>
      <c r="I259" s="164">
        <v>23.07</v>
      </c>
      <c r="J259" s="168"/>
      <c r="K259" s="168"/>
      <c r="L259" s="168"/>
      <c r="M259" s="168"/>
      <c r="N259" s="168">
        <v>6</v>
      </c>
    </row>
    <row r="260" spans="1:14" x14ac:dyDescent="0.3">
      <c r="A260" s="158" t="s">
        <v>155</v>
      </c>
      <c r="B260" s="158" t="str">
        <f t="shared" si="4"/>
        <v>AELO - Noir+1 Blanc+2 Silvers</v>
      </c>
      <c r="C260" s="159" t="s">
        <v>349</v>
      </c>
      <c r="D260" s="160" t="s">
        <v>558</v>
      </c>
      <c r="E260" s="161">
        <v>0.5</v>
      </c>
      <c r="F260" s="161">
        <v>0.1</v>
      </c>
      <c r="G260" s="162">
        <v>15</v>
      </c>
      <c r="H260" s="400">
        <v>0.41666666666666669</v>
      </c>
      <c r="I260" s="164">
        <v>29.55</v>
      </c>
      <c r="J260" s="168"/>
      <c r="K260" s="168"/>
      <c r="L260" s="168"/>
      <c r="M260" s="168"/>
      <c r="N260" s="168">
        <v>8</v>
      </c>
    </row>
    <row r="261" spans="1:14" x14ac:dyDescent="0.3">
      <c r="A261" s="158" t="s">
        <v>155</v>
      </c>
      <c r="B261" s="158" t="str">
        <f t="shared" si="4"/>
        <v>AELO - Noir+1 Blanc+3 Silvers</v>
      </c>
      <c r="C261" s="159" t="s">
        <v>349</v>
      </c>
      <c r="D261" s="160" t="s">
        <v>559</v>
      </c>
      <c r="E261" s="161">
        <v>0.6</v>
      </c>
      <c r="F261" s="161">
        <v>0.1</v>
      </c>
      <c r="G261" s="162">
        <v>15</v>
      </c>
      <c r="H261" s="400">
        <v>0.41666666666666669</v>
      </c>
      <c r="I261" s="164">
        <v>33.44</v>
      </c>
      <c r="J261" s="168"/>
      <c r="K261" s="168"/>
      <c r="L261" s="168"/>
      <c r="M261" s="168"/>
      <c r="N261" s="168">
        <v>10</v>
      </c>
    </row>
    <row r="262" spans="1:14" x14ac:dyDescent="0.3">
      <c r="A262" s="158" t="s">
        <v>155</v>
      </c>
      <c r="B262" s="158" t="str">
        <f t="shared" si="4"/>
        <v>AELO - Noir+1 Blanc+4 Silvers</v>
      </c>
      <c r="C262" s="159" t="s">
        <v>349</v>
      </c>
      <c r="D262" s="160" t="s">
        <v>560</v>
      </c>
      <c r="E262" s="161">
        <v>0.66700000000000004</v>
      </c>
      <c r="F262" s="161">
        <v>0.1</v>
      </c>
      <c r="G262" s="162">
        <v>15</v>
      </c>
      <c r="H262" s="400">
        <v>0.41666666666666669</v>
      </c>
      <c r="I262" s="164">
        <v>36.03</v>
      </c>
      <c r="J262" s="168"/>
      <c r="K262" s="168"/>
      <c r="L262" s="168"/>
      <c r="M262" s="168"/>
      <c r="N262" s="168">
        <v>12</v>
      </c>
    </row>
    <row r="263" spans="1:14" x14ac:dyDescent="0.3">
      <c r="A263" s="158" t="s">
        <v>155</v>
      </c>
      <c r="B263" s="158" t="str">
        <f t="shared" si="4"/>
        <v>AELO - Noir+2 Silvers</v>
      </c>
      <c r="C263" s="159" t="s">
        <v>349</v>
      </c>
      <c r="D263" s="160" t="s">
        <v>561</v>
      </c>
      <c r="E263" s="161">
        <v>0.33299999999999996</v>
      </c>
      <c r="F263" s="161">
        <v>0.1</v>
      </c>
      <c r="G263" s="162">
        <v>15</v>
      </c>
      <c r="H263" s="400">
        <v>0.41666666666666669</v>
      </c>
      <c r="I263" s="164">
        <v>35.5</v>
      </c>
      <c r="J263" s="168"/>
      <c r="K263" s="168"/>
      <c r="L263" s="168"/>
      <c r="M263" s="168"/>
      <c r="N263" s="168">
        <v>6</v>
      </c>
    </row>
    <row r="264" spans="1:14" x14ac:dyDescent="0.3">
      <c r="A264" s="158" t="s">
        <v>155</v>
      </c>
      <c r="B264" s="158" t="str">
        <f t="shared" si="4"/>
        <v>AELO - Noir+2 Blancs</v>
      </c>
      <c r="C264" s="159" t="s">
        <v>349</v>
      </c>
      <c r="D264" s="160" t="s">
        <v>562</v>
      </c>
      <c r="E264" s="161">
        <v>0.33299999999999996</v>
      </c>
      <c r="F264" s="161">
        <v>0.1</v>
      </c>
      <c r="G264" s="162">
        <v>15</v>
      </c>
      <c r="H264" s="400">
        <v>0.41666666666666669</v>
      </c>
      <c r="I264" s="164">
        <v>10.65</v>
      </c>
      <c r="J264" s="168"/>
      <c r="K264" s="168"/>
      <c r="L264" s="168"/>
      <c r="M264" s="168"/>
      <c r="N264" s="168">
        <v>6</v>
      </c>
    </row>
    <row r="265" spans="1:14" x14ac:dyDescent="0.3">
      <c r="A265" s="158" t="s">
        <v>155</v>
      </c>
      <c r="B265" s="158" t="str">
        <f t="shared" si="4"/>
        <v>AELO - Noir+2 Blancs+1 Silver</v>
      </c>
      <c r="C265" s="159" t="s">
        <v>349</v>
      </c>
      <c r="D265" s="160" t="s">
        <v>563</v>
      </c>
      <c r="E265" s="161">
        <v>0.5</v>
      </c>
      <c r="F265" s="161">
        <v>0.1</v>
      </c>
      <c r="G265" s="162">
        <v>15</v>
      </c>
      <c r="H265" s="400">
        <v>0.41666666666666669</v>
      </c>
      <c r="I265" s="164">
        <v>20.23</v>
      </c>
      <c r="J265" s="168"/>
      <c r="K265" s="168"/>
      <c r="L265" s="168"/>
      <c r="M265" s="168"/>
      <c r="N265" s="168">
        <v>8</v>
      </c>
    </row>
    <row r="266" spans="1:14" x14ac:dyDescent="0.3">
      <c r="A266" s="158" t="s">
        <v>155</v>
      </c>
      <c r="B266" s="158" t="str">
        <f t="shared" si="4"/>
        <v>AELO - Noir+2 Blancs+2 Silvers</v>
      </c>
      <c r="C266" s="159" t="s">
        <v>349</v>
      </c>
      <c r="D266" s="160" t="s">
        <v>564</v>
      </c>
      <c r="E266" s="161">
        <v>0.6</v>
      </c>
      <c r="F266" s="161">
        <v>0.1</v>
      </c>
      <c r="G266" s="162">
        <v>15</v>
      </c>
      <c r="H266" s="400">
        <v>0.41666666666666669</v>
      </c>
      <c r="I266" s="164">
        <v>25.98</v>
      </c>
      <c r="J266" s="168"/>
      <c r="K266" s="168"/>
      <c r="L266" s="168"/>
      <c r="M266" s="168"/>
      <c r="N266" s="168">
        <v>10</v>
      </c>
    </row>
    <row r="267" spans="1:14" x14ac:dyDescent="0.3">
      <c r="A267" s="158" t="s">
        <v>155</v>
      </c>
      <c r="B267" s="158" t="str">
        <f t="shared" si="4"/>
        <v>AELO - Noir+2 Blancs+3 Silvers</v>
      </c>
      <c r="C267" s="159" t="s">
        <v>349</v>
      </c>
      <c r="D267" s="160" t="s">
        <v>565</v>
      </c>
      <c r="E267" s="161">
        <v>0.66700000000000004</v>
      </c>
      <c r="F267" s="161">
        <v>0.1</v>
      </c>
      <c r="G267" s="162">
        <v>15</v>
      </c>
      <c r="H267" s="400">
        <v>0.41666666666666669</v>
      </c>
      <c r="I267" s="164">
        <v>29.82</v>
      </c>
      <c r="J267" s="168"/>
      <c r="K267" s="168"/>
      <c r="L267" s="168"/>
      <c r="M267" s="168"/>
      <c r="N267" s="168">
        <v>12</v>
      </c>
    </row>
    <row r="268" spans="1:14" x14ac:dyDescent="0.3">
      <c r="A268" s="158" t="s">
        <v>155</v>
      </c>
      <c r="B268" s="158" t="str">
        <f t="shared" si="4"/>
        <v>AELO - Noir+2 Blancs+4 Silvers</v>
      </c>
      <c r="C268" s="159" t="s">
        <v>349</v>
      </c>
      <c r="D268" s="160" t="s">
        <v>566</v>
      </c>
      <c r="E268" s="161">
        <v>0.71400000000000008</v>
      </c>
      <c r="F268" s="161">
        <v>0.1</v>
      </c>
      <c r="G268" s="162">
        <v>15</v>
      </c>
      <c r="H268" s="400">
        <v>0.41666666666666669</v>
      </c>
      <c r="I268" s="164">
        <v>32.549999999999997</v>
      </c>
      <c r="J268" s="168"/>
      <c r="K268" s="168"/>
      <c r="L268" s="168"/>
      <c r="M268" s="168"/>
      <c r="N268" s="168">
        <v>14</v>
      </c>
    </row>
    <row r="269" spans="1:14" x14ac:dyDescent="0.3">
      <c r="A269" s="158" t="s">
        <v>155</v>
      </c>
      <c r="B269" s="158" t="str">
        <f t="shared" si="4"/>
        <v>AELO - Noir+3 Silvers</v>
      </c>
      <c r="C269" s="159" t="s">
        <v>349</v>
      </c>
      <c r="D269" s="160" t="s">
        <v>567</v>
      </c>
      <c r="E269" s="161">
        <v>0.5</v>
      </c>
      <c r="F269" s="161">
        <v>0.1</v>
      </c>
      <c r="G269" s="162">
        <v>15</v>
      </c>
      <c r="H269" s="400">
        <v>0.41666666666666669</v>
      </c>
      <c r="I269" s="164">
        <v>38.869999999999997</v>
      </c>
      <c r="J269" s="168"/>
      <c r="K269" s="168"/>
      <c r="L269" s="168"/>
      <c r="M269" s="168"/>
      <c r="N269" s="168">
        <v>8</v>
      </c>
    </row>
    <row r="270" spans="1:14" x14ac:dyDescent="0.3">
      <c r="A270" s="158" t="s">
        <v>155</v>
      </c>
      <c r="B270" s="158" t="str">
        <f t="shared" si="4"/>
        <v>AELO - Noir+4 Silvers</v>
      </c>
      <c r="C270" s="159" t="s">
        <v>349</v>
      </c>
      <c r="D270" s="160" t="s">
        <v>568</v>
      </c>
      <c r="E270" s="161">
        <v>0.6</v>
      </c>
      <c r="F270" s="161">
        <v>0.1</v>
      </c>
      <c r="G270" s="162">
        <v>15</v>
      </c>
      <c r="H270" s="400">
        <v>0.41666666666666669</v>
      </c>
      <c r="I270" s="164">
        <v>40.89</v>
      </c>
      <c r="J270" s="168"/>
      <c r="K270" s="168"/>
      <c r="L270" s="168"/>
      <c r="M270" s="168"/>
      <c r="N270" s="168">
        <v>10</v>
      </c>
    </row>
    <row r="271" spans="1:14" x14ac:dyDescent="0.3">
      <c r="A271" s="158" t="s">
        <v>155</v>
      </c>
      <c r="B271" s="158" t="str">
        <f t="shared" si="4"/>
        <v>AELO - 1 Silver</v>
      </c>
      <c r="C271" s="159" t="s">
        <v>349</v>
      </c>
      <c r="D271" s="160" t="s">
        <v>569</v>
      </c>
      <c r="E271" s="161">
        <v>0</v>
      </c>
      <c r="F271" s="161">
        <v>0.1</v>
      </c>
      <c r="G271" s="162">
        <v>15</v>
      </c>
      <c r="H271" s="400">
        <v>0.41666666666666669</v>
      </c>
      <c r="I271" s="164">
        <v>48.99</v>
      </c>
      <c r="J271" s="168"/>
      <c r="K271" s="168"/>
      <c r="L271" s="168"/>
      <c r="M271" s="168"/>
      <c r="N271" s="168">
        <v>2</v>
      </c>
    </row>
    <row r="272" spans="1:14" x14ac:dyDescent="0.3">
      <c r="A272" s="158" t="s">
        <v>155</v>
      </c>
      <c r="B272" s="158" t="str">
        <f t="shared" si="4"/>
        <v>AELO - 1 Blanc</v>
      </c>
      <c r="C272" s="159" t="s">
        <v>349</v>
      </c>
      <c r="D272" s="160" t="s">
        <v>570</v>
      </c>
      <c r="E272" s="161">
        <v>0</v>
      </c>
      <c r="F272" s="161">
        <v>0.1</v>
      </c>
      <c r="G272" s="162">
        <v>15</v>
      </c>
      <c r="H272" s="400">
        <v>0.41666666666666669</v>
      </c>
      <c r="I272" s="164">
        <v>11.71</v>
      </c>
      <c r="J272" s="168"/>
      <c r="K272" s="168"/>
      <c r="L272" s="168"/>
      <c r="M272" s="168"/>
      <c r="N272" s="168">
        <v>2</v>
      </c>
    </row>
    <row r="273" spans="1:14" x14ac:dyDescent="0.3">
      <c r="A273" s="158" t="s">
        <v>155</v>
      </c>
      <c r="B273" s="158" t="str">
        <f t="shared" si="4"/>
        <v>AELO - 1 Blanc+1 Silver</v>
      </c>
      <c r="C273" s="159" t="s">
        <v>349</v>
      </c>
      <c r="D273" s="160" t="s">
        <v>571</v>
      </c>
      <c r="E273" s="161">
        <v>0</v>
      </c>
      <c r="F273" s="161">
        <v>0.1</v>
      </c>
      <c r="G273" s="162">
        <v>15</v>
      </c>
      <c r="H273" s="400">
        <v>0.41666666666666669</v>
      </c>
      <c r="I273" s="164">
        <v>30.35</v>
      </c>
      <c r="J273" s="168"/>
      <c r="K273" s="168"/>
      <c r="L273" s="168"/>
      <c r="M273" s="168"/>
      <c r="N273" s="168">
        <v>4</v>
      </c>
    </row>
    <row r="274" spans="1:14" x14ac:dyDescent="0.3">
      <c r="A274" s="158" t="s">
        <v>155</v>
      </c>
      <c r="B274" s="158" t="str">
        <f t="shared" si="4"/>
        <v>AELO - 1 Blanc+2 Silvers</v>
      </c>
      <c r="C274" s="159" t="s">
        <v>349</v>
      </c>
      <c r="D274" s="160" t="s">
        <v>572</v>
      </c>
      <c r="E274" s="161">
        <v>0.33299999999999996</v>
      </c>
      <c r="F274" s="161">
        <v>0.1</v>
      </c>
      <c r="G274" s="162">
        <v>15</v>
      </c>
      <c r="H274" s="400">
        <v>0.41666666666666669</v>
      </c>
      <c r="I274" s="164">
        <v>36.56</v>
      </c>
      <c r="J274" s="168"/>
      <c r="K274" s="168"/>
      <c r="L274" s="168"/>
      <c r="M274" s="168"/>
      <c r="N274" s="168">
        <v>6</v>
      </c>
    </row>
    <row r="275" spans="1:14" x14ac:dyDescent="0.3">
      <c r="A275" s="158" t="s">
        <v>155</v>
      </c>
      <c r="B275" s="158" t="str">
        <f t="shared" si="4"/>
        <v>AELO - 1 Blanc+3 Silvers</v>
      </c>
      <c r="C275" s="159" t="s">
        <v>349</v>
      </c>
      <c r="D275" s="160" t="s">
        <v>573</v>
      </c>
      <c r="E275" s="161">
        <v>0.5</v>
      </c>
      <c r="F275" s="161">
        <v>0.1</v>
      </c>
      <c r="G275" s="162">
        <v>15</v>
      </c>
      <c r="H275" s="400">
        <v>0.41666666666666669</v>
      </c>
      <c r="I275" s="164">
        <v>39.67</v>
      </c>
      <c r="J275" s="168"/>
      <c r="K275" s="168"/>
      <c r="L275" s="168"/>
      <c r="M275" s="168"/>
      <c r="N275" s="168">
        <v>8</v>
      </c>
    </row>
    <row r="276" spans="1:14" x14ac:dyDescent="0.3">
      <c r="A276" s="158" t="s">
        <v>155</v>
      </c>
      <c r="B276" s="158" t="str">
        <f t="shared" si="4"/>
        <v>AELO - 1 Blanc+4 Silvers</v>
      </c>
      <c r="C276" s="159" t="s">
        <v>349</v>
      </c>
      <c r="D276" s="160" t="s">
        <v>574</v>
      </c>
      <c r="E276" s="161">
        <v>0.6</v>
      </c>
      <c r="F276" s="161">
        <v>0.1</v>
      </c>
      <c r="G276" s="162">
        <v>15</v>
      </c>
      <c r="H276" s="400">
        <v>0.41666666666666669</v>
      </c>
      <c r="I276" s="164">
        <v>41.53</v>
      </c>
      <c r="J276" s="168"/>
      <c r="K276" s="168"/>
      <c r="L276" s="168"/>
      <c r="M276" s="168"/>
      <c r="N276" s="168">
        <v>10</v>
      </c>
    </row>
    <row r="277" spans="1:14" x14ac:dyDescent="0.3">
      <c r="A277" s="158" t="s">
        <v>155</v>
      </c>
      <c r="B277" s="158" t="str">
        <f t="shared" si="4"/>
        <v>AELO - 2 Couleurs</v>
      </c>
      <c r="C277" s="159" t="s">
        <v>349</v>
      </c>
      <c r="D277" s="160" t="s">
        <v>575</v>
      </c>
      <c r="E277" s="161">
        <v>0</v>
      </c>
      <c r="F277" s="161">
        <v>0.1</v>
      </c>
      <c r="G277" s="162">
        <v>15</v>
      </c>
      <c r="H277" s="400">
        <v>0.41666666666666669</v>
      </c>
      <c r="I277" s="164">
        <v>8.52</v>
      </c>
      <c r="J277" s="168"/>
      <c r="K277" s="168"/>
      <c r="L277" s="168"/>
      <c r="M277" s="168"/>
      <c r="N277" s="168">
        <v>4</v>
      </c>
    </row>
    <row r="278" spans="1:14" x14ac:dyDescent="0.3">
      <c r="A278" s="158" t="s">
        <v>155</v>
      </c>
      <c r="B278" s="158" t="str">
        <f t="shared" si="4"/>
        <v>AELO - 2 Couleurs+1 Silver</v>
      </c>
      <c r="C278" s="159" t="s">
        <v>349</v>
      </c>
      <c r="D278" s="160" t="s">
        <v>576</v>
      </c>
      <c r="E278" s="161">
        <v>0.33299999999999996</v>
      </c>
      <c r="F278" s="161">
        <v>0.1</v>
      </c>
      <c r="G278" s="162">
        <v>15</v>
      </c>
      <c r="H278" s="400">
        <v>0.41666666666666669</v>
      </c>
      <c r="I278" s="164">
        <v>22.01</v>
      </c>
      <c r="J278" s="168"/>
      <c r="K278" s="168"/>
      <c r="L278" s="168"/>
      <c r="M278" s="168"/>
      <c r="N278" s="168">
        <v>6</v>
      </c>
    </row>
    <row r="279" spans="1:14" x14ac:dyDescent="0.3">
      <c r="A279" s="158" t="s">
        <v>155</v>
      </c>
      <c r="B279" s="158" t="str">
        <f t="shared" si="4"/>
        <v>AELO - 2 Couleurs+1 Blanc</v>
      </c>
      <c r="C279" s="159" t="s">
        <v>349</v>
      </c>
      <c r="D279" s="160" t="s">
        <v>577</v>
      </c>
      <c r="E279" s="161">
        <v>0.33299999999999996</v>
      </c>
      <c r="F279" s="161">
        <v>0.1</v>
      </c>
      <c r="G279" s="162">
        <v>15</v>
      </c>
      <c r="H279" s="400">
        <v>0.41666666666666669</v>
      </c>
      <c r="I279" s="164">
        <v>9.58</v>
      </c>
      <c r="J279" s="168"/>
      <c r="K279" s="168"/>
      <c r="L279" s="168"/>
      <c r="M279" s="168"/>
      <c r="N279" s="168">
        <v>6</v>
      </c>
    </row>
    <row r="280" spans="1:14" ht="24" x14ac:dyDescent="0.3">
      <c r="A280" s="158" t="s">
        <v>155</v>
      </c>
      <c r="B280" s="158" t="str">
        <f t="shared" si="4"/>
        <v>AELO - 2 Couleurs+1 Blanc+1 Silver</v>
      </c>
      <c r="C280" s="159" t="s">
        <v>349</v>
      </c>
      <c r="D280" s="160" t="s">
        <v>578</v>
      </c>
      <c r="E280" s="161">
        <v>0.5</v>
      </c>
      <c r="F280" s="161">
        <v>0.1</v>
      </c>
      <c r="G280" s="162">
        <v>15</v>
      </c>
      <c r="H280" s="400">
        <v>0.41666666666666669</v>
      </c>
      <c r="I280" s="164">
        <v>19.43</v>
      </c>
      <c r="J280" s="168"/>
      <c r="K280" s="168"/>
      <c r="L280" s="168"/>
      <c r="M280" s="168"/>
      <c r="N280" s="168">
        <v>8</v>
      </c>
    </row>
    <row r="281" spans="1:14" ht="24" x14ac:dyDescent="0.3">
      <c r="A281" s="158" t="s">
        <v>155</v>
      </c>
      <c r="B281" s="158" t="str">
        <f t="shared" si="4"/>
        <v>AELO - 2 Couleurs+1 Blanc+2 Silvers</v>
      </c>
      <c r="C281" s="159" t="s">
        <v>349</v>
      </c>
      <c r="D281" s="160" t="s">
        <v>579</v>
      </c>
      <c r="E281" s="161">
        <v>0.6</v>
      </c>
      <c r="F281" s="161">
        <v>0.1</v>
      </c>
      <c r="G281" s="162">
        <v>15</v>
      </c>
      <c r="H281" s="400">
        <v>0.41666666666666669</v>
      </c>
      <c r="I281" s="164">
        <v>25.34</v>
      </c>
      <c r="J281" s="168"/>
      <c r="K281" s="168"/>
      <c r="L281" s="168"/>
      <c r="M281" s="168"/>
      <c r="N281" s="168">
        <v>10</v>
      </c>
    </row>
    <row r="282" spans="1:14" ht="24" x14ac:dyDescent="0.3">
      <c r="A282" s="158" t="s">
        <v>155</v>
      </c>
      <c r="B282" s="158" t="str">
        <f t="shared" si="4"/>
        <v>AELO - 2 Couleurs+1 Blanc+3 Silvers</v>
      </c>
      <c r="C282" s="159" t="s">
        <v>349</v>
      </c>
      <c r="D282" s="160" t="s">
        <v>580</v>
      </c>
      <c r="E282" s="161">
        <v>0.66700000000000004</v>
      </c>
      <c r="F282" s="161">
        <v>0.1</v>
      </c>
      <c r="G282" s="162">
        <v>15</v>
      </c>
      <c r="H282" s="400">
        <v>0.41666666666666669</v>
      </c>
      <c r="I282" s="164">
        <v>29.28</v>
      </c>
      <c r="J282" s="168"/>
      <c r="K282" s="168"/>
      <c r="L282" s="168"/>
      <c r="M282" s="168"/>
      <c r="N282" s="168">
        <v>12</v>
      </c>
    </row>
    <row r="283" spans="1:14" ht="24" x14ac:dyDescent="0.3">
      <c r="A283" s="158" t="s">
        <v>155</v>
      </c>
      <c r="B283" s="158" t="str">
        <f t="shared" si="4"/>
        <v>AELO - 2 Couleurs+1 Blanc+4 Silvers</v>
      </c>
      <c r="C283" s="159" t="s">
        <v>349</v>
      </c>
      <c r="D283" s="160" t="s">
        <v>581</v>
      </c>
      <c r="E283" s="161">
        <v>0.71400000000000008</v>
      </c>
      <c r="F283" s="161">
        <v>0.1</v>
      </c>
      <c r="G283" s="162">
        <v>15</v>
      </c>
      <c r="H283" s="400">
        <v>0.41666666666666669</v>
      </c>
      <c r="I283" s="164">
        <v>32.1</v>
      </c>
      <c r="J283" s="168"/>
      <c r="K283" s="168"/>
      <c r="L283" s="168"/>
      <c r="M283" s="168"/>
      <c r="N283" s="168">
        <v>14</v>
      </c>
    </row>
    <row r="284" spans="1:14" x14ac:dyDescent="0.3">
      <c r="A284" s="158" t="s">
        <v>155</v>
      </c>
      <c r="B284" s="158" t="str">
        <f t="shared" si="4"/>
        <v>AELO - 2 Couleurs+2 Silvers</v>
      </c>
      <c r="C284" s="159" t="s">
        <v>349</v>
      </c>
      <c r="D284" s="160" t="s">
        <v>582</v>
      </c>
      <c r="E284" s="161">
        <v>0.5</v>
      </c>
      <c r="F284" s="161">
        <v>0.1</v>
      </c>
      <c r="G284" s="162">
        <v>15</v>
      </c>
      <c r="H284" s="400">
        <v>0.41666666666666669</v>
      </c>
      <c r="I284" s="164">
        <v>28.75</v>
      </c>
      <c r="J284" s="168"/>
      <c r="K284" s="168"/>
      <c r="L284" s="168"/>
      <c r="M284" s="168"/>
      <c r="N284" s="168">
        <v>8</v>
      </c>
    </row>
    <row r="285" spans="1:14" x14ac:dyDescent="0.3">
      <c r="A285" s="158" t="s">
        <v>155</v>
      </c>
      <c r="B285" s="158" t="str">
        <f t="shared" si="4"/>
        <v>AELO - 2 Couleurs+2 Blancs</v>
      </c>
      <c r="C285" s="159" t="s">
        <v>349</v>
      </c>
      <c r="D285" s="160" t="s">
        <v>583</v>
      </c>
      <c r="E285" s="161">
        <v>0.5</v>
      </c>
      <c r="F285" s="161">
        <v>0.1</v>
      </c>
      <c r="G285" s="162">
        <v>15</v>
      </c>
      <c r="H285" s="400">
        <v>0.41666666666666669</v>
      </c>
      <c r="I285" s="164">
        <v>10.11</v>
      </c>
      <c r="J285" s="168"/>
      <c r="K285" s="168"/>
      <c r="L285" s="168"/>
      <c r="M285" s="168"/>
      <c r="N285" s="168">
        <v>8</v>
      </c>
    </row>
    <row r="286" spans="1:14" ht="24" x14ac:dyDescent="0.3">
      <c r="A286" s="158" t="s">
        <v>155</v>
      </c>
      <c r="B286" s="158" t="str">
        <f t="shared" si="4"/>
        <v>AELO - 2 Couleurs+2 Blancs+1 Silver</v>
      </c>
      <c r="C286" s="159" t="s">
        <v>349</v>
      </c>
      <c r="D286" s="160" t="s">
        <v>584</v>
      </c>
      <c r="E286" s="161">
        <v>0.6</v>
      </c>
      <c r="F286" s="161">
        <v>0.1</v>
      </c>
      <c r="G286" s="162">
        <v>15</v>
      </c>
      <c r="H286" s="400">
        <v>0.41666666666666669</v>
      </c>
      <c r="I286" s="164">
        <v>17.89</v>
      </c>
      <c r="J286" s="168"/>
      <c r="K286" s="168"/>
      <c r="L286" s="168"/>
      <c r="M286" s="168"/>
      <c r="N286" s="168">
        <v>10</v>
      </c>
    </row>
    <row r="287" spans="1:14" ht="24" x14ac:dyDescent="0.3">
      <c r="A287" s="158" t="s">
        <v>155</v>
      </c>
      <c r="B287" s="158" t="str">
        <f t="shared" si="4"/>
        <v>AELO - 2 Couleurs+2 Blancs+2 Silvers</v>
      </c>
      <c r="C287" s="159" t="s">
        <v>349</v>
      </c>
      <c r="D287" s="160" t="s">
        <v>585</v>
      </c>
      <c r="E287" s="161">
        <v>0.66700000000000004</v>
      </c>
      <c r="F287" s="161">
        <v>0.1</v>
      </c>
      <c r="G287" s="162">
        <v>15</v>
      </c>
      <c r="H287" s="400">
        <v>0.41666666666666669</v>
      </c>
      <c r="I287" s="164">
        <v>23.07</v>
      </c>
      <c r="J287" s="168"/>
      <c r="K287" s="168"/>
      <c r="L287" s="168"/>
      <c r="M287" s="168"/>
      <c r="N287" s="168">
        <v>12</v>
      </c>
    </row>
    <row r="288" spans="1:14" ht="24" x14ac:dyDescent="0.3">
      <c r="A288" s="158" t="s">
        <v>155</v>
      </c>
      <c r="B288" s="158" t="str">
        <f t="shared" si="4"/>
        <v>AELO - 2 Couleurs+2 Blancs+3 Silvers</v>
      </c>
      <c r="C288" s="159" t="s">
        <v>349</v>
      </c>
      <c r="D288" s="160" t="s">
        <v>586</v>
      </c>
      <c r="E288" s="161">
        <v>0.71400000000000008</v>
      </c>
      <c r="F288" s="161">
        <v>0.1</v>
      </c>
      <c r="G288" s="162">
        <v>15</v>
      </c>
      <c r="H288" s="400">
        <v>0.41666666666666669</v>
      </c>
      <c r="I288" s="164">
        <v>26.77</v>
      </c>
      <c r="J288" s="168"/>
      <c r="K288" s="168"/>
      <c r="L288" s="168"/>
      <c r="M288" s="168"/>
      <c r="N288" s="168">
        <v>14</v>
      </c>
    </row>
    <row r="289" spans="1:14" ht="24" x14ac:dyDescent="0.3">
      <c r="A289" s="158" t="s">
        <v>155</v>
      </c>
      <c r="B289" s="158" t="str">
        <f t="shared" si="4"/>
        <v>AELO - 2 Couleurs+2 Blancs+4 Silvers</v>
      </c>
      <c r="C289" s="159" t="s">
        <v>349</v>
      </c>
      <c r="D289" s="160" t="s">
        <v>587</v>
      </c>
      <c r="E289" s="161">
        <v>0.75</v>
      </c>
      <c r="F289" s="161">
        <v>0.1</v>
      </c>
      <c r="G289" s="162">
        <v>15</v>
      </c>
      <c r="H289" s="400">
        <v>0.41666666666666669</v>
      </c>
      <c r="I289" s="164">
        <v>29.55</v>
      </c>
      <c r="J289" s="168"/>
      <c r="K289" s="168"/>
      <c r="L289" s="168"/>
      <c r="M289" s="168"/>
      <c r="N289" s="168">
        <v>16</v>
      </c>
    </row>
    <row r="290" spans="1:14" x14ac:dyDescent="0.3">
      <c r="A290" s="158" t="s">
        <v>155</v>
      </c>
      <c r="B290" s="158" t="str">
        <f t="shared" si="4"/>
        <v>AELO - 2 Couleurs+3 Silvers</v>
      </c>
      <c r="C290" s="159" t="s">
        <v>349</v>
      </c>
      <c r="D290" s="160" t="s">
        <v>588</v>
      </c>
      <c r="E290" s="161">
        <v>0.6</v>
      </c>
      <c r="F290" s="161">
        <v>0.1</v>
      </c>
      <c r="G290" s="162">
        <v>15</v>
      </c>
      <c r="H290" s="400">
        <v>0.41666666666666669</v>
      </c>
      <c r="I290" s="164">
        <v>32.799999999999997</v>
      </c>
      <c r="J290" s="168"/>
      <c r="K290" s="168"/>
      <c r="L290" s="168"/>
      <c r="M290" s="168"/>
      <c r="N290" s="168">
        <v>10</v>
      </c>
    </row>
    <row r="291" spans="1:14" x14ac:dyDescent="0.3">
      <c r="A291" s="158" t="s">
        <v>155</v>
      </c>
      <c r="B291" s="158" t="str">
        <f t="shared" si="4"/>
        <v>AELO - 2 Couleurs+4 Silvers</v>
      </c>
      <c r="C291" s="159" t="s">
        <v>349</v>
      </c>
      <c r="D291" s="160" t="s">
        <v>589</v>
      </c>
      <c r="E291" s="161">
        <v>0.66700000000000004</v>
      </c>
      <c r="F291" s="161">
        <v>0.1</v>
      </c>
      <c r="G291" s="162">
        <v>15</v>
      </c>
      <c r="H291" s="400">
        <v>0.41666666666666669</v>
      </c>
      <c r="I291" s="164">
        <v>35.5</v>
      </c>
      <c r="J291" s="168"/>
      <c r="K291" s="168"/>
      <c r="L291" s="168"/>
      <c r="M291" s="168"/>
      <c r="N291" s="168">
        <v>12</v>
      </c>
    </row>
    <row r="292" spans="1:14" x14ac:dyDescent="0.3">
      <c r="A292" s="158" t="s">
        <v>155</v>
      </c>
      <c r="B292" s="158" t="str">
        <f t="shared" si="4"/>
        <v>AELO - 2 Silvers</v>
      </c>
      <c r="C292" s="159" t="s">
        <v>349</v>
      </c>
      <c r="D292" s="160" t="s">
        <v>590</v>
      </c>
      <c r="E292" s="161">
        <v>0</v>
      </c>
      <c r="F292" s="161">
        <v>0.1</v>
      </c>
      <c r="G292" s="162">
        <v>15</v>
      </c>
      <c r="H292" s="400">
        <v>0.41666666666666669</v>
      </c>
      <c r="I292" s="164">
        <v>48.99</v>
      </c>
      <c r="J292" s="168"/>
      <c r="K292" s="168"/>
      <c r="L292" s="168"/>
      <c r="M292" s="168"/>
      <c r="N292" s="168">
        <v>4</v>
      </c>
    </row>
    <row r="293" spans="1:14" x14ac:dyDescent="0.3">
      <c r="A293" s="158" t="s">
        <v>155</v>
      </c>
      <c r="B293" s="158" t="str">
        <f t="shared" si="4"/>
        <v>AELO - 2 Blancs</v>
      </c>
      <c r="C293" s="159" t="s">
        <v>349</v>
      </c>
      <c r="D293" s="160" t="s">
        <v>591</v>
      </c>
      <c r="E293" s="161">
        <v>0</v>
      </c>
      <c r="F293" s="161">
        <v>0.1</v>
      </c>
      <c r="G293" s="162">
        <v>15</v>
      </c>
      <c r="H293" s="400">
        <v>0.41666666666666669</v>
      </c>
      <c r="I293" s="164">
        <v>11.71</v>
      </c>
      <c r="J293" s="168"/>
      <c r="K293" s="168"/>
      <c r="L293" s="168"/>
      <c r="M293" s="168"/>
      <c r="N293" s="168">
        <v>4</v>
      </c>
    </row>
    <row r="294" spans="1:14" x14ac:dyDescent="0.3">
      <c r="A294" s="158" t="s">
        <v>155</v>
      </c>
      <c r="B294" s="158" t="str">
        <f t="shared" si="4"/>
        <v>AELO - 2 Blancs+1 Silver</v>
      </c>
      <c r="C294" s="159" t="s">
        <v>349</v>
      </c>
      <c r="D294" s="160" t="s">
        <v>592</v>
      </c>
      <c r="E294" s="161">
        <v>0.33299999999999996</v>
      </c>
      <c r="F294" s="161">
        <v>0.1</v>
      </c>
      <c r="G294" s="162">
        <v>15</v>
      </c>
      <c r="H294" s="400">
        <v>0.41666666666666669</v>
      </c>
      <c r="I294" s="164">
        <v>24.14</v>
      </c>
      <c r="J294" s="168"/>
      <c r="K294" s="168"/>
      <c r="L294" s="168"/>
      <c r="M294" s="168"/>
      <c r="N294" s="168">
        <v>6</v>
      </c>
    </row>
    <row r="295" spans="1:14" x14ac:dyDescent="0.3">
      <c r="A295" s="158" t="s">
        <v>155</v>
      </c>
      <c r="B295" s="158" t="str">
        <f t="shared" si="4"/>
        <v>AELO - 2 Blancs+2 Silvers</v>
      </c>
      <c r="C295" s="159" t="s">
        <v>349</v>
      </c>
      <c r="D295" s="160" t="s">
        <v>593</v>
      </c>
      <c r="E295" s="161">
        <v>0.5</v>
      </c>
      <c r="F295" s="161">
        <v>0.1</v>
      </c>
      <c r="G295" s="162">
        <v>15</v>
      </c>
      <c r="H295" s="400">
        <v>0.41666666666666669</v>
      </c>
      <c r="I295" s="164">
        <v>30.35</v>
      </c>
      <c r="J295" s="168"/>
      <c r="K295" s="168"/>
      <c r="L295" s="168"/>
      <c r="M295" s="168"/>
      <c r="N295" s="168">
        <v>8</v>
      </c>
    </row>
    <row r="296" spans="1:14" x14ac:dyDescent="0.3">
      <c r="A296" s="158" t="s">
        <v>155</v>
      </c>
      <c r="B296" s="158" t="str">
        <f t="shared" si="4"/>
        <v>AELO - 2 Blancs+3 Silvers</v>
      </c>
      <c r="C296" s="159" t="s">
        <v>349</v>
      </c>
      <c r="D296" s="160" t="s">
        <v>594</v>
      </c>
      <c r="E296" s="161">
        <v>0.6</v>
      </c>
      <c r="F296" s="161">
        <v>0.1</v>
      </c>
      <c r="G296" s="162">
        <v>15</v>
      </c>
      <c r="H296" s="400">
        <v>0.41666666666666669</v>
      </c>
      <c r="I296" s="164">
        <v>34.08</v>
      </c>
      <c r="J296" s="168"/>
      <c r="K296" s="168"/>
      <c r="L296" s="168"/>
      <c r="M296" s="168"/>
      <c r="N296" s="168">
        <v>10</v>
      </c>
    </row>
    <row r="297" spans="1:14" x14ac:dyDescent="0.3">
      <c r="A297" s="158" t="s">
        <v>155</v>
      </c>
      <c r="B297" s="158" t="str">
        <f t="shared" si="4"/>
        <v>AELO - 2 Blancs+4 Silvers</v>
      </c>
      <c r="C297" s="159" t="s">
        <v>349</v>
      </c>
      <c r="D297" s="160" t="s">
        <v>595</v>
      </c>
      <c r="E297" s="161">
        <v>0.66700000000000004</v>
      </c>
      <c r="F297" s="161">
        <v>0.1</v>
      </c>
      <c r="G297" s="162">
        <v>15</v>
      </c>
      <c r="H297" s="400">
        <v>0.41666666666666669</v>
      </c>
      <c r="I297" s="164">
        <v>36.56</v>
      </c>
      <c r="J297" s="168"/>
      <c r="K297" s="168"/>
      <c r="L297" s="168"/>
      <c r="M297" s="168"/>
      <c r="N297" s="168">
        <v>12</v>
      </c>
    </row>
    <row r="298" spans="1:14" x14ac:dyDescent="0.3">
      <c r="A298" s="158" t="s">
        <v>155</v>
      </c>
      <c r="B298" s="158" t="str">
        <f t="shared" si="4"/>
        <v>AELO - 3 Couleurs</v>
      </c>
      <c r="C298" s="159" t="s">
        <v>349</v>
      </c>
      <c r="D298" s="160" t="s">
        <v>596</v>
      </c>
      <c r="E298" s="161">
        <v>0.33299999999999996</v>
      </c>
      <c r="F298" s="161">
        <v>0.1</v>
      </c>
      <c r="G298" s="162">
        <v>15</v>
      </c>
      <c r="H298" s="400">
        <v>0.41666666666666669</v>
      </c>
      <c r="I298" s="164">
        <v>8.52</v>
      </c>
      <c r="J298" s="168"/>
      <c r="K298" s="168"/>
      <c r="L298" s="168"/>
      <c r="M298" s="168"/>
      <c r="N298" s="168">
        <v>6</v>
      </c>
    </row>
    <row r="299" spans="1:14" x14ac:dyDescent="0.3">
      <c r="A299" s="158" t="s">
        <v>155</v>
      </c>
      <c r="B299" s="158" t="str">
        <f t="shared" si="4"/>
        <v>AELO - 3 Couleurs+1 Silver</v>
      </c>
      <c r="C299" s="159" t="s">
        <v>349</v>
      </c>
      <c r="D299" s="160" t="s">
        <v>597</v>
      </c>
      <c r="E299" s="161">
        <v>0.5</v>
      </c>
      <c r="F299" s="161">
        <v>0.1</v>
      </c>
      <c r="G299" s="162">
        <v>15</v>
      </c>
      <c r="H299" s="400">
        <v>0.41666666666666669</v>
      </c>
      <c r="I299" s="164">
        <v>18.63</v>
      </c>
      <c r="J299" s="168"/>
      <c r="K299" s="168"/>
      <c r="L299" s="168"/>
      <c r="M299" s="168"/>
      <c r="N299" s="168">
        <v>8</v>
      </c>
    </row>
    <row r="300" spans="1:14" x14ac:dyDescent="0.3">
      <c r="A300" s="158" t="s">
        <v>155</v>
      </c>
      <c r="B300" s="158" t="str">
        <f t="shared" si="4"/>
        <v>AELO - 3 Couleurs+1 Blanc</v>
      </c>
      <c r="C300" s="159" t="s">
        <v>349</v>
      </c>
      <c r="D300" s="160" t="s">
        <v>598</v>
      </c>
      <c r="E300" s="161">
        <v>0.5</v>
      </c>
      <c r="F300" s="161">
        <v>0.1</v>
      </c>
      <c r="G300" s="162">
        <v>15</v>
      </c>
      <c r="H300" s="400">
        <v>0.41666666666666669</v>
      </c>
      <c r="I300" s="164">
        <v>9.31</v>
      </c>
      <c r="J300" s="168"/>
      <c r="K300" s="168"/>
      <c r="L300" s="168"/>
      <c r="M300" s="168"/>
      <c r="N300" s="168">
        <v>8</v>
      </c>
    </row>
    <row r="301" spans="1:14" ht="24" x14ac:dyDescent="0.3">
      <c r="A301" s="158" t="s">
        <v>155</v>
      </c>
      <c r="B301" s="158" t="str">
        <f t="shared" si="4"/>
        <v>AELO - 3 Couleurs+1 Blanc+1 Silver</v>
      </c>
      <c r="C301" s="159" t="s">
        <v>349</v>
      </c>
      <c r="D301" s="160" t="s">
        <v>599</v>
      </c>
      <c r="E301" s="161">
        <v>0.6</v>
      </c>
      <c r="F301" s="161">
        <v>0.1</v>
      </c>
      <c r="G301" s="162">
        <v>15</v>
      </c>
      <c r="H301" s="400">
        <v>0.41666666666666669</v>
      </c>
      <c r="I301" s="164">
        <v>17.25</v>
      </c>
      <c r="J301" s="168"/>
      <c r="K301" s="168"/>
      <c r="L301" s="168"/>
      <c r="M301" s="168"/>
      <c r="N301" s="168">
        <v>10</v>
      </c>
    </row>
    <row r="302" spans="1:14" ht="24" x14ac:dyDescent="0.3">
      <c r="A302" s="158" t="s">
        <v>155</v>
      </c>
      <c r="B302" s="158" t="str">
        <f t="shared" si="4"/>
        <v>AELO - 3 Couleurs+1 Blanc+2 Silvers</v>
      </c>
      <c r="C302" s="159" t="s">
        <v>349</v>
      </c>
      <c r="D302" s="160" t="s">
        <v>600</v>
      </c>
      <c r="E302" s="161">
        <v>0.66700000000000004</v>
      </c>
      <c r="F302" s="161">
        <v>0.1</v>
      </c>
      <c r="G302" s="162">
        <v>15</v>
      </c>
      <c r="H302" s="400">
        <v>0.41666666666666669</v>
      </c>
      <c r="I302" s="164">
        <v>22.54</v>
      </c>
      <c r="J302" s="168"/>
      <c r="K302" s="168"/>
      <c r="L302" s="168"/>
      <c r="M302" s="168"/>
      <c r="N302" s="168">
        <v>12</v>
      </c>
    </row>
    <row r="303" spans="1:14" ht="24" x14ac:dyDescent="0.3">
      <c r="A303" s="158" t="s">
        <v>155</v>
      </c>
      <c r="B303" s="158" t="str">
        <f t="shared" si="4"/>
        <v>AELO - 3 Couleurs+1 Blanc+3 Silvers</v>
      </c>
      <c r="C303" s="159" t="s">
        <v>349</v>
      </c>
      <c r="D303" s="160" t="s">
        <v>601</v>
      </c>
      <c r="E303" s="161">
        <v>0.71400000000000008</v>
      </c>
      <c r="F303" s="161">
        <v>0.1</v>
      </c>
      <c r="G303" s="162">
        <v>15</v>
      </c>
      <c r="H303" s="400">
        <v>0.41666666666666669</v>
      </c>
      <c r="I303" s="164">
        <v>26.32</v>
      </c>
      <c r="J303" s="168"/>
      <c r="K303" s="168"/>
      <c r="L303" s="168"/>
      <c r="M303" s="168"/>
      <c r="N303" s="168">
        <v>14</v>
      </c>
    </row>
    <row r="304" spans="1:14" ht="24" x14ac:dyDescent="0.3">
      <c r="A304" s="158" t="s">
        <v>155</v>
      </c>
      <c r="B304" s="158" t="str">
        <f t="shared" si="4"/>
        <v>AELO - 3 Couleurs+1 Blanc+4 Silvers</v>
      </c>
      <c r="C304" s="159" t="s">
        <v>349</v>
      </c>
      <c r="D304" s="160" t="s">
        <v>602</v>
      </c>
      <c r="E304" s="161">
        <v>0.75</v>
      </c>
      <c r="F304" s="161">
        <v>0.1</v>
      </c>
      <c r="G304" s="162">
        <v>15</v>
      </c>
      <c r="H304" s="400">
        <v>0.41666666666666669</v>
      </c>
      <c r="I304" s="164">
        <v>29.15</v>
      </c>
      <c r="J304" s="168"/>
      <c r="K304" s="168"/>
      <c r="L304" s="168"/>
      <c r="M304" s="168"/>
      <c r="N304" s="168">
        <v>16</v>
      </c>
    </row>
    <row r="305" spans="1:14" x14ac:dyDescent="0.3">
      <c r="A305" s="158" t="s">
        <v>155</v>
      </c>
      <c r="B305" s="158" t="str">
        <f t="shared" si="4"/>
        <v>AELO - 3 Couleurs+2 Silvers</v>
      </c>
      <c r="C305" s="159" t="s">
        <v>349</v>
      </c>
      <c r="D305" s="160" t="s">
        <v>603</v>
      </c>
      <c r="E305" s="161">
        <v>0.6</v>
      </c>
      <c r="F305" s="161">
        <v>0.1</v>
      </c>
      <c r="G305" s="162">
        <v>15</v>
      </c>
      <c r="H305" s="400">
        <v>0.41666666666666669</v>
      </c>
      <c r="I305" s="164">
        <v>24.7</v>
      </c>
      <c r="J305" s="168"/>
      <c r="K305" s="168"/>
      <c r="L305" s="168"/>
      <c r="M305" s="168"/>
      <c r="N305" s="168">
        <v>10</v>
      </c>
    </row>
    <row r="306" spans="1:14" x14ac:dyDescent="0.3">
      <c r="A306" s="158" t="s">
        <v>155</v>
      </c>
      <c r="B306" s="158" t="str">
        <f t="shared" si="4"/>
        <v>AELO - 3 Couleurs+2 Blancs</v>
      </c>
      <c r="C306" s="159" t="s">
        <v>349</v>
      </c>
      <c r="D306" s="160" t="s">
        <v>604</v>
      </c>
      <c r="E306" s="161">
        <v>0.6</v>
      </c>
      <c r="F306" s="161">
        <v>0.1</v>
      </c>
      <c r="G306" s="162">
        <v>15</v>
      </c>
      <c r="H306" s="400">
        <v>0.41666666666666669</v>
      </c>
      <c r="I306" s="164">
        <v>9.7899999999999991</v>
      </c>
      <c r="J306" s="168"/>
      <c r="K306" s="168"/>
      <c r="L306" s="168"/>
      <c r="M306" s="168"/>
      <c r="N306" s="168">
        <v>10</v>
      </c>
    </row>
    <row r="307" spans="1:14" ht="24" x14ac:dyDescent="0.3">
      <c r="A307" s="158" t="s">
        <v>155</v>
      </c>
      <c r="B307" s="158" t="str">
        <f t="shared" si="4"/>
        <v>AELO - 3 Couleurs+2 Blancs+1 Silver</v>
      </c>
      <c r="C307" s="159" t="s">
        <v>349</v>
      </c>
      <c r="D307" s="160" t="s">
        <v>605</v>
      </c>
      <c r="E307" s="161">
        <v>0.66700000000000004</v>
      </c>
      <c r="F307" s="161">
        <v>0.1</v>
      </c>
      <c r="G307" s="162">
        <v>15</v>
      </c>
      <c r="H307" s="400">
        <v>0.41666666666666669</v>
      </c>
      <c r="I307" s="164">
        <v>16.329999999999998</v>
      </c>
      <c r="J307" s="168"/>
      <c r="K307" s="168"/>
      <c r="L307" s="168"/>
      <c r="M307" s="168"/>
      <c r="N307" s="168">
        <v>12</v>
      </c>
    </row>
    <row r="308" spans="1:14" ht="24" x14ac:dyDescent="0.3">
      <c r="A308" s="158" t="s">
        <v>155</v>
      </c>
      <c r="B308" s="158" t="str">
        <f t="shared" si="4"/>
        <v>AELO - 3 Couleurs+2 Blancs+2 Silvers</v>
      </c>
      <c r="C308" s="159" t="s">
        <v>349</v>
      </c>
      <c r="D308" s="160" t="s">
        <v>606</v>
      </c>
      <c r="E308" s="161">
        <v>0.71400000000000008</v>
      </c>
      <c r="F308" s="161">
        <v>0.1</v>
      </c>
      <c r="G308" s="162">
        <v>15</v>
      </c>
      <c r="H308" s="400">
        <v>0.41666666666666669</v>
      </c>
      <c r="I308" s="164">
        <v>20.99</v>
      </c>
      <c r="J308" s="168"/>
      <c r="K308" s="168"/>
      <c r="L308" s="168"/>
      <c r="M308" s="168"/>
      <c r="N308" s="168">
        <v>14</v>
      </c>
    </row>
    <row r="309" spans="1:14" ht="24" x14ac:dyDescent="0.3">
      <c r="A309" s="158" t="s">
        <v>155</v>
      </c>
      <c r="B309" s="158" t="str">
        <f t="shared" si="4"/>
        <v>AELO - 3 Couleurs+2 Blancs+3 Silvers</v>
      </c>
      <c r="C309" s="159" t="s">
        <v>349</v>
      </c>
      <c r="D309" s="160" t="s">
        <v>607</v>
      </c>
      <c r="E309" s="161">
        <v>0.75</v>
      </c>
      <c r="F309" s="161">
        <v>0.1</v>
      </c>
      <c r="G309" s="162">
        <v>15</v>
      </c>
      <c r="H309" s="400">
        <v>0.41666666666666669</v>
      </c>
      <c r="I309" s="164">
        <v>24.49</v>
      </c>
      <c r="J309" s="168"/>
      <c r="K309" s="168"/>
      <c r="L309" s="168"/>
      <c r="M309" s="168"/>
      <c r="N309" s="168">
        <v>16</v>
      </c>
    </row>
    <row r="310" spans="1:14" ht="24" x14ac:dyDescent="0.3">
      <c r="A310" s="158" t="s">
        <v>155</v>
      </c>
      <c r="B310" s="158" t="str">
        <f t="shared" si="4"/>
        <v>AELO - 3 Couleurs+2 Blancs+4 Silvers</v>
      </c>
      <c r="C310" s="159" t="s">
        <v>349</v>
      </c>
      <c r="D310" s="160" t="s">
        <v>608</v>
      </c>
      <c r="E310" s="161">
        <v>0.77800000000000002</v>
      </c>
      <c r="F310" s="161">
        <v>0.1</v>
      </c>
      <c r="G310" s="162">
        <v>15</v>
      </c>
      <c r="H310" s="400">
        <v>0.41666666666666669</v>
      </c>
      <c r="I310" s="164">
        <v>27.21</v>
      </c>
      <c r="J310" s="168"/>
      <c r="K310" s="168"/>
      <c r="L310" s="168"/>
      <c r="M310" s="168"/>
      <c r="N310" s="168">
        <v>18</v>
      </c>
    </row>
    <row r="311" spans="1:14" x14ac:dyDescent="0.3">
      <c r="A311" s="158" t="s">
        <v>155</v>
      </c>
      <c r="B311" s="158" t="str">
        <f t="shared" si="4"/>
        <v>AELO - 3 Couleurs+3 Silvers</v>
      </c>
      <c r="C311" s="159" t="s">
        <v>349</v>
      </c>
      <c r="D311" s="160" t="s">
        <v>609</v>
      </c>
      <c r="E311" s="161">
        <v>0.66700000000000004</v>
      </c>
      <c r="F311" s="161">
        <v>0.1</v>
      </c>
      <c r="G311" s="162">
        <v>15</v>
      </c>
      <c r="H311" s="400">
        <v>0.41666666666666669</v>
      </c>
      <c r="I311" s="164">
        <v>28.75</v>
      </c>
      <c r="J311" s="168"/>
      <c r="K311" s="168"/>
      <c r="L311" s="168"/>
      <c r="M311" s="168"/>
      <c r="N311" s="168">
        <v>12</v>
      </c>
    </row>
    <row r="312" spans="1:14" x14ac:dyDescent="0.3">
      <c r="A312" s="158" t="s">
        <v>155</v>
      </c>
      <c r="B312" s="158" t="str">
        <f t="shared" si="4"/>
        <v>AELO - 3 Couleurs+4 Silvers</v>
      </c>
      <c r="C312" s="159" t="s">
        <v>349</v>
      </c>
      <c r="D312" s="160" t="s">
        <v>610</v>
      </c>
      <c r="E312" s="161">
        <v>0.71400000000000008</v>
      </c>
      <c r="F312" s="161">
        <v>0.1</v>
      </c>
      <c r="G312" s="162">
        <v>15</v>
      </c>
      <c r="H312" s="400">
        <v>0.41666666666666669</v>
      </c>
      <c r="I312" s="164">
        <v>31.64</v>
      </c>
      <c r="J312" s="168"/>
      <c r="K312" s="168"/>
      <c r="L312" s="168"/>
      <c r="M312" s="168"/>
      <c r="N312" s="168">
        <v>14</v>
      </c>
    </row>
    <row r="313" spans="1:14" x14ac:dyDescent="0.3">
      <c r="A313" s="158" t="s">
        <v>155</v>
      </c>
      <c r="B313" s="158" t="str">
        <f t="shared" si="4"/>
        <v>AELO - 3 Silvers</v>
      </c>
      <c r="C313" s="159" t="s">
        <v>349</v>
      </c>
      <c r="D313" s="160" t="s">
        <v>611</v>
      </c>
      <c r="E313" s="161">
        <v>0.33299999999999996</v>
      </c>
      <c r="F313" s="161">
        <v>0.1</v>
      </c>
      <c r="G313" s="162">
        <v>15</v>
      </c>
      <c r="H313" s="400">
        <v>0.41666666666666669</v>
      </c>
      <c r="I313" s="164">
        <v>48.99</v>
      </c>
      <c r="J313" s="168"/>
      <c r="K313" s="168"/>
      <c r="L313" s="168"/>
      <c r="M313" s="168"/>
      <c r="N313" s="168">
        <v>6</v>
      </c>
    </row>
    <row r="314" spans="1:14" x14ac:dyDescent="0.3">
      <c r="A314" s="158" t="s">
        <v>155</v>
      </c>
      <c r="B314" s="158" t="str">
        <f t="shared" si="4"/>
        <v>AELO - 4 Couleurs</v>
      </c>
      <c r="C314" s="159" t="s">
        <v>349</v>
      </c>
      <c r="D314" s="160" t="s">
        <v>33</v>
      </c>
      <c r="E314" s="161">
        <v>0.5</v>
      </c>
      <c r="F314" s="161">
        <v>0.1</v>
      </c>
      <c r="G314" s="162">
        <v>15</v>
      </c>
      <c r="H314" s="400">
        <v>0.41666666666666669</v>
      </c>
      <c r="I314" s="164">
        <v>8.52</v>
      </c>
      <c r="J314" s="168"/>
      <c r="K314" s="168"/>
      <c r="L314" s="168"/>
      <c r="M314" s="168"/>
      <c r="N314" s="168">
        <v>8</v>
      </c>
    </row>
    <row r="315" spans="1:14" x14ac:dyDescent="0.3">
      <c r="A315" s="158" t="s">
        <v>155</v>
      </c>
      <c r="B315" s="158" t="str">
        <f t="shared" si="4"/>
        <v>AELO - 4 Couleurs+1 Silver</v>
      </c>
      <c r="C315" s="159" t="s">
        <v>349</v>
      </c>
      <c r="D315" s="160" t="s">
        <v>612</v>
      </c>
      <c r="E315" s="161">
        <v>0.6</v>
      </c>
      <c r="F315" s="161">
        <v>0.1</v>
      </c>
      <c r="G315" s="162">
        <v>15</v>
      </c>
      <c r="H315" s="400">
        <v>0.41666666666666669</v>
      </c>
      <c r="I315" s="164">
        <v>16.61</v>
      </c>
      <c r="J315" s="168"/>
      <c r="K315" s="168"/>
      <c r="L315" s="168"/>
      <c r="M315" s="168"/>
      <c r="N315" s="168">
        <v>10</v>
      </c>
    </row>
    <row r="316" spans="1:14" x14ac:dyDescent="0.3">
      <c r="A316" s="158" t="s">
        <v>155</v>
      </c>
      <c r="B316" s="158" t="str">
        <f t="shared" si="4"/>
        <v>AELO - 4 Couleurs+1 Blanc</v>
      </c>
      <c r="C316" s="159" t="s">
        <v>349</v>
      </c>
      <c r="D316" s="160" t="s">
        <v>613</v>
      </c>
      <c r="E316" s="161">
        <v>0.6</v>
      </c>
      <c r="F316" s="161">
        <v>0.1</v>
      </c>
      <c r="G316" s="162">
        <v>15</v>
      </c>
      <c r="H316" s="400">
        <v>0.41666666666666669</v>
      </c>
      <c r="I316" s="164">
        <v>9.15</v>
      </c>
      <c r="J316" s="168"/>
      <c r="K316" s="168"/>
      <c r="L316" s="168"/>
      <c r="M316" s="168"/>
      <c r="N316" s="168">
        <v>10</v>
      </c>
    </row>
    <row r="317" spans="1:14" ht="24" x14ac:dyDescent="0.3">
      <c r="A317" s="158" t="s">
        <v>155</v>
      </c>
      <c r="B317" s="158" t="str">
        <f t="shared" si="4"/>
        <v>AELO - 4 Couleurs+1 Blanc+1 Silver</v>
      </c>
      <c r="C317" s="159" t="s">
        <v>349</v>
      </c>
      <c r="D317" s="160" t="s">
        <v>614</v>
      </c>
      <c r="E317" s="161">
        <v>0.66700000000000004</v>
      </c>
      <c r="F317" s="161">
        <v>0.1</v>
      </c>
      <c r="G317" s="162">
        <v>15</v>
      </c>
      <c r="H317" s="400">
        <v>0.41666666666666669</v>
      </c>
      <c r="I317" s="164">
        <v>15.79</v>
      </c>
      <c r="J317" s="168"/>
      <c r="K317" s="168"/>
      <c r="L317" s="168"/>
      <c r="M317" s="168"/>
      <c r="N317" s="168">
        <v>12</v>
      </c>
    </row>
    <row r="318" spans="1:14" ht="24" x14ac:dyDescent="0.3">
      <c r="A318" s="158" t="s">
        <v>155</v>
      </c>
      <c r="B318" s="158" t="str">
        <f t="shared" si="4"/>
        <v>AELO - 4 Couleurs+1 Blanc+2 Silvers</v>
      </c>
      <c r="C318" s="159" t="s">
        <v>349</v>
      </c>
      <c r="D318" s="160" t="s">
        <v>615</v>
      </c>
      <c r="E318" s="161">
        <v>0.71400000000000008</v>
      </c>
      <c r="F318" s="161">
        <v>0.1</v>
      </c>
      <c r="G318" s="162">
        <v>15</v>
      </c>
      <c r="H318" s="400">
        <v>0.41666666666666669</v>
      </c>
      <c r="I318" s="164">
        <v>20.53</v>
      </c>
      <c r="J318" s="168"/>
      <c r="K318" s="168"/>
      <c r="L318" s="168"/>
      <c r="M318" s="168"/>
      <c r="N318" s="168">
        <v>14</v>
      </c>
    </row>
    <row r="319" spans="1:14" ht="24" x14ac:dyDescent="0.3">
      <c r="A319" s="158" t="s">
        <v>155</v>
      </c>
      <c r="B319" s="158" t="str">
        <f t="shared" si="4"/>
        <v>AELO - 4 Couleurs+1 Blanc+3 Silvers</v>
      </c>
      <c r="C319" s="159" t="s">
        <v>349</v>
      </c>
      <c r="D319" s="160" t="s">
        <v>616</v>
      </c>
      <c r="E319" s="161">
        <v>0.75</v>
      </c>
      <c r="F319" s="161">
        <v>0.1</v>
      </c>
      <c r="G319" s="162">
        <v>15</v>
      </c>
      <c r="H319" s="400">
        <v>0.41666666666666669</v>
      </c>
      <c r="I319" s="164">
        <v>24.09</v>
      </c>
      <c r="J319" s="168"/>
      <c r="K319" s="168"/>
      <c r="L319" s="168"/>
      <c r="M319" s="168"/>
      <c r="N319" s="168">
        <v>16</v>
      </c>
    </row>
    <row r="320" spans="1:14" ht="24" x14ac:dyDescent="0.3">
      <c r="A320" s="158" t="s">
        <v>155</v>
      </c>
      <c r="B320" s="158" t="str">
        <f t="shared" si="4"/>
        <v>AELO - 4 Couleurs+1 Blanc+4 Silvers</v>
      </c>
      <c r="C320" s="159" t="s">
        <v>349</v>
      </c>
      <c r="D320" s="160" t="s">
        <v>617</v>
      </c>
      <c r="E320" s="161">
        <v>0.77800000000000002</v>
      </c>
      <c r="F320" s="161">
        <v>0.1</v>
      </c>
      <c r="G320" s="162">
        <v>15</v>
      </c>
      <c r="H320" s="400">
        <v>0.41666666666666669</v>
      </c>
      <c r="I320" s="164">
        <v>26.86</v>
      </c>
      <c r="J320" s="168"/>
      <c r="K320" s="168"/>
      <c r="L320" s="168"/>
      <c r="M320" s="168"/>
      <c r="N320" s="168">
        <v>18</v>
      </c>
    </row>
    <row r="321" spans="1:14" x14ac:dyDescent="0.3">
      <c r="A321" s="158" t="s">
        <v>155</v>
      </c>
      <c r="B321" s="158" t="str">
        <f t="shared" si="4"/>
        <v>AELO - 4 Couleurs+2 Silvers</v>
      </c>
      <c r="C321" s="159" t="s">
        <v>349</v>
      </c>
      <c r="D321" s="160" t="s">
        <v>618</v>
      </c>
      <c r="E321" s="161">
        <v>0.66700000000000004</v>
      </c>
      <c r="F321" s="161">
        <v>0.1</v>
      </c>
      <c r="G321" s="162">
        <v>15</v>
      </c>
      <c r="H321" s="400">
        <v>0.41666666666666669</v>
      </c>
      <c r="I321" s="164">
        <v>22.01</v>
      </c>
      <c r="J321" s="168"/>
      <c r="K321" s="168"/>
      <c r="L321" s="168"/>
      <c r="M321" s="168"/>
      <c r="N321" s="168">
        <v>12</v>
      </c>
    </row>
    <row r="322" spans="1:14" x14ac:dyDescent="0.3">
      <c r="A322" s="158" t="s">
        <v>155</v>
      </c>
      <c r="B322" s="158" t="str">
        <f t="shared" si="4"/>
        <v>AELO - 4 Couleurs+2 Blancs</v>
      </c>
      <c r="C322" s="159" t="s">
        <v>349</v>
      </c>
      <c r="D322" s="160" t="s">
        <v>619</v>
      </c>
      <c r="E322" s="161">
        <v>0.66700000000000004</v>
      </c>
      <c r="F322" s="161">
        <v>0.1</v>
      </c>
      <c r="G322" s="162">
        <v>15</v>
      </c>
      <c r="H322" s="400">
        <v>0.41666666666666669</v>
      </c>
      <c r="I322" s="164">
        <v>9.58</v>
      </c>
      <c r="J322" s="168"/>
      <c r="K322" s="168"/>
      <c r="L322" s="168"/>
      <c r="M322" s="168"/>
      <c r="N322" s="168">
        <v>12</v>
      </c>
    </row>
    <row r="323" spans="1:14" ht="24" x14ac:dyDescent="0.3">
      <c r="A323" s="158" t="s">
        <v>155</v>
      </c>
      <c r="B323" s="158" t="str">
        <f t="shared" ref="B323:B386" si="5">A323&amp;" - "&amp;D323</f>
        <v>AELO - 4 Couleurs+2 Blancs+1 Silver</v>
      </c>
      <c r="C323" s="159" t="s">
        <v>349</v>
      </c>
      <c r="D323" s="160" t="s">
        <v>620</v>
      </c>
      <c r="E323" s="161">
        <v>0.71400000000000008</v>
      </c>
      <c r="F323" s="161">
        <v>0.1</v>
      </c>
      <c r="G323" s="162">
        <v>15</v>
      </c>
      <c r="H323" s="400">
        <v>0.41666666666666669</v>
      </c>
      <c r="I323" s="164">
        <v>15.21</v>
      </c>
      <c r="J323" s="168"/>
      <c r="K323" s="168"/>
      <c r="L323" s="168"/>
      <c r="M323" s="168"/>
      <c r="N323" s="168">
        <v>14</v>
      </c>
    </row>
    <row r="324" spans="1:14" ht="24" x14ac:dyDescent="0.3">
      <c r="A324" s="158" t="s">
        <v>155</v>
      </c>
      <c r="B324" s="158" t="str">
        <f t="shared" si="5"/>
        <v>AELO - 4 Couleurs+2 Blancs+2 Silvers</v>
      </c>
      <c r="C324" s="159" t="s">
        <v>349</v>
      </c>
      <c r="D324" s="160" t="s">
        <v>621</v>
      </c>
      <c r="E324" s="161">
        <v>0.75</v>
      </c>
      <c r="F324" s="161">
        <v>0.1</v>
      </c>
      <c r="G324" s="162">
        <v>15</v>
      </c>
      <c r="H324" s="400">
        <v>0.41666666666666669</v>
      </c>
      <c r="I324" s="164">
        <v>19.43</v>
      </c>
      <c r="J324" s="168"/>
      <c r="K324" s="168"/>
      <c r="L324" s="168"/>
      <c r="M324" s="168"/>
      <c r="N324" s="168">
        <v>16</v>
      </c>
    </row>
    <row r="325" spans="1:14" ht="24" x14ac:dyDescent="0.3">
      <c r="A325" s="158" t="s">
        <v>155</v>
      </c>
      <c r="B325" s="158" t="str">
        <f t="shared" si="5"/>
        <v>AELO - 4 Couleurs+2 Blancs+3 Silvers</v>
      </c>
      <c r="C325" s="159" t="s">
        <v>349</v>
      </c>
      <c r="D325" s="160" t="s">
        <v>622</v>
      </c>
      <c r="E325" s="161">
        <v>0.77800000000000002</v>
      </c>
      <c r="F325" s="161">
        <v>0.1</v>
      </c>
      <c r="G325" s="162">
        <v>15</v>
      </c>
      <c r="H325" s="400">
        <v>0.41666666666666669</v>
      </c>
      <c r="I325" s="164">
        <v>22.72</v>
      </c>
      <c r="J325" s="168"/>
      <c r="K325" s="168"/>
      <c r="L325" s="168"/>
      <c r="M325" s="168"/>
      <c r="N325" s="168">
        <v>18</v>
      </c>
    </row>
    <row r="326" spans="1:14" ht="24" x14ac:dyDescent="0.3">
      <c r="A326" s="158" t="s">
        <v>155</v>
      </c>
      <c r="B326" s="158" t="str">
        <f t="shared" si="5"/>
        <v>AELO - 4 Couleurs+2 Blancs+4 Silvers</v>
      </c>
      <c r="C326" s="159" t="s">
        <v>349</v>
      </c>
      <c r="D326" s="160" t="s">
        <v>623</v>
      </c>
      <c r="E326" s="161">
        <v>0.8</v>
      </c>
      <c r="F326" s="161">
        <v>0.1</v>
      </c>
      <c r="G326" s="162">
        <v>15</v>
      </c>
      <c r="H326" s="400">
        <v>0.41666666666666669</v>
      </c>
      <c r="I326" s="164">
        <v>25.34</v>
      </c>
      <c r="J326" s="168"/>
      <c r="K326" s="168"/>
      <c r="L326" s="168"/>
      <c r="M326" s="168"/>
      <c r="N326" s="168">
        <v>20</v>
      </c>
    </row>
    <row r="327" spans="1:14" x14ac:dyDescent="0.3">
      <c r="A327" s="158" t="s">
        <v>155</v>
      </c>
      <c r="B327" s="158" t="str">
        <f t="shared" si="5"/>
        <v>AELO - 4 Couleurs+3 Silvers</v>
      </c>
      <c r="C327" s="159" t="s">
        <v>349</v>
      </c>
      <c r="D327" s="160" t="s">
        <v>624</v>
      </c>
      <c r="E327" s="161">
        <v>0.71400000000000008</v>
      </c>
      <c r="F327" s="161">
        <v>0.1</v>
      </c>
      <c r="G327" s="162">
        <v>15</v>
      </c>
      <c r="H327" s="400">
        <v>0.41666666666666669</v>
      </c>
      <c r="I327" s="164">
        <v>25.86</v>
      </c>
      <c r="J327" s="168"/>
      <c r="K327" s="168"/>
      <c r="L327" s="168"/>
      <c r="M327" s="168"/>
      <c r="N327" s="168">
        <v>14</v>
      </c>
    </row>
    <row r="328" spans="1:14" x14ac:dyDescent="0.3">
      <c r="A328" s="158" t="s">
        <v>155</v>
      </c>
      <c r="B328" s="158" t="str">
        <f t="shared" si="5"/>
        <v>AELO - 4 Couleurs+4 Silvers</v>
      </c>
      <c r="C328" s="159" t="s">
        <v>349</v>
      </c>
      <c r="D328" s="160" t="s">
        <v>625</v>
      </c>
      <c r="E328" s="161">
        <v>0.75</v>
      </c>
      <c r="F328" s="161">
        <v>0.1</v>
      </c>
      <c r="G328" s="162">
        <v>15</v>
      </c>
      <c r="H328" s="400">
        <v>0.41666666666666669</v>
      </c>
      <c r="I328" s="164">
        <v>28.75</v>
      </c>
      <c r="J328" s="168"/>
      <c r="K328" s="168"/>
      <c r="L328" s="168"/>
      <c r="M328" s="168"/>
      <c r="N328" s="168">
        <v>16</v>
      </c>
    </row>
    <row r="329" spans="1:14" x14ac:dyDescent="0.3">
      <c r="A329" s="158" t="s">
        <v>155</v>
      </c>
      <c r="B329" s="158" t="str">
        <f t="shared" si="5"/>
        <v>AELO - 4 Silvers</v>
      </c>
      <c r="C329" s="159" t="s">
        <v>349</v>
      </c>
      <c r="D329" s="160" t="s">
        <v>626</v>
      </c>
      <c r="E329" s="161">
        <v>0.5</v>
      </c>
      <c r="F329" s="161">
        <v>0.1</v>
      </c>
      <c r="G329" s="162">
        <v>15</v>
      </c>
      <c r="H329" s="400">
        <v>0.41666666666666669</v>
      </c>
      <c r="I329" s="164">
        <v>48.99</v>
      </c>
      <c r="J329" s="168"/>
      <c r="K329" s="168"/>
      <c r="L329" s="168"/>
      <c r="M329" s="168"/>
      <c r="N329" s="168">
        <v>8</v>
      </c>
    </row>
    <row r="330" spans="1:14" x14ac:dyDescent="0.3">
      <c r="A330" s="158" t="s">
        <v>155</v>
      </c>
      <c r="B330" s="158" t="str">
        <f t="shared" si="5"/>
        <v>AELO - 5 Couleurs</v>
      </c>
      <c r="C330" s="159" t="s">
        <v>349</v>
      </c>
      <c r="D330" s="160" t="s">
        <v>627</v>
      </c>
      <c r="E330" s="161">
        <v>0.6</v>
      </c>
      <c r="F330" s="161">
        <v>0.1</v>
      </c>
      <c r="G330" s="162">
        <v>15</v>
      </c>
      <c r="H330" s="400">
        <v>0.41666666666666669</v>
      </c>
      <c r="I330" s="164">
        <v>8.52</v>
      </c>
      <c r="J330" s="168"/>
      <c r="K330" s="168"/>
      <c r="L330" s="168"/>
      <c r="M330" s="168"/>
      <c r="N330" s="168">
        <v>10</v>
      </c>
    </row>
    <row r="331" spans="1:14" x14ac:dyDescent="0.3">
      <c r="A331" s="158" t="s">
        <v>155</v>
      </c>
      <c r="B331" s="158" t="str">
        <f t="shared" si="5"/>
        <v>AELO - 5 Couleurs+1 Silver</v>
      </c>
      <c r="C331" s="159" t="s">
        <v>349</v>
      </c>
      <c r="D331" s="160" t="s">
        <v>628</v>
      </c>
      <c r="E331" s="161">
        <v>0.66700000000000004</v>
      </c>
      <c r="F331" s="161">
        <v>0.1</v>
      </c>
      <c r="G331" s="162">
        <v>15</v>
      </c>
      <c r="H331" s="400">
        <v>0.41666666666666669</v>
      </c>
      <c r="I331" s="164">
        <v>15.26</v>
      </c>
      <c r="J331" s="168"/>
      <c r="K331" s="168"/>
      <c r="L331" s="168"/>
      <c r="M331" s="168"/>
      <c r="N331" s="168">
        <v>12</v>
      </c>
    </row>
    <row r="332" spans="1:14" x14ac:dyDescent="0.3">
      <c r="A332" s="158" t="s">
        <v>155</v>
      </c>
      <c r="B332" s="158" t="str">
        <f t="shared" si="5"/>
        <v>AELO - 5 Couleurs+1 Blanc</v>
      </c>
      <c r="C332" s="159" t="s">
        <v>349</v>
      </c>
      <c r="D332" s="160" t="s">
        <v>629</v>
      </c>
      <c r="E332" s="161">
        <v>0.66700000000000004</v>
      </c>
      <c r="F332" s="161">
        <v>0.1</v>
      </c>
      <c r="G332" s="162">
        <v>15</v>
      </c>
      <c r="H332" s="400">
        <v>0.41666666666666669</v>
      </c>
      <c r="I332" s="164">
        <v>9.0500000000000007</v>
      </c>
      <c r="J332" s="168"/>
      <c r="K332" s="168"/>
      <c r="L332" s="168"/>
      <c r="M332" s="168"/>
      <c r="N332" s="168">
        <v>12</v>
      </c>
    </row>
    <row r="333" spans="1:14" ht="24" x14ac:dyDescent="0.3">
      <c r="A333" s="158" t="s">
        <v>155</v>
      </c>
      <c r="B333" s="158" t="str">
        <f t="shared" si="5"/>
        <v>AELO - 5 Couleurs+1 Blanc+1 Silver</v>
      </c>
      <c r="C333" s="159" t="s">
        <v>349</v>
      </c>
      <c r="D333" s="160" t="s">
        <v>630</v>
      </c>
      <c r="E333" s="161">
        <v>0.71400000000000008</v>
      </c>
      <c r="F333" s="161">
        <v>0.1</v>
      </c>
      <c r="G333" s="162">
        <v>15</v>
      </c>
      <c r="H333" s="400">
        <v>0.41666666666666669</v>
      </c>
      <c r="I333" s="164">
        <v>14.75</v>
      </c>
      <c r="J333" s="168"/>
      <c r="K333" s="168"/>
      <c r="L333" s="168"/>
      <c r="M333" s="168"/>
      <c r="N333" s="168">
        <v>14</v>
      </c>
    </row>
    <row r="334" spans="1:14" ht="24" x14ac:dyDescent="0.3">
      <c r="A334" s="158" t="s">
        <v>155</v>
      </c>
      <c r="B334" s="158" t="str">
        <f t="shared" si="5"/>
        <v>AELO - 5 Couleurs+1 Blanc+2 Silvers</v>
      </c>
      <c r="C334" s="159" t="s">
        <v>349</v>
      </c>
      <c r="D334" s="160" t="s">
        <v>631</v>
      </c>
      <c r="E334" s="161">
        <v>0.75</v>
      </c>
      <c r="F334" s="161">
        <v>0.1</v>
      </c>
      <c r="G334" s="162">
        <v>15</v>
      </c>
      <c r="H334" s="400">
        <v>0.41666666666666669</v>
      </c>
      <c r="I334" s="164">
        <v>19.03</v>
      </c>
      <c r="J334" s="168"/>
      <c r="K334" s="168"/>
      <c r="L334" s="168"/>
      <c r="M334" s="168"/>
      <c r="N334" s="168">
        <v>16</v>
      </c>
    </row>
    <row r="335" spans="1:14" ht="24" x14ac:dyDescent="0.3">
      <c r="A335" s="158" t="s">
        <v>155</v>
      </c>
      <c r="B335" s="158" t="str">
        <f t="shared" si="5"/>
        <v>AELO - 5 Couleurs+1 Blanc+3 Silvers</v>
      </c>
      <c r="C335" s="159" t="s">
        <v>349</v>
      </c>
      <c r="D335" s="160" t="s">
        <v>632</v>
      </c>
      <c r="E335" s="161">
        <v>0.77800000000000002</v>
      </c>
      <c r="F335" s="161">
        <v>0.1</v>
      </c>
      <c r="G335" s="162">
        <v>15</v>
      </c>
      <c r="H335" s="400">
        <v>0.41666666666666669</v>
      </c>
      <c r="I335" s="164">
        <v>22.36</v>
      </c>
      <c r="J335" s="168"/>
      <c r="K335" s="168"/>
      <c r="L335" s="168"/>
      <c r="M335" s="168"/>
      <c r="N335" s="168">
        <v>18</v>
      </c>
    </row>
    <row r="336" spans="1:14" ht="24" x14ac:dyDescent="0.3">
      <c r="A336" s="158" t="s">
        <v>155</v>
      </c>
      <c r="B336" s="158" t="str">
        <f t="shared" si="5"/>
        <v>AELO - 5 Couleurs+1 Blanc+4 Silvers</v>
      </c>
      <c r="C336" s="159" t="s">
        <v>349</v>
      </c>
      <c r="D336" s="160" t="s">
        <v>633</v>
      </c>
      <c r="E336" s="161">
        <v>0.8</v>
      </c>
      <c r="F336" s="161">
        <v>0.1</v>
      </c>
      <c r="G336" s="162">
        <v>15</v>
      </c>
      <c r="H336" s="400">
        <v>0.41666666666666669</v>
      </c>
      <c r="I336" s="164">
        <v>25.02</v>
      </c>
      <c r="J336" s="168"/>
      <c r="K336" s="168"/>
      <c r="L336" s="168"/>
      <c r="M336" s="168"/>
      <c r="N336" s="168">
        <v>20</v>
      </c>
    </row>
    <row r="337" spans="1:14" x14ac:dyDescent="0.3">
      <c r="A337" s="158" t="s">
        <v>155</v>
      </c>
      <c r="B337" s="158" t="str">
        <f t="shared" si="5"/>
        <v>AELO - 5 Couleurs+2 Silvers</v>
      </c>
      <c r="C337" s="159" t="s">
        <v>349</v>
      </c>
      <c r="D337" s="160" t="s">
        <v>634</v>
      </c>
      <c r="E337" s="161">
        <v>0.71400000000000008</v>
      </c>
      <c r="F337" s="161">
        <v>0.1</v>
      </c>
      <c r="G337" s="162">
        <v>15</v>
      </c>
      <c r="H337" s="400">
        <v>0.41666666666666669</v>
      </c>
      <c r="I337" s="164">
        <v>20.079999999999998</v>
      </c>
      <c r="J337" s="168"/>
      <c r="K337" s="168"/>
      <c r="L337" s="168"/>
      <c r="M337" s="168"/>
      <c r="N337" s="168">
        <v>14</v>
      </c>
    </row>
    <row r="338" spans="1:14" x14ac:dyDescent="0.3">
      <c r="A338" s="158" t="s">
        <v>155</v>
      </c>
      <c r="B338" s="158" t="str">
        <f t="shared" si="5"/>
        <v>AELO - 5 Couleurs+2 Blancs</v>
      </c>
      <c r="C338" s="159" t="s">
        <v>349</v>
      </c>
      <c r="D338" s="160" t="s">
        <v>635</v>
      </c>
      <c r="E338" s="161">
        <v>0.71400000000000008</v>
      </c>
      <c r="F338" s="161">
        <v>0.1</v>
      </c>
      <c r="G338" s="162">
        <v>15</v>
      </c>
      <c r="H338" s="400">
        <v>0.41666666666666669</v>
      </c>
      <c r="I338" s="164">
        <v>9.43</v>
      </c>
      <c r="J338" s="168"/>
      <c r="K338" s="168"/>
      <c r="L338" s="168"/>
      <c r="M338" s="168"/>
      <c r="N338" s="168">
        <v>14</v>
      </c>
    </row>
    <row r="339" spans="1:14" ht="24" x14ac:dyDescent="0.3">
      <c r="A339" s="158" t="s">
        <v>155</v>
      </c>
      <c r="B339" s="158" t="str">
        <f t="shared" si="5"/>
        <v>AELO - 5 Couleurs+2 Blancs+1 Silver</v>
      </c>
      <c r="C339" s="159" t="s">
        <v>349</v>
      </c>
      <c r="D339" s="160" t="s">
        <v>636</v>
      </c>
      <c r="E339" s="161">
        <v>0.75</v>
      </c>
      <c r="F339" s="161">
        <v>0.1</v>
      </c>
      <c r="G339" s="162">
        <v>15</v>
      </c>
      <c r="H339" s="400">
        <v>0.41666666666666669</v>
      </c>
      <c r="I339" s="164">
        <v>14.37</v>
      </c>
      <c r="J339" s="168"/>
      <c r="K339" s="168"/>
      <c r="L339" s="168"/>
      <c r="M339" s="168"/>
      <c r="N339" s="168">
        <v>16</v>
      </c>
    </row>
    <row r="340" spans="1:14" ht="24" x14ac:dyDescent="0.3">
      <c r="A340" s="158" t="s">
        <v>155</v>
      </c>
      <c r="B340" s="158" t="str">
        <f t="shared" si="5"/>
        <v>AELO - 5 Couleurs+2 Blancs+2 Silvers</v>
      </c>
      <c r="C340" s="159" t="s">
        <v>349</v>
      </c>
      <c r="D340" s="160" t="s">
        <v>637</v>
      </c>
      <c r="E340" s="161">
        <v>0.77800000000000002</v>
      </c>
      <c r="F340" s="161">
        <v>0.1</v>
      </c>
      <c r="G340" s="162">
        <v>15</v>
      </c>
      <c r="H340" s="400">
        <v>0.41666666666666669</v>
      </c>
      <c r="I340" s="164">
        <v>18.22</v>
      </c>
      <c r="J340" s="168"/>
      <c r="K340" s="168"/>
      <c r="L340" s="168"/>
      <c r="M340" s="168"/>
      <c r="N340" s="168">
        <v>18</v>
      </c>
    </row>
    <row r="341" spans="1:14" ht="24" x14ac:dyDescent="0.3">
      <c r="A341" s="158" t="s">
        <v>155</v>
      </c>
      <c r="B341" s="158" t="str">
        <f t="shared" si="5"/>
        <v>AELO - 5 Couleurs+2 Blancs+3 Silvers</v>
      </c>
      <c r="C341" s="159" t="s">
        <v>349</v>
      </c>
      <c r="D341" s="160" t="s">
        <v>638</v>
      </c>
      <c r="E341" s="161">
        <v>0.8</v>
      </c>
      <c r="F341" s="161">
        <v>0.1</v>
      </c>
      <c r="G341" s="162">
        <v>15</v>
      </c>
      <c r="H341" s="400">
        <v>0.41666666666666669</v>
      </c>
      <c r="I341" s="164">
        <v>21.3</v>
      </c>
      <c r="J341" s="168"/>
      <c r="K341" s="168"/>
      <c r="L341" s="168"/>
      <c r="M341" s="168"/>
      <c r="N341" s="168">
        <v>20</v>
      </c>
    </row>
    <row r="342" spans="1:14" x14ac:dyDescent="0.3">
      <c r="A342" s="158" t="s">
        <v>155</v>
      </c>
      <c r="B342" s="158" t="str">
        <f t="shared" si="5"/>
        <v>AELO - 5 Couleurs+3 Silvers</v>
      </c>
      <c r="C342" s="159" t="s">
        <v>349</v>
      </c>
      <c r="D342" s="160" t="s">
        <v>639</v>
      </c>
      <c r="E342" s="161">
        <v>0.75</v>
      </c>
      <c r="F342" s="161">
        <v>0.1</v>
      </c>
      <c r="G342" s="162">
        <v>15</v>
      </c>
      <c r="H342" s="400">
        <v>0.41666666666666669</v>
      </c>
      <c r="I342" s="164">
        <v>23.69</v>
      </c>
      <c r="J342" s="168"/>
      <c r="K342" s="168"/>
      <c r="L342" s="168"/>
      <c r="M342" s="168"/>
      <c r="N342" s="168">
        <v>16</v>
      </c>
    </row>
    <row r="343" spans="1:14" x14ac:dyDescent="0.3">
      <c r="A343" s="158" t="s">
        <v>155</v>
      </c>
      <c r="B343" s="158" t="str">
        <f t="shared" si="5"/>
        <v>AELO - 5 Couleurs+4 Silvers</v>
      </c>
      <c r="C343" s="159" t="s">
        <v>349</v>
      </c>
      <c r="D343" s="160" t="s">
        <v>640</v>
      </c>
      <c r="E343" s="161">
        <v>0.77800000000000002</v>
      </c>
      <c r="F343" s="161">
        <v>0.1</v>
      </c>
      <c r="G343" s="162">
        <v>15</v>
      </c>
      <c r="H343" s="400">
        <v>0.41666666666666669</v>
      </c>
      <c r="I343" s="164">
        <v>26.5</v>
      </c>
      <c r="J343" s="168"/>
      <c r="K343" s="168"/>
      <c r="L343" s="168"/>
      <c r="M343" s="168"/>
      <c r="N343" s="168">
        <v>18</v>
      </c>
    </row>
    <row r="344" spans="1:14" x14ac:dyDescent="0.3">
      <c r="A344" s="158" t="s">
        <v>155</v>
      </c>
      <c r="B344" s="158" t="str">
        <f t="shared" si="5"/>
        <v>AELO - 6 Couleurs</v>
      </c>
      <c r="C344" s="159" t="s">
        <v>349</v>
      </c>
      <c r="D344" s="160" t="s">
        <v>641</v>
      </c>
      <c r="E344" s="161">
        <v>0.66700000000000004</v>
      </c>
      <c r="F344" s="161">
        <v>0.1</v>
      </c>
      <c r="G344" s="162">
        <v>15</v>
      </c>
      <c r="H344" s="400">
        <v>0.41666666666666669</v>
      </c>
      <c r="I344" s="164">
        <v>8.52</v>
      </c>
      <c r="J344" s="168"/>
      <c r="K344" s="168"/>
      <c r="L344" s="168"/>
      <c r="M344" s="168"/>
      <c r="N344" s="168">
        <v>12</v>
      </c>
    </row>
    <row r="345" spans="1:14" x14ac:dyDescent="0.3">
      <c r="A345" s="158" t="s">
        <v>155</v>
      </c>
      <c r="B345" s="158" t="str">
        <f t="shared" si="5"/>
        <v>AELO - 6 Couleurs+1 Silver</v>
      </c>
      <c r="C345" s="159" t="s">
        <v>349</v>
      </c>
      <c r="D345" s="160" t="s">
        <v>642</v>
      </c>
      <c r="E345" s="161">
        <v>0.71400000000000008</v>
      </c>
      <c r="F345" s="161">
        <v>0.1</v>
      </c>
      <c r="G345" s="162">
        <v>15</v>
      </c>
      <c r="H345" s="400">
        <v>0.41666666666666669</v>
      </c>
      <c r="I345" s="164">
        <v>14.3</v>
      </c>
      <c r="J345" s="168"/>
      <c r="K345" s="168"/>
      <c r="L345" s="168"/>
      <c r="M345" s="168"/>
      <c r="N345" s="168">
        <v>14</v>
      </c>
    </row>
    <row r="346" spans="1:14" x14ac:dyDescent="0.3">
      <c r="A346" s="158" t="s">
        <v>155</v>
      </c>
      <c r="B346" s="158" t="str">
        <f t="shared" si="5"/>
        <v>AELO - 6 Couleurs+1 Blanc</v>
      </c>
      <c r="C346" s="159" t="s">
        <v>349</v>
      </c>
      <c r="D346" s="160" t="s">
        <v>643</v>
      </c>
      <c r="E346" s="161">
        <v>0.71400000000000008</v>
      </c>
      <c r="F346" s="161">
        <v>0.1</v>
      </c>
      <c r="G346" s="162">
        <v>15</v>
      </c>
      <c r="H346" s="400">
        <v>0.41666666666666669</v>
      </c>
      <c r="I346" s="164">
        <v>8.9700000000000006</v>
      </c>
      <c r="J346" s="168"/>
      <c r="K346" s="168"/>
      <c r="L346" s="168"/>
      <c r="M346" s="168"/>
      <c r="N346" s="168">
        <v>14</v>
      </c>
    </row>
    <row r="347" spans="1:14" ht="24" x14ac:dyDescent="0.3">
      <c r="A347" s="158" t="s">
        <v>155</v>
      </c>
      <c r="B347" s="158" t="str">
        <f t="shared" si="5"/>
        <v>AELO - 6 Couleurs+1 Blanc+1 Silver</v>
      </c>
      <c r="C347" s="159" t="s">
        <v>349</v>
      </c>
      <c r="D347" s="160" t="s">
        <v>644</v>
      </c>
      <c r="E347" s="161">
        <v>0.75</v>
      </c>
      <c r="F347" s="161">
        <v>0.1</v>
      </c>
      <c r="G347" s="162">
        <v>15</v>
      </c>
      <c r="H347" s="400">
        <v>0.41666666666666669</v>
      </c>
      <c r="I347" s="164">
        <v>13.97</v>
      </c>
      <c r="J347" s="168"/>
      <c r="K347" s="168"/>
      <c r="L347" s="168"/>
      <c r="M347" s="168"/>
      <c r="N347" s="168">
        <v>16</v>
      </c>
    </row>
    <row r="348" spans="1:14" ht="24" x14ac:dyDescent="0.3">
      <c r="A348" s="158" t="s">
        <v>155</v>
      </c>
      <c r="B348" s="158" t="str">
        <f t="shared" si="5"/>
        <v>AELO - 6 Couleurs+1 Blanc+2 Silvers</v>
      </c>
      <c r="C348" s="159" t="s">
        <v>349</v>
      </c>
      <c r="D348" s="160" t="s">
        <v>645</v>
      </c>
      <c r="E348" s="161">
        <v>0.77800000000000002</v>
      </c>
      <c r="F348" s="161">
        <v>0.1</v>
      </c>
      <c r="G348" s="162">
        <v>15</v>
      </c>
      <c r="H348" s="400">
        <v>0.41666666666666669</v>
      </c>
      <c r="I348" s="164">
        <v>17.86</v>
      </c>
      <c r="J348" s="168"/>
      <c r="K348" s="168"/>
      <c r="L348" s="168"/>
      <c r="M348" s="168"/>
      <c r="N348" s="168">
        <v>18</v>
      </c>
    </row>
    <row r="349" spans="1:14" ht="24" x14ac:dyDescent="0.3">
      <c r="A349" s="158" t="s">
        <v>155</v>
      </c>
      <c r="B349" s="158" t="str">
        <f t="shared" si="5"/>
        <v>AELO - 6 Couleurs+1 Blanc+3 Silvers</v>
      </c>
      <c r="C349" s="159" t="s">
        <v>349</v>
      </c>
      <c r="D349" s="160" t="s">
        <v>646</v>
      </c>
      <c r="E349" s="161">
        <v>0.8</v>
      </c>
      <c r="F349" s="161">
        <v>0.1</v>
      </c>
      <c r="G349" s="162">
        <v>15</v>
      </c>
      <c r="H349" s="400">
        <v>0.41666666666666669</v>
      </c>
      <c r="I349" s="164">
        <v>20.98</v>
      </c>
      <c r="J349" s="168"/>
      <c r="K349" s="168"/>
      <c r="L349" s="168"/>
      <c r="M349" s="168"/>
      <c r="N349" s="168">
        <v>20</v>
      </c>
    </row>
    <row r="350" spans="1:14" x14ac:dyDescent="0.3">
      <c r="A350" s="158" t="s">
        <v>155</v>
      </c>
      <c r="B350" s="158" t="str">
        <f t="shared" si="5"/>
        <v>AELO - 6 Couleurs+2 Silvers</v>
      </c>
      <c r="C350" s="159" t="s">
        <v>349</v>
      </c>
      <c r="D350" s="160" t="s">
        <v>647</v>
      </c>
      <c r="E350" s="161">
        <v>0.75</v>
      </c>
      <c r="F350" s="161">
        <v>0.1</v>
      </c>
      <c r="G350" s="162">
        <v>15</v>
      </c>
      <c r="H350" s="400">
        <v>0.41666666666666669</v>
      </c>
      <c r="I350" s="164">
        <v>18.63</v>
      </c>
      <c r="J350" s="168"/>
      <c r="K350" s="168"/>
      <c r="L350" s="168"/>
      <c r="M350" s="168"/>
      <c r="N350" s="168">
        <v>16</v>
      </c>
    </row>
    <row r="351" spans="1:14" x14ac:dyDescent="0.3">
      <c r="A351" s="158" t="s">
        <v>155</v>
      </c>
      <c r="B351" s="158" t="str">
        <f t="shared" si="5"/>
        <v>AELO - 6 Couleurs+2 Blancs</v>
      </c>
      <c r="C351" s="159" t="s">
        <v>349</v>
      </c>
      <c r="D351" s="160" t="s">
        <v>648</v>
      </c>
      <c r="E351" s="161">
        <v>0.75</v>
      </c>
      <c r="F351" s="161">
        <v>0.1</v>
      </c>
      <c r="G351" s="162">
        <v>15</v>
      </c>
      <c r="H351" s="400">
        <v>0.41666666666666669</v>
      </c>
      <c r="I351" s="164">
        <v>9.31</v>
      </c>
      <c r="J351" s="168"/>
      <c r="K351" s="168"/>
      <c r="L351" s="168"/>
      <c r="M351" s="168"/>
      <c r="N351" s="168">
        <v>16</v>
      </c>
    </row>
    <row r="352" spans="1:14" ht="24" x14ac:dyDescent="0.3">
      <c r="A352" s="158" t="s">
        <v>155</v>
      </c>
      <c r="B352" s="158" t="str">
        <f t="shared" si="5"/>
        <v>AELO - 6 Couleurs+2 Blancs+1 Silver</v>
      </c>
      <c r="C352" s="159" t="s">
        <v>349</v>
      </c>
      <c r="D352" s="160" t="s">
        <v>649</v>
      </c>
      <c r="E352" s="161">
        <v>0.77800000000000002</v>
      </c>
      <c r="F352" s="161">
        <v>0.1</v>
      </c>
      <c r="G352" s="162">
        <v>15</v>
      </c>
      <c r="H352" s="400">
        <v>0.41666666666666669</v>
      </c>
      <c r="I352" s="164">
        <v>13.72</v>
      </c>
      <c r="J352" s="168"/>
      <c r="K352" s="168"/>
      <c r="L352" s="168"/>
      <c r="M352" s="168"/>
      <c r="N352" s="168">
        <v>18</v>
      </c>
    </row>
    <row r="353" spans="1:14" ht="24" x14ac:dyDescent="0.3">
      <c r="A353" s="158" t="s">
        <v>155</v>
      </c>
      <c r="B353" s="158" t="str">
        <f t="shared" si="5"/>
        <v>AELO - 6 Couleurs+2 Blancs+2 Silvers</v>
      </c>
      <c r="C353" s="159" t="s">
        <v>349</v>
      </c>
      <c r="D353" s="160" t="s">
        <v>650</v>
      </c>
      <c r="E353" s="161">
        <v>0.8</v>
      </c>
      <c r="F353" s="161">
        <v>0.1</v>
      </c>
      <c r="G353" s="162">
        <v>15</v>
      </c>
      <c r="H353" s="400">
        <v>0.41666666666666669</v>
      </c>
      <c r="I353" s="164">
        <v>17.25</v>
      </c>
      <c r="J353" s="168"/>
      <c r="K353" s="168"/>
      <c r="L353" s="168"/>
      <c r="M353" s="168"/>
      <c r="N353" s="168">
        <v>20</v>
      </c>
    </row>
    <row r="354" spans="1:14" x14ac:dyDescent="0.3">
      <c r="A354" s="158" t="s">
        <v>155</v>
      </c>
      <c r="B354" s="158" t="str">
        <f t="shared" si="5"/>
        <v>AELO - 6 Couleurs+3 Silvers</v>
      </c>
      <c r="C354" s="159" t="s">
        <v>349</v>
      </c>
      <c r="D354" s="160" t="s">
        <v>651</v>
      </c>
      <c r="E354" s="161">
        <v>0.77800000000000002</v>
      </c>
      <c r="F354" s="161">
        <v>0.1</v>
      </c>
      <c r="G354" s="162">
        <v>15</v>
      </c>
      <c r="H354" s="400">
        <v>0.41666666666666669</v>
      </c>
      <c r="I354" s="164">
        <v>22.01</v>
      </c>
      <c r="J354" s="168"/>
      <c r="K354" s="168"/>
      <c r="L354" s="168"/>
      <c r="M354" s="168"/>
      <c r="N354" s="168">
        <v>18</v>
      </c>
    </row>
    <row r="355" spans="1:14" x14ac:dyDescent="0.3">
      <c r="A355" s="158" t="s">
        <v>155</v>
      </c>
      <c r="B355" s="158" t="str">
        <f t="shared" si="5"/>
        <v>AELO - 6 Couleurs+4 Silvers</v>
      </c>
      <c r="C355" s="159" t="s">
        <v>349</v>
      </c>
      <c r="D355" s="160" t="s">
        <v>652</v>
      </c>
      <c r="E355" s="161">
        <v>0.8</v>
      </c>
      <c r="F355" s="161">
        <v>0.1</v>
      </c>
      <c r="G355" s="162">
        <v>15</v>
      </c>
      <c r="H355" s="400">
        <v>0.41666666666666669</v>
      </c>
      <c r="I355" s="164">
        <v>24.7</v>
      </c>
      <c r="J355" s="168"/>
      <c r="K355" s="168"/>
      <c r="L355" s="168"/>
      <c r="M355" s="168"/>
      <c r="N355" s="168">
        <v>20</v>
      </c>
    </row>
    <row r="356" spans="1:14" x14ac:dyDescent="0.3">
      <c r="A356" s="158" t="s">
        <v>155</v>
      </c>
      <c r="B356" s="158" t="str">
        <f t="shared" si="5"/>
        <v>AELO - 7 Couleurs</v>
      </c>
      <c r="C356" s="159" t="s">
        <v>349</v>
      </c>
      <c r="D356" s="160" t="s">
        <v>653</v>
      </c>
      <c r="E356" s="161">
        <v>0.71400000000000008</v>
      </c>
      <c r="F356" s="161">
        <v>0.1</v>
      </c>
      <c r="G356" s="162">
        <v>15</v>
      </c>
      <c r="H356" s="400">
        <v>0.41666666666666669</v>
      </c>
      <c r="I356" s="164">
        <v>8.52</v>
      </c>
      <c r="J356" s="168"/>
      <c r="K356" s="168"/>
      <c r="L356" s="168"/>
      <c r="M356" s="168"/>
      <c r="N356" s="168">
        <v>14</v>
      </c>
    </row>
    <row r="357" spans="1:14" x14ac:dyDescent="0.3">
      <c r="A357" s="158" t="s">
        <v>155</v>
      </c>
      <c r="B357" s="158" t="str">
        <f t="shared" si="5"/>
        <v>AELO - 7 Couleurs+1 Silver</v>
      </c>
      <c r="C357" s="159" t="s">
        <v>349</v>
      </c>
      <c r="D357" s="160" t="s">
        <v>654</v>
      </c>
      <c r="E357" s="161">
        <v>0.75</v>
      </c>
      <c r="F357" s="161">
        <v>0.1</v>
      </c>
      <c r="G357" s="162">
        <v>15</v>
      </c>
      <c r="H357" s="400">
        <v>0.41666666666666669</v>
      </c>
      <c r="I357" s="164">
        <v>13.57</v>
      </c>
      <c r="J357" s="168"/>
      <c r="K357" s="168"/>
      <c r="L357" s="168"/>
      <c r="M357" s="168"/>
      <c r="N357" s="168">
        <v>16</v>
      </c>
    </row>
    <row r="358" spans="1:14" x14ac:dyDescent="0.3">
      <c r="A358" s="158" t="s">
        <v>155</v>
      </c>
      <c r="B358" s="158" t="str">
        <f t="shared" si="5"/>
        <v>AELO - 7 Couleurs+1 Blanc</v>
      </c>
      <c r="C358" s="159" t="s">
        <v>349</v>
      </c>
      <c r="D358" s="160" t="s">
        <v>655</v>
      </c>
      <c r="E358" s="161">
        <v>0.75</v>
      </c>
      <c r="F358" s="161">
        <v>0.1</v>
      </c>
      <c r="G358" s="162">
        <v>15</v>
      </c>
      <c r="H358" s="400">
        <v>0.41666666666666669</v>
      </c>
      <c r="I358" s="164">
        <v>8.91</v>
      </c>
      <c r="J358" s="168"/>
      <c r="K358" s="168"/>
      <c r="L358" s="168"/>
      <c r="M358" s="168"/>
      <c r="N358" s="168">
        <v>16</v>
      </c>
    </row>
    <row r="359" spans="1:14" ht="24" x14ac:dyDescent="0.3">
      <c r="A359" s="158" t="s">
        <v>155</v>
      </c>
      <c r="B359" s="158" t="str">
        <f t="shared" si="5"/>
        <v>AELO - 7 Couleurs+1 Blanc+1 Silver</v>
      </c>
      <c r="C359" s="159" t="s">
        <v>349</v>
      </c>
      <c r="D359" s="160" t="s">
        <v>656</v>
      </c>
      <c r="E359" s="161">
        <v>0.77800000000000002</v>
      </c>
      <c r="F359" s="161">
        <v>0.1</v>
      </c>
      <c r="G359" s="162">
        <v>15</v>
      </c>
      <c r="H359" s="400">
        <v>0.41666666666666669</v>
      </c>
      <c r="I359" s="164">
        <v>13.37</v>
      </c>
      <c r="J359" s="168"/>
      <c r="K359" s="168"/>
      <c r="L359" s="168"/>
      <c r="M359" s="168"/>
      <c r="N359" s="168">
        <v>18</v>
      </c>
    </row>
    <row r="360" spans="1:14" ht="24" x14ac:dyDescent="0.3">
      <c r="A360" s="158" t="s">
        <v>155</v>
      </c>
      <c r="B360" s="158" t="str">
        <f t="shared" si="5"/>
        <v>AELO - 7 Couleurs+1 Blanc+2 Silvers</v>
      </c>
      <c r="C360" s="159" t="s">
        <v>349</v>
      </c>
      <c r="D360" s="160" t="s">
        <v>657</v>
      </c>
      <c r="E360" s="161">
        <v>0.8</v>
      </c>
      <c r="F360" s="161">
        <v>0.1</v>
      </c>
      <c r="G360" s="162">
        <v>15</v>
      </c>
      <c r="H360" s="400">
        <v>0.41666666666666669</v>
      </c>
      <c r="I360" s="164">
        <v>16.93</v>
      </c>
      <c r="J360" s="168"/>
      <c r="K360" s="168"/>
      <c r="L360" s="168"/>
      <c r="M360" s="168"/>
      <c r="N360" s="168">
        <v>20</v>
      </c>
    </row>
    <row r="361" spans="1:14" x14ac:dyDescent="0.3">
      <c r="A361" s="158" t="s">
        <v>155</v>
      </c>
      <c r="B361" s="158" t="str">
        <f t="shared" si="5"/>
        <v>AELO - 7 Couleurs+2 Silvers</v>
      </c>
      <c r="C361" s="159" t="s">
        <v>349</v>
      </c>
      <c r="D361" s="160" t="s">
        <v>658</v>
      </c>
      <c r="E361" s="161">
        <v>0.77800000000000002</v>
      </c>
      <c r="F361" s="161">
        <v>0.1</v>
      </c>
      <c r="G361" s="162">
        <v>15</v>
      </c>
      <c r="H361" s="400">
        <v>0.41666666666666669</v>
      </c>
      <c r="I361" s="164">
        <v>17.510000000000002</v>
      </c>
      <c r="J361" s="168"/>
      <c r="K361" s="168"/>
      <c r="L361" s="168"/>
      <c r="M361" s="168"/>
      <c r="N361" s="168">
        <v>18</v>
      </c>
    </row>
    <row r="362" spans="1:14" x14ac:dyDescent="0.3">
      <c r="A362" s="158" t="s">
        <v>155</v>
      </c>
      <c r="B362" s="158" t="str">
        <f t="shared" si="5"/>
        <v>AELO - 7 Couleurs+2 Blancs</v>
      </c>
      <c r="C362" s="159" t="s">
        <v>349</v>
      </c>
      <c r="D362" s="160" t="s">
        <v>659</v>
      </c>
      <c r="E362" s="161">
        <v>0.77800000000000002</v>
      </c>
      <c r="F362" s="161">
        <v>0.1</v>
      </c>
      <c r="G362" s="162">
        <v>15</v>
      </c>
      <c r="H362" s="400">
        <v>0.41666666666666669</v>
      </c>
      <c r="I362" s="164">
        <v>9.23</v>
      </c>
      <c r="J362" s="168"/>
      <c r="K362" s="168"/>
      <c r="L362" s="168"/>
      <c r="M362" s="168"/>
      <c r="N362" s="168">
        <v>18</v>
      </c>
    </row>
    <row r="363" spans="1:14" ht="24" x14ac:dyDescent="0.3">
      <c r="A363" s="158" t="s">
        <v>155</v>
      </c>
      <c r="B363" s="158" t="str">
        <f t="shared" si="5"/>
        <v>AELO - 7 Couleurs+2 Blancs+1 Silver</v>
      </c>
      <c r="C363" s="159" t="s">
        <v>349</v>
      </c>
      <c r="D363" s="160" t="s">
        <v>660</v>
      </c>
      <c r="E363" s="161">
        <v>0.8</v>
      </c>
      <c r="F363" s="161">
        <v>0.1</v>
      </c>
      <c r="G363" s="162">
        <v>15</v>
      </c>
      <c r="H363" s="400">
        <v>0.41666666666666669</v>
      </c>
      <c r="I363" s="164">
        <v>13.2</v>
      </c>
      <c r="J363" s="168"/>
      <c r="K363" s="168"/>
      <c r="L363" s="168"/>
      <c r="M363" s="168"/>
      <c r="N363" s="168">
        <v>20</v>
      </c>
    </row>
    <row r="364" spans="1:14" x14ac:dyDescent="0.3">
      <c r="A364" s="158" t="s">
        <v>155</v>
      </c>
      <c r="B364" s="158" t="str">
        <f t="shared" si="5"/>
        <v>AELO - 7 Couleurs+3 Silvers</v>
      </c>
      <c r="C364" s="159" t="s">
        <v>349</v>
      </c>
      <c r="D364" s="160" t="s">
        <v>661</v>
      </c>
      <c r="E364" s="161">
        <v>0.8</v>
      </c>
      <c r="F364" s="161">
        <v>0.1</v>
      </c>
      <c r="G364" s="162">
        <v>15</v>
      </c>
      <c r="H364" s="400">
        <v>0.41666666666666669</v>
      </c>
      <c r="I364" s="164">
        <v>20.66</v>
      </c>
      <c r="J364" s="168"/>
      <c r="K364" s="168"/>
      <c r="L364" s="168"/>
      <c r="M364" s="168"/>
      <c r="N364" s="168">
        <v>20</v>
      </c>
    </row>
    <row r="365" spans="1:14" x14ac:dyDescent="0.3">
      <c r="A365" s="158" t="s">
        <v>155</v>
      </c>
      <c r="B365" s="158" t="str">
        <f t="shared" si="5"/>
        <v>AELO - 8 Couleurs</v>
      </c>
      <c r="C365" s="159" t="s">
        <v>349</v>
      </c>
      <c r="D365" s="160" t="s">
        <v>669</v>
      </c>
      <c r="E365" s="161">
        <v>0.75</v>
      </c>
      <c r="F365" s="161">
        <v>0.1</v>
      </c>
      <c r="G365" s="162">
        <v>15</v>
      </c>
      <c r="H365" s="400">
        <v>0.41666666666666669</v>
      </c>
      <c r="I365" s="164">
        <v>8.52</v>
      </c>
      <c r="J365" s="168"/>
      <c r="K365" s="168"/>
      <c r="L365" s="168"/>
      <c r="M365" s="168"/>
      <c r="N365" s="168">
        <v>16</v>
      </c>
    </row>
    <row r="366" spans="1:14" x14ac:dyDescent="0.3">
      <c r="A366" s="158" t="s">
        <v>155</v>
      </c>
      <c r="B366" s="158" t="str">
        <f t="shared" si="5"/>
        <v>AELO - 8 Couleurs+1 Silver</v>
      </c>
      <c r="C366" s="159" t="s">
        <v>349</v>
      </c>
      <c r="D366" s="160" t="s">
        <v>662</v>
      </c>
      <c r="E366" s="161">
        <v>0.77800000000000002</v>
      </c>
      <c r="F366" s="161">
        <v>0.1</v>
      </c>
      <c r="G366" s="162">
        <v>15</v>
      </c>
      <c r="H366" s="400">
        <v>0.41666666666666669</v>
      </c>
      <c r="I366" s="164">
        <v>13.01</v>
      </c>
      <c r="J366" s="168"/>
      <c r="K366" s="168"/>
      <c r="L366" s="168"/>
      <c r="M366" s="168"/>
      <c r="N366" s="168">
        <v>18</v>
      </c>
    </row>
    <row r="367" spans="1:14" x14ac:dyDescent="0.3">
      <c r="A367" s="158" t="s">
        <v>155</v>
      </c>
      <c r="B367" s="158" t="str">
        <f t="shared" si="5"/>
        <v>AELO - 8 Couleurs+1 Blanc</v>
      </c>
      <c r="C367" s="159" t="s">
        <v>349</v>
      </c>
      <c r="D367" s="160" t="s">
        <v>663</v>
      </c>
      <c r="E367" s="161">
        <v>0.77800000000000002</v>
      </c>
      <c r="F367" s="161">
        <v>0.1</v>
      </c>
      <c r="G367" s="162">
        <v>15</v>
      </c>
      <c r="H367" s="400">
        <v>0.41666666666666669</v>
      </c>
      <c r="I367" s="164">
        <v>8.8699999999999992</v>
      </c>
      <c r="J367" s="168"/>
      <c r="K367" s="168"/>
      <c r="L367" s="168"/>
      <c r="M367" s="168"/>
      <c r="N367" s="168">
        <v>18</v>
      </c>
    </row>
    <row r="368" spans="1:14" ht="24" x14ac:dyDescent="0.3">
      <c r="A368" s="158" t="s">
        <v>155</v>
      </c>
      <c r="B368" s="158" t="str">
        <f t="shared" si="5"/>
        <v>AELO - 8 Couleurs+1 Blanc+1 Silver</v>
      </c>
      <c r="C368" s="159" t="s">
        <v>349</v>
      </c>
      <c r="D368" s="160" t="s">
        <v>664</v>
      </c>
      <c r="E368" s="161">
        <v>0.8</v>
      </c>
      <c r="F368" s="161">
        <v>0.1</v>
      </c>
      <c r="G368" s="162">
        <v>15</v>
      </c>
      <c r="H368" s="400">
        <v>0.41666666666666669</v>
      </c>
      <c r="I368" s="164">
        <v>12.88</v>
      </c>
      <c r="J368" s="168"/>
      <c r="K368" s="168"/>
      <c r="L368" s="168"/>
      <c r="M368" s="168"/>
      <c r="N368" s="168">
        <v>20</v>
      </c>
    </row>
    <row r="369" spans="1:14" x14ac:dyDescent="0.3">
      <c r="A369" s="158" t="s">
        <v>155</v>
      </c>
      <c r="B369" s="158" t="str">
        <f t="shared" si="5"/>
        <v>AELO - 8 Couleurs+2 Silvers</v>
      </c>
      <c r="C369" s="159" t="s">
        <v>349</v>
      </c>
      <c r="D369" s="160" t="s">
        <v>665</v>
      </c>
      <c r="E369" s="161">
        <v>0.8</v>
      </c>
      <c r="F369" s="161">
        <v>0.1</v>
      </c>
      <c r="G369" s="162">
        <v>15</v>
      </c>
      <c r="H369" s="400">
        <v>0.41666666666666669</v>
      </c>
      <c r="I369" s="164">
        <v>16.61</v>
      </c>
      <c r="J369" s="168"/>
      <c r="K369" s="168"/>
      <c r="L369" s="168"/>
      <c r="M369" s="168"/>
      <c r="N369" s="168">
        <v>20</v>
      </c>
    </row>
    <row r="370" spans="1:14" x14ac:dyDescent="0.3">
      <c r="A370" s="158" t="s">
        <v>155</v>
      </c>
      <c r="B370" s="158" t="str">
        <f t="shared" si="5"/>
        <v>AELO - 8 Couleurs+2 Blancs</v>
      </c>
      <c r="C370" s="159" t="s">
        <v>349</v>
      </c>
      <c r="D370" s="160" t="s">
        <v>666</v>
      </c>
      <c r="E370" s="161">
        <v>0.8</v>
      </c>
      <c r="F370" s="161">
        <v>0.1</v>
      </c>
      <c r="G370" s="162">
        <v>15</v>
      </c>
      <c r="H370" s="400">
        <v>0.41666666666666669</v>
      </c>
      <c r="I370" s="164">
        <v>9.15</v>
      </c>
      <c r="J370" s="168"/>
      <c r="K370" s="168"/>
      <c r="L370" s="168"/>
      <c r="M370" s="168"/>
      <c r="N370" s="168">
        <v>20</v>
      </c>
    </row>
    <row r="371" spans="1:14" x14ac:dyDescent="0.3">
      <c r="A371" s="158" t="s">
        <v>155</v>
      </c>
      <c r="B371" s="158" t="str">
        <f t="shared" si="5"/>
        <v>AELO - 9 Couleurs</v>
      </c>
      <c r="C371" s="159" t="s">
        <v>349</v>
      </c>
      <c r="D371" s="160" t="s">
        <v>670</v>
      </c>
      <c r="E371" s="161">
        <v>0.77800000000000002</v>
      </c>
      <c r="F371" s="161">
        <v>0.1</v>
      </c>
      <c r="G371" s="162">
        <v>15</v>
      </c>
      <c r="H371" s="400">
        <v>0.41666666666666669</v>
      </c>
      <c r="I371" s="164">
        <v>8.52</v>
      </c>
      <c r="J371" s="168"/>
      <c r="K371" s="168"/>
      <c r="L371" s="168"/>
      <c r="M371" s="168"/>
      <c r="N371" s="168">
        <v>18</v>
      </c>
    </row>
    <row r="372" spans="1:14" x14ac:dyDescent="0.3">
      <c r="A372" s="158" t="s">
        <v>155</v>
      </c>
      <c r="B372" s="158" t="str">
        <f t="shared" si="5"/>
        <v>AELO - 9 Couleurs+1 Silver</v>
      </c>
      <c r="C372" s="159" t="s">
        <v>349</v>
      </c>
      <c r="D372" s="160" t="s">
        <v>672</v>
      </c>
      <c r="E372" s="161">
        <v>0.8</v>
      </c>
      <c r="F372" s="161">
        <v>0.1</v>
      </c>
      <c r="G372" s="162">
        <v>15</v>
      </c>
      <c r="H372" s="400">
        <v>0.41666666666666669</v>
      </c>
      <c r="I372" s="164">
        <v>12.56</v>
      </c>
      <c r="J372" s="168"/>
      <c r="K372" s="168"/>
      <c r="L372" s="168"/>
      <c r="M372" s="168"/>
      <c r="N372" s="168">
        <v>20</v>
      </c>
    </row>
    <row r="373" spans="1:14" x14ac:dyDescent="0.3">
      <c r="A373" s="158" t="s">
        <v>155</v>
      </c>
      <c r="B373" s="158" t="str">
        <f t="shared" si="5"/>
        <v>AELO - 9 Couleurs+1 Blanc</v>
      </c>
      <c r="C373" s="159" t="s">
        <v>349</v>
      </c>
      <c r="D373" s="160" t="s">
        <v>671</v>
      </c>
      <c r="E373" s="161">
        <v>0.8</v>
      </c>
      <c r="F373" s="161">
        <v>0.1</v>
      </c>
      <c r="G373" s="162">
        <v>15</v>
      </c>
      <c r="H373" s="400">
        <v>0.41666666666666669</v>
      </c>
      <c r="I373" s="164">
        <v>8.83</v>
      </c>
      <c r="J373" s="168"/>
      <c r="K373" s="168"/>
      <c r="L373" s="168"/>
      <c r="M373" s="168"/>
      <c r="N373" s="168">
        <v>20</v>
      </c>
    </row>
    <row r="374" spans="1:14" x14ac:dyDescent="0.3">
      <c r="A374" s="158" t="s">
        <v>155</v>
      </c>
      <c r="B374" s="158" t="str">
        <f t="shared" si="5"/>
        <v>AELO - 9 Couleurs+2 Blancs</v>
      </c>
      <c r="C374" s="159" t="s">
        <v>349</v>
      </c>
      <c r="D374" s="160" t="s">
        <v>673</v>
      </c>
      <c r="E374" s="161">
        <v>0.81799999999999995</v>
      </c>
      <c r="F374" s="161">
        <v>0.1</v>
      </c>
      <c r="G374" s="162">
        <v>15</v>
      </c>
      <c r="H374" s="400">
        <v>0.41666666666666669</v>
      </c>
      <c r="I374" s="164">
        <v>9.1</v>
      </c>
      <c r="J374" s="168"/>
      <c r="K374" s="168"/>
      <c r="L374" s="168"/>
      <c r="M374" s="168"/>
      <c r="N374" s="168">
        <v>22</v>
      </c>
    </row>
    <row r="375" spans="1:14" x14ac:dyDescent="0.3">
      <c r="A375" s="158" t="s">
        <v>11</v>
      </c>
      <c r="B375" s="158" t="str">
        <f t="shared" si="5"/>
        <v>AEME - Noir</v>
      </c>
      <c r="C375" s="159" t="s">
        <v>349</v>
      </c>
      <c r="D375" s="160" t="s">
        <v>554</v>
      </c>
      <c r="E375" s="161">
        <v>0</v>
      </c>
      <c r="F375" s="161">
        <v>0.1</v>
      </c>
      <c r="G375" s="162">
        <v>15</v>
      </c>
      <c r="H375" s="400">
        <v>0.41666666666666669</v>
      </c>
      <c r="I375" s="164">
        <v>8.52</v>
      </c>
      <c r="J375" s="168"/>
      <c r="K375" s="168"/>
      <c r="L375" s="168"/>
      <c r="M375" s="168"/>
      <c r="N375" s="168">
        <v>2</v>
      </c>
    </row>
    <row r="376" spans="1:14" x14ac:dyDescent="0.3">
      <c r="A376" s="158" t="s">
        <v>11</v>
      </c>
      <c r="B376" s="158" t="str">
        <f t="shared" si="5"/>
        <v>AEME - Noir+1 Blanc</v>
      </c>
      <c r="C376" s="159" t="s">
        <v>349</v>
      </c>
      <c r="D376" s="160" t="s">
        <v>556</v>
      </c>
      <c r="E376" s="161">
        <v>0</v>
      </c>
      <c r="F376" s="161">
        <v>0.1</v>
      </c>
      <c r="G376" s="162">
        <v>15</v>
      </c>
      <c r="H376" s="400">
        <v>0.41666666666666669</v>
      </c>
      <c r="I376" s="164">
        <v>10.11</v>
      </c>
      <c r="J376" s="168"/>
      <c r="K376" s="168"/>
      <c r="L376" s="168"/>
      <c r="M376" s="168"/>
      <c r="N376" s="168">
        <v>4</v>
      </c>
    </row>
    <row r="377" spans="1:14" x14ac:dyDescent="0.3">
      <c r="A377" s="158" t="s">
        <v>11</v>
      </c>
      <c r="B377" s="158" t="str">
        <f t="shared" si="5"/>
        <v>AEME - Noir+2 Blancs</v>
      </c>
      <c r="C377" s="159" t="s">
        <v>349</v>
      </c>
      <c r="D377" s="160" t="s">
        <v>562</v>
      </c>
      <c r="E377" s="161">
        <v>0.33299999999999996</v>
      </c>
      <c r="F377" s="161">
        <v>0.1</v>
      </c>
      <c r="G377" s="162">
        <v>15</v>
      </c>
      <c r="H377" s="400">
        <v>0.41666666666666669</v>
      </c>
      <c r="I377" s="164">
        <v>10.65</v>
      </c>
      <c r="J377" s="168"/>
      <c r="K377" s="168"/>
      <c r="L377" s="168"/>
      <c r="M377" s="168"/>
      <c r="N377" s="168">
        <v>6</v>
      </c>
    </row>
    <row r="378" spans="1:14" x14ac:dyDescent="0.3">
      <c r="A378" s="158" t="s">
        <v>11</v>
      </c>
      <c r="B378" s="158" t="str">
        <f t="shared" si="5"/>
        <v>AEME - 2 Couleurs</v>
      </c>
      <c r="C378" s="159" t="s">
        <v>349</v>
      </c>
      <c r="D378" s="160" t="s">
        <v>575</v>
      </c>
      <c r="E378" s="161">
        <v>0</v>
      </c>
      <c r="F378" s="161">
        <v>0.1</v>
      </c>
      <c r="G378" s="162">
        <v>15</v>
      </c>
      <c r="H378" s="400">
        <v>0.41666666666666669</v>
      </c>
      <c r="I378" s="164">
        <v>8.52</v>
      </c>
      <c r="J378" s="168"/>
      <c r="K378" s="168"/>
      <c r="L378" s="168"/>
      <c r="M378" s="168"/>
      <c r="N378" s="168">
        <v>4</v>
      </c>
    </row>
    <row r="379" spans="1:14" x14ac:dyDescent="0.3">
      <c r="A379" s="158" t="s">
        <v>11</v>
      </c>
      <c r="B379" s="158" t="str">
        <f t="shared" si="5"/>
        <v>AEME - 2 Couleurs+1 Blanc</v>
      </c>
      <c r="C379" s="159" t="s">
        <v>349</v>
      </c>
      <c r="D379" s="160" t="s">
        <v>577</v>
      </c>
      <c r="E379" s="161">
        <v>0.33299999999999996</v>
      </c>
      <c r="F379" s="161">
        <v>0.1</v>
      </c>
      <c r="G379" s="162">
        <v>15</v>
      </c>
      <c r="H379" s="400">
        <v>0.41666666666666669</v>
      </c>
      <c r="I379" s="164">
        <v>9.58</v>
      </c>
      <c r="J379" s="168"/>
      <c r="K379" s="168"/>
      <c r="L379" s="168"/>
      <c r="M379" s="168"/>
      <c r="N379" s="168">
        <v>6</v>
      </c>
    </row>
    <row r="380" spans="1:14" x14ac:dyDescent="0.3">
      <c r="A380" s="158" t="s">
        <v>11</v>
      </c>
      <c r="B380" s="158" t="str">
        <f t="shared" si="5"/>
        <v>AEME - 2 Couleurs+2 Blancs</v>
      </c>
      <c r="C380" s="159" t="s">
        <v>349</v>
      </c>
      <c r="D380" s="160" t="s">
        <v>583</v>
      </c>
      <c r="E380" s="161">
        <v>0.5</v>
      </c>
      <c r="F380" s="161">
        <v>0.1</v>
      </c>
      <c r="G380" s="162">
        <v>15</v>
      </c>
      <c r="H380" s="400">
        <v>0.41666666666666669</v>
      </c>
      <c r="I380" s="164">
        <v>10.11</v>
      </c>
      <c r="J380" s="168"/>
      <c r="K380" s="168"/>
      <c r="L380" s="168"/>
      <c r="M380" s="168"/>
      <c r="N380" s="168">
        <v>8</v>
      </c>
    </row>
    <row r="381" spans="1:14" x14ac:dyDescent="0.3">
      <c r="A381" s="158" t="s">
        <v>11</v>
      </c>
      <c r="B381" s="158" t="str">
        <f t="shared" si="5"/>
        <v>AEME - 2 Blancs</v>
      </c>
      <c r="C381" s="159" t="s">
        <v>349</v>
      </c>
      <c r="D381" s="160" t="s">
        <v>591</v>
      </c>
      <c r="E381" s="161">
        <v>0</v>
      </c>
      <c r="F381" s="161">
        <v>0.1</v>
      </c>
      <c r="G381" s="162">
        <v>15</v>
      </c>
      <c r="H381" s="400">
        <v>0.41666666666666669</v>
      </c>
      <c r="I381" s="164">
        <v>11.71</v>
      </c>
      <c r="J381" s="168"/>
      <c r="K381" s="168"/>
      <c r="L381" s="168"/>
      <c r="M381" s="168"/>
      <c r="N381" s="168">
        <v>4</v>
      </c>
    </row>
    <row r="382" spans="1:14" x14ac:dyDescent="0.3">
      <c r="A382" s="158" t="s">
        <v>11</v>
      </c>
      <c r="B382" s="158" t="str">
        <f t="shared" si="5"/>
        <v>AEME - 3 Couleurs</v>
      </c>
      <c r="C382" s="159" t="s">
        <v>349</v>
      </c>
      <c r="D382" s="160" t="s">
        <v>596</v>
      </c>
      <c r="E382" s="161">
        <v>0.33299999999999996</v>
      </c>
      <c r="F382" s="161">
        <v>0.1</v>
      </c>
      <c r="G382" s="162">
        <v>15</v>
      </c>
      <c r="H382" s="400">
        <v>0.41666666666666669</v>
      </c>
      <c r="I382" s="164">
        <v>8.52</v>
      </c>
      <c r="J382" s="168"/>
      <c r="K382" s="168"/>
      <c r="L382" s="168"/>
      <c r="M382" s="168"/>
      <c r="N382" s="168">
        <v>6</v>
      </c>
    </row>
    <row r="383" spans="1:14" x14ac:dyDescent="0.3">
      <c r="A383" s="158" t="s">
        <v>11</v>
      </c>
      <c r="B383" s="158" t="str">
        <f t="shared" si="5"/>
        <v>AEME - 3 Couleurs+1 Blanc</v>
      </c>
      <c r="C383" s="159" t="s">
        <v>349</v>
      </c>
      <c r="D383" s="160" t="s">
        <v>598</v>
      </c>
      <c r="E383" s="161">
        <v>0.5</v>
      </c>
      <c r="F383" s="161">
        <v>0.1</v>
      </c>
      <c r="G383" s="162">
        <v>15</v>
      </c>
      <c r="H383" s="400">
        <v>0.41666666666666669</v>
      </c>
      <c r="I383" s="164">
        <v>9.31</v>
      </c>
      <c r="J383" s="168"/>
      <c r="K383" s="168"/>
      <c r="L383" s="168"/>
      <c r="M383" s="168"/>
      <c r="N383" s="168">
        <v>8</v>
      </c>
    </row>
    <row r="384" spans="1:14" x14ac:dyDescent="0.3">
      <c r="A384" s="158" t="s">
        <v>11</v>
      </c>
      <c r="B384" s="158" t="str">
        <f t="shared" si="5"/>
        <v>AEME - 3 Couleurs+2 Blancs</v>
      </c>
      <c r="C384" s="159" t="s">
        <v>349</v>
      </c>
      <c r="D384" s="160" t="s">
        <v>604</v>
      </c>
      <c r="E384" s="161">
        <v>0.6</v>
      </c>
      <c r="F384" s="161">
        <v>0.1</v>
      </c>
      <c r="G384" s="162">
        <v>15</v>
      </c>
      <c r="H384" s="400">
        <v>0.41666666666666669</v>
      </c>
      <c r="I384" s="164">
        <v>9.7899999999999991</v>
      </c>
      <c r="J384" s="168"/>
      <c r="K384" s="168"/>
      <c r="L384" s="168"/>
      <c r="M384" s="168"/>
      <c r="N384" s="168">
        <v>10</v>
      </c>
    </row>
    <row r="385" spans="1:14" x14ac:dyDescent="0.3">
      <c r="A385" s="158" t="s">
        <v>11</v>
      </c>
      <c r="B385" s="158" t="str">
        <f t="shared" si="5"/>
        <v>AEME - 4 Couleurs</v>
      </c>
      <c r="C385" s="159" t="s">
        <v>349</v>
      </c>
      <c r="D385" s="160" t="s">
        <v>33</v>
      </c>
      <c r="E385" s="161">
        <v>0.5</v>
      </c>
      <c r="F385" s="161">
        <v>0.1</v>
      </c>
      <c r="G385" s="162">
        <v>15</v>
      </c>
      <c r="H385" s="400">
        <v>0.41666666666666669</v>
      </c>
      <c r="I385" s="164">
        <v>8.52</v>
      </c>
      <c r="J385" s="168"/>
      <c r="K385" s="168"/>
      <c r="L385" s="168"/>
      <c r="M385" s="168"/>
      <c r="N385" s="168">
        <v>8</v>
      </c>
    </row>
    <row r="386" spans="1:14" x14ac:dyDescent="0.3">
      <c r="A386" s="158" t="s">
        <v>11</v>
      </c>
      <c r="B386" s="158" t="str">
        <f t="shared" si="5"/>
        <v>AEME - 4 Couleurs+1 Blanc</v>
      </c>
      <c r="C386" s="159" t="s">
        <v>349</v>
      </c>
      <c r="D386" s="160" t="s">
        <v>613</v>
      </c>
      <c r="E386" s="161">
        <v>0.6</v>
      </c>
      <c r="F386" s="161">
        <v>0.1</v>
      </c>
      <c r="G386" s="162">
        <v>15</v>
      </c>
      <c r="H386" s="400">
        <v>0.41666666666666669</v>
      </c>
      <c r="I386" s="164">
        <v>9.15</v>
      </c>
      <c r="J386" s="168"/>
      <c r="K386" s="168"/>
      <c r="L386" s="168"/>
      <c r="M386" s="168"/>
      <c r="N386" s="168">
        <v>10</v>
      </c>
    </row>
    <row r="387" spans="1:14" x14ac:dyDescent="0.3">
      <c r="A387" s="158" t="s">
        <v>11</v>
      </c>
      <c r="B387" s="158" t="str">
        <f t="shared" ref="B387:B402" si="6">A387&amp;" - "&amp;D387</f>
        <v>AEME - 4 Couleurs+2 Blancs</v>
      </c>
      <c r="C387" s="159" t="s">
        <v>349</v>
      </c>
      <c r="D387" s="160" t="s">
        <v>619</v>
      </c>
      <c r="E387" s="161">
        <v>0.66700000000000004</v>
      </c>
      <c r="F387" s="161">
        <v>0.1</v>
      </c>
      <c r="G387" s="162">
        <v>15</v>
      </c>
      <c r="H387" s="400">
        <v>0.41666666666666669</v>
      </c>
      <c r="I387" s="164">
        <v>9.58</v>
      </c>
      <c r="J387" s="168"/>
      <c r="K387" s="168"/>
      <c r="L387" s="168"/>
      <c r="M387" s="168"/>
      <c r="N387" s="168">
        <v>12</v>
      </c>
    </row>
    <row r="388" spans="1:14" x14ac:dyDescent="0.3">
      <c r="A388" s="158" t="s">
        <v>11</v>
      </c>
      <c r="B388" s="158" t="str">
        <f t="shared" si="6"/>
        <v>AEME - 5 Couleurs</v>
      </c>
      <c r="C388" s="159" t="s">
        <v>349</v>
      </c>
      <c r="D388" s="160" t="s">
        <v>627</v>
      </c>
      <c r="E388" s="161">
        <v>0.6</v>
      </c>
      <c r="F388" s="161">
        <v>0.1</v>
      </c>
      <c r="G388" s="162">
        <v>15</v>
      </c>
      <c r="H388" s="400">
        <v>0.41666666666666669</v>
      </c>
      <c r="I388" s="164">
        <v>8.52</v>
      </c>
      <c r="J388" s="168"/>
      <c r="K388" s="168"/>
      <c r="L388" s="168"/>
      <c r="M388" s="168"/>
      <c r="N388" s="168">
        <v>10</v>
      </c>
    </row>
    <row r="389" spans="1:14" x14ac:dyDescent="0.3">
      <c r="A389" s="158" t="s">
        <v>11</v>
      </c>
      <c r="B389" s="158" t="str">
        <f t="shared" si="6"/>
        <v>AEME - 5 Couleurs+1 Blanc</v>
      </c>
      <c r="C389" s="159" t="s">
        <v>349</v>
      </c>
      <c r="D389" s="160" t="s">
        <v>629</v>
      </c>
      <c r="E389" s="161">
        <v>0.66700000000000004</v>
      </c>
      <c r="F389" s="161">
        <v>0.1</v>
      </c>
      <c r="G389" s="162">
        <v>15</v>
      </c>
      <c r="H389" s="400">
        <v>0.41666666666666669</v>
      </c>
      <c r="I389" s="164">
        <v>9.0500000000000007</v>
      </c>
      <c r="J389" s="168"/>
      <c r="K389" s="168"/>
      <c r="L389" s="168"/>
      <c r="M389" s="168"/>
      <c r="N389" s="168">
        <v>12</v>
      </c>
    </row>
    <row r="390" spans="1:14" x14ac:dyDescent="0.3">
      <c r="A390" s="158" t="s">
        <v>11</v>
      </c>
      <c r="B390" s="158" t="str">
        <f t="shared" si="6"/>
        <v>AEME - 5 Couleurs+2 Blancs</v>
      </c>
      <c r="C390" s="159" t="s">
        <v>349</v>
      </c>
      <c r="D390" s="160" t="s">
        <v>635</v>
      </c>
      <c r="E390" s="161">
        <v>0.71400000000000008</v>
      </c>
      <c r="F390" s="161">
        <v>0.1</v>
      </c>
      <c r="G390" s="162">
        <v>15</v>
      </c>
      <c r="H390" s="400">
        <v>0.41666666666666669</v>
      </c>
      <c r="I390" s="164">
        <v>9.43</v>
      </c>
      <c r="J390" s="168"/>
      <c r="K390" s="168"/>
      <c r="L390" s="168"/>
      <c r="M390" s="168"/>
      <c r="N390" s="168">
        <v>14</v>
      </c>
    </row>
    <row r="391" spans="1:14" x14ac:dyDescent="0.3">
      <c r="A391" s="158" t="s">
        <v>11</v>
      </c>
      <c r="B391" s="158" t="str">
        <f t="shared" si="6"/>
        <v>AEME - 6 Couleurs</v>
      </c>
      <c r="C391" s="159" t="s">
        <v>349</v>
      </c>
      <c r="D391" s="160" t="s">
        <v>641</v>
      </c>
      <c r="E391" s="161">
        <v>0.66700000000000004</v>
      </c>
      <c r="F391" s="161">
        <v>0.1</v>
      </c>
      <c r="G391" s="162">
        <v>15</v>
      </c>
      <c r="H391" s="400">
        <v>0.41666666666666669</v>
      </c>
      <c r="I391" s="164">
        <v>8.52</v>
      </c>
      <c r="J391" s="168"/>
      <c r="K391" s="168"/>
      <c r="L391" s="168"/>
      <c r="M391" s="168"/>
      <c r="N391" s="168">
        <v>12</v>
      </c>
    </row>
    <row r="392" spans="1:14" x14ac:dyDescent="0.3">
      <c r="A392" s="158" t="s">
        <v>11</v>
      </c>
      <c r="B392" s="158" t="str">
        <f t="shared" si="6"/>
        <v>AEME - 6 Couleurs+1 Blanc</v>
      </c>
      <c r="C392" s="159" t="s">
        <v>349</v>
      </c>
      <c r="D392" s="160" t="s">
        <v>643</v>
      </c>
      <c r="E392" s="161">
        <v>0.71400000000000008</v>
      </c>
      <c r="F392" s="161">
        <v>0.1</v>
      </c>
      <c r="G392" s="162">
        <v>15</v>
      </c>
      <c r="H392" s="400">
        <v>0.41666666666666669</v>
      </c>
      <c r="I392" s="164">
        <v>8.9700000000000006</v>
      </c>
      <c r="J392" s="168"/>
      <c r="K392" s="168"/>
      <c r="L392" s="168"/>
      <c r="M392" s="168"/>
      <c r="N392" s="168">
        <v>14</v>
      </c>
    </row>
    <row r="393" spans="1:14" x14ac:dyDescent="0.3">
      <c r="A393" s="158" t="s">
        <v>11</v>
      </c>
      <c r="B393" s="158" t="str">
        <f t="shared" si="6"/>
        <v>AEME - 6 Couleurs+2 Blancs</v>
      </c>
      <c r="C393" s="159" t="s">
        <v>349</v>
      </c>
      <c r="D393" s="160" t="s">
        <v>648</v>
      </c>
      <c r="E393" s="161">
        <v>0.75</v>
      </c>
      <c r="F393" s="161">
        <v>0.1</v>
      </c>
      <c r="G393" s="162">
        <v>15</v>
      </c>
      <c r="H393" s="400">
        <v>0.41666666666666669</v>
      </c>
      <c r="I393" s="164">
        <v>9.31</v>
      </c>
      <c r="J393" s="168"/>
      <c r="K393" s="168"/>
      <c r="L393" s="168"/>
      <c r="M393" s="168"/>
      <c r="N393" s="168">
        <v>16</v>
      </c>
    </row>
    <row r="394" spans="1:14" x14ac:dyDescent="0.3">
      <c r="A394" s="158" t="s">
        <v>11</v>
      </c>
      <c r="B394" s="158" t="str">
        <f t="shared" si="6"/>
        <v>AEME - 7 Couleurs</v>
      </c>
      <c r="C394" s="159" t="s">
        <v>349</v>
      </c>
      <c r="D394" s="160" t="s">
        <v>653</v>
      </c>
      <c r="E394" s="161">
        <v>0.71400000000000008</v>
      </c>
      <c r="F394" s="161">
        <v>0.1</v>
      </c>
      <c r="G394" s="162">
        <v>15</v>
      </c>
      <c r="H394" s="400">
        <v>0.41666666666666669</v>
      </c>
      <c r="I394" s="164">
        <v>8.52</v>
      </c>
      <c r="J394" s="168"/>
      <c r="K394" s="168"/>
      <c r="L394" s="168"/>
      <c r="M394" s="168"/>
      <c r="N394" s="168">
        <v>14</v>
      </c>
    </row>
    <row r="395" spans="1:14" x14ac:dyDescent="0.3">
      <c r="A395" s="158" t="s">
        <v>11</v>
      </c>
      <c r="B395" s="158" t="str">
        <f t="shared" si="6"/>
        <v>AEME - 7 Couleurs+1 Blanc</v>
      </c>
      <c r="C395" s="159" t="s">
        <v>349</v>
      </c>
      <c r="D395" s="160" t="s">
        <v>655</v>
      </c>
      <c r="E395" s="161">
        <v>0.75</v>
      </c>
      <c r="F395" s="161">
        <v>0.1</v>
      </c>
      <c r="G395" s="162">
        <v>15</v>
      </c>
      <c r="H395" s="400">
        <v>0.41666666666666669</v>
      </c>
      <c r="I395" s="164">
        <v>8.91</v>
      </c>
      <c r="J395" s="168"/>
      <c r="K395" s="168"/>
      <c r="L395" s="168"/>
      <c r="M395" s="168"/>
      <c r="N395" s="168">
        <v>16</v>
      </c>
    </row>
    <row r="396" spans="1:14" x14ac:dyDescent="0.3">
      <c r="A396" s="158" t="s">
        <v>11</v>
      </c>
      <c r="B396" s="158" t="str">
        <f t="shared" si="6"/>
        <v>AEME - 7 Couleurs+2 Blancs</v>
      </c>
      <c r="C396" s="159" t="s">
        <v>349</v>
      </c>
      <c r="D396" s="160" t="s">
        <v>659</v>
      </c>
      <c r="E396" s="161">
        <v>0.77800000000000002</v>
      </c>
      <c r="F396" s="161">
        <v>0.1</v>
      </c>
      <c r="G396" s="162">
        <v>15</v>
      </c>
      <c r="H396" s="400">
        <v>0.41666666666666669</v>
      </c>
      <c r="I396" s="164">
        <v>9.23</v>
      </c>
      <c r="J396" s="168"/>
      <c r="K396" s="168"/>
      <c r="L396" s="168"/>
      <c r="M396" s="168"/>
      <c r="N396" s="168">
        <v>18</v>
      </c>
    </row>
    <row r="397" spans="1:14" x14ac:dyDescent="0.3">
      <c r="A397" s="158" t="s">
        <v>11</v>
      </c>
      <c r="B397" s="158" t="str">
        <f t="shared" si="6"/>
        <v>AEME - 8 Couleurs</v>
      </c>
      <c r="C397" s="159" t="s">
        <v>349</v>
      </c>
      <c r="D397" s="160" t="s">
        <v>669</v>
      </c>
      <c r="E397" s="161">
        <v>0.75</v>
      </c>
      <c r="F397" s="161">
        <v>0.1</v>
      </c>
      <c r="G397" s="162">
        <v>15</v>
      </c>
      <c r="H397" s="400">
        <v>0.41666666666666669</v>
      </c>
      <c r="I397" s="164">
        <v>8.52</v>
      </c>
      <c r="J397" s="168"/>
      <c r="K397" s="168"/>
      <c r="L397" s="168"/>
      <c r="M397" s="168"/>
      <c r="N397" s="168">
        <v>16</v>
      </c>
    </row>
    <row r="398" spans="1:14" x14ac:dyDescent="0.3">
      <c r="A398" s="158" t="s">
        <v>11</v>
      </c>
      <c r="B398" s="158" t="str">
        <f t="shared" si="6"/>
        <v>AEME - 8 Couleurs+1 Blanc</v>
      </c>
      <c r="C398" s="159" t="s">
        <v>349</v>
      </c>
      <c r="D398" s="160" t="s">
        <v>663</v>
      </c>
      <c r="E398" s="161">
        <v>0.77800000000000002</v>
      </c>
      <c r="F398" s="161">
        <v>0.1</v>
      </c>
      <c r="G398" s="162">
        <v>15</v>
      </c>
      <c r="H398" s="400">
        <v>0.41666666666666669</v>
      </c>
      <c r="I398" s="164">
        <v>8.8699999999999992</v>
      </c>
      <c r="J398" s="168"/>
      <c r="K398" s="168"/>
      <c r="L398" s="168"/>
      <c r="M398" s="168"/>
      <c r="N398" s="168">
        <v>18</v>
      </c>
    </row>
    <row r="399" spans="1:14" x14ac:dyDescent="0.3">
      <c r="A399" s="158" t="s">
        <v>11</v>
      </c>
      <c r="B399" s="158" t="str">
        <f t="shared" si="6"/>
        <v>AEME - 8 Couleurs+2 Blancs</v>
      </c>
      <c r="C399" s="159" t="s">
        <v>349</v>
      </c>
      <c r="D399" s="160" t="s">
        <v>666</v>
      </c>
      <c r="E399" s="161">
        <v>0.8</v>
      </c>
      <c r="F399" s="161">
        <v>0.1</v>
      </c>
      <c r="G399" s="162">
        <v>15</v>
      </c>
      <c r="H399" s="400">
        <v>0.41666666666666669</v>
      </c>
      <c r="I399" s="164">
        <v>9.15</v>
      </c>
      <c r="J399" s="168"/>
      <c r="K399" s="168"/>
      <c r="L399" s="168"/>
      <c r="M399" s="168"/>
      <c r="N399" s="168">
        <v>20</v>
      </c>
    </row>
    <row r="400" spans="1:14" x14ac:dyDescent="0.3">
      <c r="A400" s="158" t="s">
        <v>11</v>
      </c>
      <c r="B400" s="158" t="str">
        <f t="shared" si="6"/>
        <v>AEME - 9 Couleurs</v>
      </c>
      <c r="C400" s="159" t="s">
        <v>349</v>
      </c>
      <c r="D400" s="160" t="s">
        <v>670</v>
      </c>
      <c r="E400" s="161">
        <v>0.77800000000000002</v>
      </c>
      <c r="F400" s="161">
        <v>0.1</v>
      </c>
      <c r="G400" s="162">
        <v>15</v>
      </c>
      <c r="H400" s="400">
        <v>0.41666666666666669</v>
      </c>
      <c r="I400" s="164">
        <v>8.52</v>
      </c>
      <c r="J400" s="168"/>
      <c r="K400" s="168"/>
      <c r="L400" s="168"/>
      <c r="M400" s="168"/>
      <c r="N400" s="168">
        <v>18</v>
      </c>
    </row>
    <row r="401" spans="1:14" x14ac:dyDescent="0.3">
      <c r="A401" s="158" t="s">
        <v>11</v>
      </c>
      <c r="B401" s="158" t="str">
        <f t="shared" si="6"/>
        <v>AEME - 9 Couleurs+1 Blanc</v>
      </c>
      <c r="C401" s="159" t="s">
        <v>349</v>
      </c>
      <c r="D401" s="160" t="s">
        <v>671</v>
      </c>
      <c r="E401" s="161">
        <v>0.8</v>
      </c>
      <c r="F401" s="161">
        <v>0.1</v>
      </c>
      <c r="G401" s="162">
        <v>15</v>
      </c>
      <c r="H401" s="400">
        <v>0.41666666666666669</v>
      </c>
      <c r="I401" s="164">
        <v>8.83</v>
      </c>
      <c r="J401" s="168"/>
      <c r="K401" s="168"/>
      <c r="L401" s="168"/>
      <c r="M401" s="168"/>
      <c r="N401" s="168">
        <v>20</v>
      </c>
    </row>
    <row r="402" spans="1:14" x14ac:dyDescent="0.3">
      <c r="A402" s="158" t="s">
        <v>11</v>
      </c>
      <c r="B402" s="158" t="str">
        <f t="shared" si="6"/>
        <v>AEME - 9 Couleurs+2 Blancs</v>
      </c>
      <c r="C402" s="159" t="s">
        <v>349</v>
      </c>
      <c r="D402" s="160" t="s">
        <v>673</v>
      </c>
      <c r="E402" s="161">
        <v>0.81799999999999995</v>
      </c>
      <c r="F402" s="161">
        <v>0.1</v>
      </c>
      <c r="G402" s="162">
        <v>15</v>
      </c>
      <c r="H402" s="400">
        <v>0.41666666666666669</v>
      </c>
      <c r="I402" s="164">
        <v>9.1</v>
      </c>
      <c r="J402" s="168"/>
      <c r="K402" s="168"/>
      <c r="L402" s="168"/>
      <c r="M402" s="168"/>
      <c r="N402" s="168">
        <v>22</v>
      </c>
    </row>
    <row r="403" spans="1:14" x14ac:dyDescent="0.3">
      <c r="A403" s="158" t="s">
        <v>674</v>
      </c>
      <c r="B403" s="158" t="str">
        <f t="shared" ref="B403:B466" si="7">A403&amp;" - "&amp;D403</f>
        <v>MD CERM - Noir</v>
      </c>
      <c r="C403" s="159" t="s">
        <v>349</v>
      </c>
      <c r="D403" s="160" t="s">
        <v>554</v>
      </c>
      <c r="E403" s="301">
        <v>0</v>
      </c>
      <c r="F403" s="161">
        <v>0.1</v>
      </c>
      <c r="G403" s="162">
        <v>15</v>
      </c>
      <c r="H403" s="400">
        <v>0.41666666666666669</v>
      </c>
      <c r="I403" s="164">
        <v>8.52</v>
      </c>
      <c r="J403" s="168"/>
      <c r="K403" s="168"/>
      <c r="L403" s="168"/>
      <c r="M403" s="168"/>
      <c r="N403" s="168">
        <v>2</v>
      </c>
    </row>
    <row r="404" spans="1:14" x14ac:dyDescent="0.3">
      <c r="A404" s="158" t="s">
        <v>674</v>
      </c>
      <c r="B404" s="158" t="str">
        <f t="shared" si="7"/>
        <v>MD CERM - Noir+1 Silver</v>
      </c>
      <c r="C404" s="159" t="s">
        <v>349</v>
      </c>
      <c r="D404" s="160" t="s">
        <v>555</v>
      </c>
      <c r="E404" s="301">
        <v>0</v>
      </c>
      <c r="F404" s="161">
        <v>0.1</v>
      </c>
      <c r="G404" s="162">
        <v>15</v>
      </c>
      <c r="H404" s="400">
        <v>0.41666666666666669</v>
      </c>
      <c r="I404" s="164">
        <v>28.75</v>
      </c>
      <c r="J404" s="168"/>
      <c r="K404" s="168"/>
      <c r="L404" s="168"/>
      <c r="M404" s="168"/>
      <c r="N404" s="168">
        <v>4</v>
      </c>
    </row>
    <row r="405" spans="1:14" x14ac:dyDescent="0.3">
      <c r="A405" s="158" t="s">
        <v>674</v>
      </c>
      <c r="B405" s="158" t="str">
        <f t="shared" si="7"/>
        <v>MD CERM - Noir+1 Blanc</v>
      </c>
      <c r="C405" s="159" t="s">
        <v>349</v>
      </c>
      <c r="D405" s="160" t="s">
        <v>556</v>
      </c>
      <c r="E405" s="301">
        <v>0</v>
      </c>
      <c r="F405" s="161">
        <v>0.1</v>
      </c>
      <c r="G405" s="162">
        <v>15</v>
      </c>
      <c r="H405" s="400">
        <v>0.41666666666666669</v>
      </c>
      <c r="I405" s="164">
        <v>10.11</v>
      </c>
      <c r="J405" s="168"/>
      <c r="K405" s="168"/>
      <c r="L405" s="168"/>
      <c r="M405" s="168"/>
      <c r="N405" s="168">
        <v>4</v>
      </c>
    </row>
    <row r="406" spans="1:14" x14ac:dyDescent="0.3">
      <c r="A406" s="158" t="s">
        <v>674</v>
      </c>
      <c r="B406" s="158" t="str">
        <f t="shared" si="7"/>
        <v>MD CERM - Noir+1 Blanc+1 Silver</v>
      </c>
      <c r="C406" s="159" t="s">
        <v>349</v>
      </c>
      <c r="D406" s="160" t="s">
        <v>557</v>
      </c>
      <c r="E406" s="301">
        <v>0.33299999999999996</v>
      </c>
      <c r="F406" s="161">
        <v>0.1</v>
      </c>
      <c r="G406" s="162">
        <v>15</v>
      </c>
      <c r="H406" s="400">
        <v>0.41666666666666669</v>
      </c>
      <c r="I406" s="164">
        <v>23.07</v>
      </c>
      <c r="J406" s="168"/>
      <c r="K406" s="168"/>
      <c r="L406" s="168"/>
      <c r="M406" s="168"/>
      <c r="N406" s="168">
        <v>6</v>
      </c>
    </row>
    <row r="407" spans="1:14" x14ac:dyDescent="0.3">
      <c r="A407" s="158" t="s">
        <v>674</v>
      </c>
      <c r="B407" s="158" t="str">
        <f t="shared" si="7"/>
        <v>MD CERM - Noir+1 Blanc+2 Silvers</v>
      </c>
      <c r="C407" s="159" t="s">
        <v>349</v>
      </c>
      <c r="D407" s="160" t="s">
        <v>558</v>
      </c>
      <c r="E407" s="301">
        <v>0.5</v>
      </c>
      <c r="F407" s="161">
        <v>0.1</v>
      </c>
      <c r="G407" s="162">
        <v>15</v>
      </c>
      <c r="H407" s="400">
        <v>0.41666666666666669</v>
      </c>
      <c r="I407" s="164">
        <v>29.55</v>
      </c>
      <c r="J407" s="168"/>
      <c r="K407" s="168"/>
      <c r="L407" s="168"/>
      <c r="M407" s="168"/>
      <c r="N407" s="168">
        <v>8</v>
      </c>
    </row>
    <row r="408" spans="1:14" x14ac:dyDescent="0.3">
      <c r="A408" s="158" t="s">
        <v>674</v>
      </c>
      <c r="B408" s="158" t="str">
        <f t="shared" si="7"/>
        <v>MD CERM - Noir+1 Blanc+3 Silvers</v>
      </c>
      <c r="C408" s="159" t="s">
        <v>349</v>
      </c>
      <c r="D408" s="160" t="s">
        <v>559</v>
      </c>
      <c r="E408" s="301">
        <v>0.6</v>
      </c>
      <c r="F408" s="161">
        <v>0.1</v>
      </c>
      <c r="G408" s="162">
        <v>15</v>
      </c>
      <c r="H408" s="400">
        <v>0.41666666666666669</v>
      </c>
      <c r="I408" s="164">
        <v>33.44</v>
      </c>
      <c r="J408" s="168"/>
      <c r="K408" s="168"/>
      <c r="L408" s="168"/>
      <c r="M408" s="168"/>
      <c r="N408" s="168">
        <v>10</v>
      </c>
    </row>
    <row r="409" spans="1:14" x14ac:dyDescent="0.3">
      <c r="A409" s="158" t="s">
        <v>674</v>
      </c>
      <c r="B409" s="158" t="str">
        <f t="shared" si="7"/>
        <v>MD CERM - Noir+1 Blanc+4 Silvers</v>
      </c>
      <c r="C409" s="159" t="s">
        <v>349</v>
      </c>
      <c r="D409" s="160" t="s">
        <v>560</v>
      </c>
      <c r="E409" s="301">
        <v>0.66700000000000004</v>
      </c>
      <c r="F409" s="161">
        <v>0.1</v>
      </c>
      <c r="G409" s="162">
        <v>15</v>
      </c>
      <c r="H409" s="400">
        <v>0.41666666666666669</v>
      </c>
      <c r="I409" s="164">
        <v>36.03</v>
      </c>
      <c r="J409" s="168"/>
      <c r="K409" s="168"/>
      <c r="L409" s="168"/>
      <c r="M409" s="168"/>
      <c r="N409" s="168">
        <v>12</v>
      </c>
    </row>
    <row r="410" spans="1:14" x14ac:dyDescent="0.3">
      <c r="A410" s="158" t="s">
        <v>674</v>
      </c>
      <c r="B410" s="158" t="str">
        <f t="shared" si="7"/>
        <v>MD CERM - Noir+2 Silvers</v>
      </c>
      <c r="C410" s="159" t="s">
        <v>349</v>
      </c>
      <c r="D410" s="160" t="s">
        <v>561</v>
      </c>
      <c r="E410" s="301">
        <v>0.33299999999999996</v>
      </c>
      <c r="F410" s="161">
        <v>0.1</v>
      </c>
      <c r="G410" s="162">
        <v>15</v>
      </c>
      <c r="H410" s="400">
        <v>0.41666666666666669</v>
      </c>
      <c r="I410" s="164">
        <v>35.5</v>
      </c>
      <c r="J410" s="168"/>
      <c r="K410" s="168"/>
      <c r="L410" s="168"/>
      <c r="M410" s="168"/>
      <c r="N410" s="168">
        <v>6</v>
      </c>
    </row>
    <row r="411" spans="1:14" x14ac:dyDescent="0.3">
      <c r="A411" s="158" t="s">
        <v>674</v>
      </c>
      <c r="B411" s="158" t="str">
        <f t="shared" si="7"/>
        <v>MD CERM - Noir+2 Blancs</v>
      </c>
      <c r="C411" s="159" t="s">
        <v>349</v>
      </c>
      <c r="D411" s="160" t="s">
        <v>562</v>
      </c>
      <c r="E411" s="301">
        <v>0.33299999999999996</v>
      </c>
      <c r="F411" s="161">
        <v>0.1</v>
      </c>
      <c r="G411" s="162">
        <v>15</v>
      </c>
      <c r="H411" s="400">
        <v>0.41666666666666669</v>
      </c>
      <c r="I411" s="164">
        <v>10.65</v>
      </c>
      <c r="J411" s="168"/>
      <c r="K411" s="168"/>
      <c r="L411" s="168"/>
      <c r="M411" s="168"/>
      <c r="N411" s="168">
        <v>6</v>
      </c>
    </row>
    <row r="412" spans="1:14" x14ac:dyDescent="0.3">
      <c r="A412" s="158" t="s">
        <v>674</v>
      </c>
      <c r="B412" s="158" t="str">
        <f t="shared" si="7"/>
        <v>MD CERM - Noir+2 Blancs+1 Silver</v>
      </c>
      <c r="C412" s="159" t="s">
        <v>349</v>
      </c>
      <c r="D412" s="160" t="s">
        <v>563</v>
      </c>
      <c r="E412" s="301">
        <v>0.5</v>
      </c>
      <c r="F412" s="161">
        <v>0.1</v>
      </c>
      <c r="G412" s="162">
        <v>15</v>
      </c>
      <c r="H412" s="400">
        <v>0.41666666666666669</v>
      </c>
      <c r="I412" s="164">
        <v>20.23</v>
      </c>
      <c r="J412" s="168"/>
      <c r="K412" s="168"/>
      <c r="L412" s="168"/>
      <c r="M412" s="168"/>
      <c r="N412" s="168">
        <v>8</v>
      </c>
    </row>
    <row r="413" spans="1:14" x14ac:dyDescent="0.3">
      <c r="A413" s="158" t="s">
        <v>674</v>
      </c>
      <c r="B413" s="158" t="str">
        <f t="shared" si="7"/>
        <v>MD CERM - Noir+2 Blancs+2 Silvers</v>
      </c>
      <c r="C413" s="159" t="s">
        <v>349</v>
      </c>
      <c r="D413" s="160" t="s">
        <v>564</v>
      </c>
      <c r="E413" s="301">
        <v>0.6</v>
      </c>
      <c r="F413" s="161">
        <v>0.1</v>
      </c>
      <c r="G413" s="162">
        <v>15</v>
      </c>
      <c r="H413" s="400">
        <v>0.41666666666666669</v>
      </c>
      <c r="I413" s="164">
        <v>25.98</v>
      </c>
      <c r="J413" s="168"/>
      <c r="K413" s="168"/>
      <c r="L413" s="168"/>
      <c r="M413" s="168"/>
      <c r="N413" s="168">
        <v>10</v>
      </c>
    </row>
    <row r="414" spans="1:14" x14ac:dyDescent="0.3">
      <c r="A414" s="158" t="s">
        <v>674</v>
      </c>
      <c r="B414" s="158" t="str">
        <f t="shared" si="7"/>
        <v>MD CERM - Noir+2 Blancs+3 Silvers</v>
      </c>
      <c r="C414" s="159" t="s">
        <v>349</v>
      </c>
      <c r="D414" s="160" t="s">
        <v>565</v>
      </c>
      <c r="E414" s="301">
        <v>0.66700000000000004</v>
      </c>
      <c r="F414" s="161">
        <v>0.1</v>
      </c>
      <c r="G414" s="162">
        <v>15</v>
      </c>
      <c r="H414" s="400">
        <v>0.41666666666666669</v>
      </c>
      <c r="I414" s="164">
        <v>29.82</v>
      </c>
      <c r="J414" s="168"/>
      <c r="K414" s="168"/>
      <c r="L414" s="168"/>
      <c r="M414" s="168"/>
      <c r="N414" s="168">
        <v>12</v>
      </c>
    </row>
    <row r="415" spans="1:14" x14ac:dyDescent="0.3">
      <c r="A415" s="158" t="s">
        <v>674</v>
      </c>
      <c r="B415" s="158" t="str">
        <f t="shared" si="7"/>
        <v>MD CERM - Noir+2 Blancs+4 Silvers</v>
      </c>
      <c r="C415" s="159" t="s">
        <v>349</v>
      </c>
      <c r="D415" s="160" t="s">
        <v>566</v>
      </c>
      <c r="E415" s="301">
        <v>0.71400000000000008</v>
      </c>
      <c r="F415" s="161">
        <v>0.1</v>
      </c>
      <c r="G415" s="162">
        <v>15</v>
      </c>
      <c r="H415" s="400">
        <v>0.41666666666666669</v>
      </c>
      <c r="I415" s="164">
        <v>32.549999999999997</v>
      </c>
      <c r="J415" s="168"/>
      <c r="K415" s="168"/>
      <c r="L415" s="168"/>
      <c r="M415" s="168"/>
      <c r="N415" s="168">
        <v>14</v>
      </c>
    </row>
    <row r="416" spans="1:14" x14ac:dyDescent="0.3">
      <c r="A416" s="158" t="s">
        <v>674</v>
      </c>
      <c r="B416" s="158" t="str">
        <f t="shared" si="7"/>
        <v>MD CERM - Noir+3 Silvers</v>
      </c>
      <c r="C416" s="159" t="s">
        <v>349</v>
      </c>
      <c r="D416" s="160" t="s">
        <v>567</v>
      </c>
      <c r="E416" s="301">
        <v>0.5</v>
      </c>
      <c r="F416" s="161">
        <v>0.1</v>
      </c>
      <c r="G416" s="162">
        <v>15</v>
      </c>
      <c r="H416" s="400">
        <v>0.41666666666666669</v>
      </c>
      <c r="I416" s="164">
        <v>38.869999999999997</v>
      </c>
      <c r="J416" s="168"/>
      <c r="K416" s="168"/>
      <c r="L416" s="168"/>
      <c r="M416" s="168"/>
      <c r="N416" s="168">
        <v>8</v>
      </c>
    </row>
    <row r="417" spans="1:14" x14ac:dyDescent="0.3">
      <c r="A417" s="158" t="s">
        <v>674</v>
      </c>
      <c r="B417" s="158" t="str">
        <f t="shared" si="7"/>
        <v>MD CERM - Noir+4 Silvers</v>
      </c>
      <c r="C417" s="159" t="s">
        <v>349</v>
      </c>
      <c r="D417" s="160" t="s">
        <v>568</v>
      </c>
      <c r="E417" s="301">
        <v>0.6</v>
      </c>
      <c r="F417" s="161">
        <v>0.1</v>
      </c>
      <c r="G417" s="162">
        <v>15</v>
      </c>
      <c r="H417" s="400">
        <v>0.41666666666666669</v>
      </c>
      <c r="I417" s="164">
        <v>40.89</v>
      </c>
      <c r="J417" s="168"/>
      <c r="K417" s="168"/>
      <c r="L417" s="168"/>
      <c r="M417" s="168"/>
      <c r="N417" s="168">
        <v>10</v>
      </c>
    </row>
    <row r="418" spans="1:14" x14ac:dyDescent="0.3">
      <c r="A418" s="158" t="s">
        <v>674</v>
      </c>
      <c r="B418" s="158" t="str">
        <f t="shared" si="7"/>
        <v>MD CERM - 1 Silver</v>
      </c>
      <c r="C418" s="159" t="s">
        <v>349</v>
      </c>
      <c r="D418" s="160" t="s">
        <v>569</v>
      </c>
      <c r="E418" s="301">
        <v>0</v>
      </c>
      <c r="F418" s="161">
        <v>0.1</v>
      </c>
      <c r="G418" s="162">
        <v>15</v>
      </c>
      <c r="H418" s="400">
        <v>0.41666666666666669</v>
      </c>
      <c r="I418" s="164">
        <v>48.99</v>
      </c>
      <c r="J418" s="168"/>
      <c r="K418" s="168"/>
      <c r="L418" s="168"/>
      <c r="M418" s="168"/>
      <c r="N418" s="168">
        <v>2</v>
      </c>
    </row>
    <row r="419" spans="1:14" x14ac:dyDescent="0.3">
      <c r="A419" s="158" t="s">
        <v>674</v>
      </c>
      <c r="B419" s="158" t="str">
        <f t="shared" si="7"/>
        <v>MD CERM - 1 Blanc</v>
      </c>
      <c r="C419" s="159" t="s">
        <v>349</v>
      </c>
      <c r="D419" s="160" t="s">
        <v>570</v>
      </c>
      <c r="E419" s="301">
        <v>0</v>
      </c>
      <c r="F419" s="161">
        <v>0.1</v>
      </c>
      <c r="G419" s="162">
        <v>15</v>
      </c>
      <c r="H419" s="400">
        <v>0.41666666666666669</v>
      </c>
      <c r="I419" s="164">
        <v>11.71</v>
      </c>
      <c r="J419" s="168"/>
      <c r="K419" s="168"/>
      <c r="L419" s="168"/>
      <c r="M419" s="168"/>
      <c r="N419" s="168">
        <v>2</v>
      </c>
    </row>
    <row r="420" spans="1:14" x14ac:dyDescent="0.3">
      <c r="A420" s="158" t="s">
        <v>674</v>
      </c>
      <c r="B420" s="158" t="str">
        <f t="shared" si="7"/>
        <v>MD CERM - 1 Blanc+1 Silver</v>
      </c>
      <c r="C420" s="159" t="s">
        <v>349</v>
      </c>
      <c r="D420" s="160" t="s">
        <v>571</v>
      </c>
      <c r="E420" s="301">
        <v>0</v>
      </c>
      <c r="F420" s="161">
        <v>0.1</v>
      </c>
      <c r="G420" s="162">
        <v>15</v>
      </c>
      <c r="H420" s="400">
        <v>0.41666666666666669</v>
      </c>
      <c r="I420" s="164">
        <v>30.35</v>
      </c>
      <c r="J420" s="168"/>
      <c r="K420" s="168"/>
      <c r="L420" s="168"/>
      <c r="M420" s="168"/>
      <c r="N420" s="168">
        <v>4</v>
      </c>
    </row>
    <row r="421" spans="1:14" x14ac:dyDescent="0.3">
      <c r="A421" s="158" t="s">
        <v>674</v>
      </c>
      <c r="B421" s="158" t="str">
        <f t="shared" si="7"/>
        <v>MD CERM - 1 Blanc+2 Silvers</v>
      </c>
      <c r="C421" s="159" t="s">
        <v>349</v>
      </c>
      <c r="D421" s="160" t="s">
        <v>572</v>
      </c>
      <c r="E421" s="301">
        <v>0.33299999999999996</v>
      </c>
      <c r="F421" s="161">
        <v>0.1</v>
      </c>
      <c r="G421" s="162">
        <v>15</v>
      </c>
      <c r="H421" s="400">
        <v>0.41666666666666669</v>
      </c>
      <c r="I421" s="164">
        <v>36.56</v>
      </c>
      <c r="J421" s="168"/>
      <c r="K421" s="168"/>
      <c r="L421" s="168"/>
      <c r="M421" s="168"/>
      <c r="N421" s="168">
        <v>6</v>
      </c>
    </row>
    <row r="422" spans="1:14" x14ac:dyDescent="0.3">
      <c r="A422" s="158" t="s">
        <v>674</v>
      </c>
      <c r="B422" s="158" t="str">
        <f t="shared" si="7"/>
        <v>MD CERM - 1 Blanc+3 Silvers</v>
      </c>
      <c r="C422" s="159" t="s">
        <v>349</v>
      </c>
      <c r="D422" s="160" t="s">
        <v>573</v>
      </c>
      <c r="E422" s="301">
        <v>0.5</v>
      </c>
      <c r="F422" s="161">
        <v>0.1</v>
      </c>
      <c r="G422" s="162">
        <v>15</v>
      </c>
      <c r="H422" s="400">
        <v>0.41666666666666669</v>
      </c>
      <c r="I422" s="164">
        <v>39.67</v>
      </c>
      <c r="J422" s="168"/>
      <c r="K422" s="168"/>
      <c r="L422" s="168"/>
      <c r="M422" s="168"/>
      <c r="N422" s="168">
        <v>8</v>
      </c>
    </row>
    <row r="423" spans="1:14" x14ac:dyDescent="0.3">
      <c r="A423" s="158" t="s">
        <v>674</v>
      </c>
      <c r="B423" s="158" t="str">
        <f t="shared" si="7"/>
        <v>MD CERM - 1 Blanc+4 Silvers</v>
      </c>
      <c r="C423" s="159" t="s">
        <v>349</v>
      </c>
      <c r="D423" s="160" t="s">
        <v>574</v>
      </c>
      <c r="E423" s="301">
        <v>0.6</v>
      </c>
      <c r="F423" s="161">
        <v>0.1</v>
      </c>
      <c r="G423" s="162">
        <v>15</v>
      </c>
      <c r="H423" s="400">
        <v>0.41666666666666669</v>
      </c>
      <c r="I423" s="164">
        <v>41.53</v>
      </c>
      <c r="J423" s="168"/>
      <c r="K423" s="168"/>
      <c r="L423" s="168"/>
      <c r="M423" s="168"/>
      <c r="N423" s="168">
        <v>10</v>
      </c>
    </row>
    <row r="424" spans="1:14" x14ac:dyDescent="0.3">
      <c r="A424" s="158" t="s">
        <v>674</v>
      </c>
      <c r="B424" s="158" t="str">
        <f t="shared" si="7"/>
        <v>MD CERM - 2 Couleurs</v>
      </c>
      <c r="C424" s="159" t="s">
        <v>349</v>
      </c>
      <c r="D424" s="160" t="s">
        <v>575</v>
      </c>
      <c r="E424" s="301">
        <v>0</v>
      </c>
      <c r="F424" s="161">
        <v>0.1</v>
      </c>
      <c r="G424" s="162">
        <v>15</v>
      </c>
      <c r="H424" s="400">
        <v>0.41666666666666669</v>
      </c>
      <c r="I424" s="164">
        <v>8.52</v>
      </c>
      <c r="J424" s="168"/>
      <c r="K424" s="168"/>
      <c r="L424" s="168"/>
      <c r="M424" s="168"/>
      <c r="N424" s="168">
        <v>4</v>
      </c>
    </row>
    <row r="425" spans="1:14" x14ac:dyDescent="0.3">
      <c r="A425" s="158" t="s">
        <v>674</v>
      </c>
      <c r="B425" s="158" t="str">
        <f t="shared" si="7"/>
        <v>MD CERM - 2 Couleurs+1 Silver</v>
      </c>
      <c r="C425" s="159" t="s">
        <v>349</v>
      </c>
      <c r="D425" s="160" t="s">
        <v>576</v>
      </c>
      <c r="E425" s="301">
        <v>0.33299999999999996</v>
      </c>
      <c r="F425" s="161">
        <v>0.1</v>
      </c>
      <c r="G425" s="162">
        <v>15</v>
      </c>
      <c r="H425" s="400">
        <v>0.41666666666666669</v>
      </c>
      <c r="I425" s="164">
        <v>22.01</v>
      </c>
      <c r="J425" s="168"/>
      <c r="K425" s="168"/>
      <c r="L425" s="168"/>
      <c r="M425" s="168"/>
      <c r="N425" s="168">
        <v>6</v>
      </c>
    </row>
    <row r="426" spans="1:14" x14ac:dyDescent="0.3">
      <c r="A426" s="158" t="s">
        <v>674</v>
      </c>
      <c r="B426" s="158" t="str">
        <f t="shared" si="7"/>
        <v>MD CERM - 2 Couleurs+1 Blanc</v>
      </c>
      <c r="C426" s="159" t="s">
        <v>349</v>
      </c>
      <c r="D426" s="160" t="s">
        <v>577</v>
      </c>
      <c r="E426" s="301">
        <v>0.33299999999999996</v>
      </c>
      <c r="F426" s="161">
        <v>0.1</v>
      </c>
      <c r="G426" s="162">
        <v>15</v>
      </c>
      <c r="H426" s="400">
        <v>0.41666666666666669</v>
      </c>
      <c r="I426" s="164">
        <v>9.58</v>
      </c>
      <c r="J426" s="168"/>
      <c r="K426" s="168"/>
      <c r="L426" s="168"/>
      <c r="M426" s="168"/>
      <c r="N426" s="168">
        <v>6</v>
      </c>
    </row>
    <row r="427" spans="1:14" ht="24" x14ac:dyDescent="0.3">
      <c r="A427" s="158" t="s">
        <v>674</v>
      </c>
      <c r="B427" s="158" t="str">
        <f t="shared" si="7"/>
        <v>MD CERM - 2 Couleurs+1 Blanc+1 Silver</v>
      </c>
      <c r="C427" s="159" t="s">
        <v>349</v>
      </c>
      <c r="D427" s="160" t="s">
        <v>578</v>
      </c>
      <c r="E427" s="301">
        <v>0.5</v>
      </c>
      <c r="F427" s="161">
        <v>0.1</v>
      </c>
      <c r="G427" s="162">
        <v>15</v>
      </c>
      <c r="H427" s="400">
        <v>0.41666666666666669</v>
      </c>
      <c r="I427" s="164">
        <v>19.43</v>
      </c>
      <c r="J427" s="168"/>
      <c r="K427" s="168"/>
      <c r="L427" s="168"/>
      <c r="M427" s="168"/>
      <c r="N427" s="168">
        <v>8</v>
      </c>
    </row>
    <row r="428" spans="1:14" ht="24" x14ac:dyDescent="0.3">
      <c r="A428" s="158" t="s">
        <v>674</v>
      </c>
      <c r="B428" s="158" t="str">
        <f t="shared" si="7"/>
        <v>MD CERM - 2 Couleurs+1 Blanc+2 Silvers</v>
      </c>
      <c r="C428" s="159" t="s">
        <v>349</v>
      </c>
      <c r="D428" s="160" t="s">
        <v>579</v>
      </c>
      <c r="E428" s="301">
        <v>0.6</v>
      </c>
      <c r="F428" s="161">
        <v>0.1</v>
      </c>
      <c r="G428" s="162">
        <v>15</v>
      </c>
      <c r="H428" s="400">
        <v>0.41666666666666669</v>
      </c>
      <c r="I428" s="164">
        <v>25.34</v>
      </c>
      <c r="J428" s="168"/>
      <c r="K428" s="168"/>
      <c r="L428" s="168"/>
      <c r="M428" s="168"/>
      <c r="N428" s="168">
        <v>10</v>
      </c>
    </row>
    <row r="429" spans="1:14" ht="24" x14ac:dyDescent="0.3">
      <c r="A429" s="158" t="s">
        <v>674</v>
      </c>
      <c r="B429" s="158" t="str">
        <f t="shared" si="7"/>
        <v>MD CERM - 2 Couleurs+1 Blanc+3 Silvers</v>
      </c>
      <c r="C429" s="159" t="s">
        <v>349</v>
      </c>
      <c r="D429" s="160" t="s">
        <v>580</v>
      </c>
      <c r="E429" s="301">
        <v>0.66700000000000004</v>
      </c>
      <c r="F429" s="161">
        <v>0.1</v>
      </c>
      <c r="G429" s="162">
        <v>15</v>
      </c>
      <c r="H429" s="400">
        <v>0.41666666666666669</v>
      </c>
      <c r="I429" s="164">
        <v>29.28</v>
      </c>
      <c r="J429" s="168"/>
      <c r="K429" s="168"/>
      <c r="L429" s="168"/>
      <c r="M429" s="168"/>
      <c r="N429" s="168">
        <v>12</v>
      </c>
    </row>
    <row r="430" spans="1:14" ht="24" x14ac:dyDescent="0.3">
      <c r="A430" s="158" t="s">
        <v>674</v>
      </c>
      <c r="B430" s="158" t="str">
        <f t="shared" si="7"/>
        <v>MD CERM - 2 Couleurs+1 Blanc+4 Silvers</v>
      </c>
      <c r="C430" s="159" t="s">
        <v>349</v>
      </c>
      <c r="D430" s="160" t="s">
        <v>581</v>
      </c>
      <c r="E430" s="301">
        <v>0.71400000000000008</v>
      </c>
      <c r="F430" s="161">
        <v>0.1</v>
      </c>
      <c r="G430" s="162">
        <v>15</v>
      </c>
      <c r="H430" s="400">
        <v>0.41666666666666669</v>
      </c>
      <c r="I430" s="164">
        <v>32.1</v>
      </c>
      <c r="J430" s="168"/>
      <c r="K430" s="168"/>
      <c r="L430" s="168"/>
      <c r="M430" s="168"/>
      <c r="N430" s="168">
        <v>14</v>
      </c>
    </row>
    <row r="431" spans="1:14" x14ac:dyDescent="0.3">
      <c r="A431" s="158" t="s">
        <v>674</v>
      </c>
      <c r="B431" s="158" t="str">
        <f t="shared" si="7"/>
        <v>MD CERM - 2 Couleurs+2 Silvers</v>
      </c>
      <c r="C431" s="159" t="s">
        <v>349</v>
      </c>
      <c r="D431" s="160" t="s">
        <v>582</v>
      </c>
      <c r="E431" s="301">
        <v>0.5</v>
      </c>
      <c r="F431" s="161">
        <v>0.1</v>
      </c>
      <c r="G431" s="162">
        <v>15</v>
      </c>
      <c r="H431" s="400">
        <v>0.41666666666666669</v>
      </c>
      <c r="I431" s="164">
        <v>28.75</v>
      </c>
      <c r="J431" s="168"/>
      <c r="K431" s="168"/>
      <c r="L431" s="168"/>
      <c r="M431" s="168"/>
      <c r="N431" s="168">
        <v>8</v>
      </c>
    </row>
    <row r="432" spans="1:14" x14ac:dyDescent="0.3">
      <c r="A432" s="158" t="s">
        <v>674</v>
      </c>
      <c r="B432" s="158" t="str">
        <f t="shared" si="7"/>
        <v>MD CERM - 2 Couleurs+2 Blancs</v>
      </c>
      <c r="C432" s="159" t="s">
        <v>349</v>
      </c>
      <c r="D432" s="160" t="s">
        <v>583</v>
      </c>
      <c r="E432" s="301">
        <v>0.5</v>
      </c>
      <c r="F432" s="161">
        <v>0.1</v>
      </c>
      <c r="G432" s="162">
        <v>15</v>
      </c>
      <c r="H432" s="400">
        <v>0.41666666666666669</v>
      </c>
      <c r="I432" s="164">
        <v>10.11</v>
      </c>
      <c r="J432" s="168"/>
      <c r="K432" s="168"/>
      <c r="L432" s="168"/>
      <c r="M432" s="168"/>
      <c r="N432" s="168">
        <v>8</v>
      </c>
    </row>
    <row r="433" spans="1:14" ht="24" x14ac:dyDescent="0.3">
      <c r="A433" s="158" t="s">
        <v>674</v>
      </c>
      <c r="B433" s="158" t="str">
        <f t="shared" si="7"/>
        <v>MD CERM - 2 Couleurs+2 Blancs+1 Silver</v>
      </c>
      <c r="C433" s="159" t="s">
        <v>349</v>
      </c>
      <c r="D433" s="160" t="s">
        <v>584</v>
      </c>
      <c r="E433" s="301">
        <v>0.6</v>
      </c>
      <c r="F433" s="161">
        <v>0.1</v>
      </c>
      <c r="G433" s="162">
        <v>15</v>
      </c>
      <c r="H433" s="400">
        <v>0.41666666666666669</v>
      </c>
      <c r="I433" s="164">
        <v>17.89</v>
      </c>
      <c r="J433" s="168"/>
      <c r="K433" s="168"/>
      <c r="L433" s="168"/>
      <c r="M433" s="168"/>
      <c r="N433" s="168">
        <v>10</v>
      </c>
    </row>
    <row r="434" spans="1:14" ht="24" x14ac:dyDescent="0.3">
      <c r="A434" s="158" t="s">
        <v>674</v>
      </c>
      <c r="B434" s="158" t="str">
        <f t="shared" si="7"/>
        <v>MD CERM - 2 Couleurs+2 Blancs+2 Silvers</v>
      </c>
      <c r="C434" s="159" t="s">
        <v>349</v>
      </c>
      <c r="D434" s="160" t="s">
        <v>585</v>
      </c>
      <c r="E434" s="301">
        <v>0.66700000000000004</v>
      </c>
      <c r="F434" s="161">
        <v>0.1</v>
      </c>
      <c r="G434" s="162">
        <v>15</v>
      </c>
      <c r="H434" s="400">
        <v>0.41666666666666669</v>
      </c>
      <c r="I434" s="164">
        <v>23.07</v>
      </c>
      <c r="J434" s="168"/>
      <c r="K434" s="168"/>
      <c r="L434" s="168"/>
      <c r="M434" s="168"/>
      <c r="N434" s="168">
        <v>12</v>
      </c>
    </row>
    <row r="435" spans="1:14" ht="24" x14ac:dyDescent="0.3">
      <c r="A435" s="158" t="s">
        <v>674</v>
      </c>
      <c r="B435" s="158" t="str">
        <f t="shared" si="7"/>
        <v>MD CERM - 2 Couleurs+2 Blancs+3 Silvers</v>
      </c>
      <c r="C435" s="159" t="s">
        <v>349</v>
      </c>
      <c r="D435" s="160" t="s">
        <v>586</v>
      </c>
      <c r="E435" s="301">
        <v>0.71400000000000008</v>
      </c>
      <c r="F435" s="161">
        <v>0.1</v>
      </c>
      <c r="G435" s="162">
        <v>15</v>
      </c>
      <c r="H435" s="400">
        <v>0.41666666666666669</v>
      </c>
      <c r="I435" s="164">
        <v>26.77</v>
      </c>
      <c r="J435" s="168"/>
      <c r="K435" s="168"/>
      <c r="L435" s="168"/>
      <c r="M435" s="168"/>
      <c r="N435" s="168">
        <v>14</v>
      </c>
    </row>
    <row r="436" spans="1:14" ht="24" x14ac:dyDescent="0.3">
      <c r="A436" s="158" t="s">
        <v>674</v>
      </c>
      <c r="B436" s="158" t="str">
        <f t="shared" si="7"/>
        <v>MD CERM - 2 Couleurs+2 Blancs+4 Silvers</v>
      </c>
      <c r="C436" s="159" t="s">
        <v>349</v>
      </c>
      <c r="D436" s="160" t="s">
        <v>587</v>
      </c>
      <c r="E436" s="301">
        <v>0.75</v>
      </c>
      <c r="F436" s="161">
        <v>0.1</v>
      </c>
      <c r="G436" s="162">
        <v>15</v>
      </c>
      <c r="H436" s="400">
        <v>0.41666666666666669</v>
      </c>
      <c r="I436" s="164">
        <v>29.55</v>
      </c>
      <c r="J436" s="168"/>
      <c r="K436" s="168"/>
      <c r="L436" s="168"/>
      <c r="M436" s="168"/>
      <c r="N436" s="168">
        <v>16</v>
      </c>
    </row>
    <row r="437" spans="1:14" x14ac:dyDescent="0.3">
      <c r="A437" s="158" t="s">
        <v>674</v>
      </c>
      <c r="B437" s="158" t="str">
        <f t="shared" si="7"/>
        <v>MD CERM - 2 Couleurs+3 Silvers</v>
      </c>
      <c r="C437" s="159" t="s">
        <v>349</v>
      </c>
      <c r="D437" s="160" t="s">
        <v>588</v>
      </c>
      <c r="E437" s="301">
        <v>0.6</v>
      </c>
      <c r="F437" s="161">
        <v>0.1</v>
      </c>
      <c r="G437" s="162">
        <v>15</v>
      </c>
      <c r="H437" s="400">
        <v>0.41666666666666669</v>
      </c>
      <c r="I437" s="164">
        <v>32.799999999999997</v>
      </c>
      <c r="J437" s="168"/>
      <c r="K437" s="168"/>
      <c r="L437" s="168"/>
      <c r="M437" s="168"/>
      <c r="N437" s="168">
        <v>10</v>
      </c>
    </row>
    <row r="438" spans="1:14" x14ac:dyDescent="0.3">
      <c r="A438" s="158" t="s">
        <v>674</v>
      </c>
      <c r="B438" s="158" t="str">
        <f t="shared" si="7"/>
        <v>MD CERM - 2 Couleurs+4 Silvers</v>
      </c>
      <c r="C438" s="159" t="s">
        <v>349</v>
      </c>
      <c r="D438" s="160" t="s">
        <v>589</v>
      </c>
      <c r="E438" s="301">
        <v>0.66700000000000004</v>
      </c>
      <c r="F438" s="161">
        <v>0.1</v>
      </c>
      <c r="G438" s="162">
        <v>15</v>
      </c>
      <c r="H438" s="400">
        <v>0.41666666666666669</v>
      </c>
      <c r="I438" s="164">
        <v>35.5</v>
      </c>
      <c r="J438" s="168"/>
      <c r="K438" s="168"/>
      <c r="L438" s="168"/>
      <c r="M438" s="168"/>
      <c r="N438" s="168">
        <v>12</v>
      </c>
    </row>
    <row r="439" spans="1:14" x14ac:dyDescent="0.3">
      <c r="A439" s="158" t="s">
        <v>674</v>
      </c>
      <c r="B439" s="158" t="str">
        <f t="shared" si="7"/>
        <v>MD CERM - 2 Silvers</v>
      </c>
      <c r="C439" s="159" t="s">
        <v>349</v>
      </c>
      <c r="D439" s="160" t="s">
        <v>590</v>
      </c>
      <c r="E439" s="301">
        <v>0</v>
      </c>
      <c r="F439" s="161">
        <v>0.1</v>
      </c>
      <c r="G439" s="162">
        <v>15</v>
      </c>
      <c r="H439" s="400">
        <v>0.41666666666666669</v>
      </c>
      <c r="I439" s="164">
        <v>48.99</v>
      </c>
      <c r="J439" s="168"/>
      <c r="K439" s="168"/>
      <c r="L439" s="168"/>
      <c r="M439" s="168"/>
      <c r="N439" s="168">
        <v>4</v>
      </c>
    </row>
    <row r="440" spans="1:14" x14ac:dyDescent="0.3">
      <c r="A440" s="158" t="s">
        <v>674</v>
      </c>
      <c r="B440" s="158" t="str">
        <f t="shared" si="7"/>
        <v>MD CERM - 2 Blancs</v>
      </c>
      <c r="C440" s="159" t="s">
        <v>349</v>
      </c>
      <c r="D440" s="160" t="s">
        <v>591</v>
      </c>
      <c r="E440" s="301">
        <v>0</v>
      </c>
      <c r="F440" s="161">
        <v>0.1</v>
      </c>
      <c r="G440" s="162">
        <v>15</v>
      </c>
      <c r="H440" s="400">
        <v>0.41666666666666669</v>
      </c>
      <c r="I440" s="164">
        <v>11.71</v>
      </c>
      <c r="J440" s="168"/>
      <c r="K440" s="168"/>
      <c r="L440" s="168"/>
      <c r="M440" s="168"/>
      <c r="N440" s="168">
        <v>4</v>
      </c>
    </row>
    <row r="441" spans="1:14" x14ac:dyDescent="0.3">
      <c r="A441" s="158" t="s">
        <v>674</v>
      </c>
      <c r="B441" s="158" t="str">
        <f t="shared" si="7"/>
        <v>MD CERM - 2 Blancs+1 Silver</v>
      </c>
      <c r="C441" s="159" t="s">
        <v>349</v>
      </c>
      <c r="D441" s="160" t="s">
        <v>592</v>
      </c>
      <c r="E441" s="301">
        <v>0.33299999999999996</v>
      </c>
      <c r="F441" s="161">
        <v>0.1</v>
      </c>
      <c r="G441" s="162">
        <v>15</v>
      </c>
      <c r="H441" s="400">
        <v>0.41666666666666669</v>
      </c>
      <c r="I441" s="164">
        <v>24.14</v>
      </c>
      <c r="J441" s="168"/>
      <c r="K441" s="168"/>
      <c r="L441" s="168"/>
      <c r="M441" s="168"/>
      <c r="N441" s="168">
        <v>6</v>
      </c>
    </row>
    <row r="442" spans="1:14" x14ac:dyDescent="0.3">
      <c r="A442" s="158" t="s">
        <v>674</v>
      </c>
      <c r="B442" s="158" t="str">
        <f t="shared" si="7"/>
        <v>MD CERM - 2 Blancs+2 Silvers</v>
      </c>
      <c r="C442" s="159" t="s">
        <v>349</v>
      </c>
      <c r="D442" s="160" t="s">
        <v>593</v>
      </c>
      <c r="E442" s="301">
        <v>0.5</v>
      </c>
      <c r="F442" s="161">
        <v>0.1</v>
      </c>
      <c r="G442" s="162">
        <v>15</v>
      </c>
      <c r="H442" s="400">
        <v>0.41666666666666669</v>
      </c>
      <c r="I442" s="164">
        <v>30.35</v>
      </c>
      <c r="J442" s="168"/>
      <c r="K442" s="168"/>
      <c r="L442" s="168"/>
      <c r="M442" s="168"/>
      <c r="N442" s="168">
        <v>8</v>
      </c>
    </row>
    <row r="443" spans="1:14" x14ac:dyDescent="0.3">
      <c r="A443" s="158" t="s">
        <v>674</v>
      </c>
      <c r="B443" s="158" t="str">
        <f t="shared" si="7"/>
        <v>MD CERM - 2 Blancs+3 Silvers</v>
      </c>
      <c r="C443" s="159" t="s">
        <v>349</v>
      </c>
      <c r="D443" s="160" t="s">
        <v>594</v>
      </c>
      <c r="E443" s="301">
        <v>0.6</v>
      </c>
      <c r="F443" s="161">
        <v>0.1</v>
      </c>
      <c r="G443" s="162">
        <v>15</v>
      </c>
      <c r="H443" s="400">
        <v>0.41666666666666669</v>
      </c>
      <c r="I443" s="164">
        <v>34.08</v>
      </c>
      <c r="J443" s="168"/>
      <c r="K443" s="168"/>
      <c r="L443" s="168"/>
      <c r="M443" s="168"/>
      <c r="N443" s="168">
        <v>10</v>
      </c>
    </row>
    <row r="444" spans="1:14" x14ac:dyDescent="0.3">
      <c r="A444" s="158" t="s">
        <v>674</v>
      </c>
      <c r="B444" s="158" t="str">
        <f t="shared" si="7"/>
        <v>MD CERM - 2 Blancs+4 Silvers</v>
      </c>
      <c r="C444" s="159" t="s">
        <v>349</v>
      </c>
      <c r="D444" s="160" t="s">
        <v>595</v>
      </c>
      <c r="E444" s="301">
        <v>0.66700000000000004</v>
      </c>
      <c r="F444" s="161">
        <v>0.1</v>
      </c>
      <c r="G444" s="162">
        <v>15</v>
      </c>
      <c r="H444" s="400">
        <v>0.41666666666666669</v>
      </c>
      <c r="I444" s="164">
        <v>36.56</v>
      </c>
      <c r="J444" s="168"/>
      <c r="K444" s="168"/>
      <c r="L444" s="168"/>
      <c r="M444" s="168"/>
      <c r="N444" s="168">
        <v>12</v>
      </c>
    </row>
    <row r="445" spans="1:14" x14ac:dyDescent="0.3">
      <c r="A445" s="158" t="s">
        <v>674</v>
      </c>
      <c r="B445" s="158" t="str">
        <f t="shared" si="7"/>
        <v>MD CERM - 3 Couleurs</v>
      </c>
      <c r="C445" s="159" t="s">
        <v>349</v>
      </c>
      <c r="D445" s="160" t="s">
        <v>596</v>
      </c>
      <c r="E445" s="301">
        <v>0.33299999999999996</v>
      </c>
      <c r="F445" s="161">
        <v>0.1</v>
      </c>
      <c r="G445" s="162">
        <v>15</v>
      </c>
      <c r="H445" s="400">
        <v>0.41666666666666669</v>
      </c>
      <c r="I445" s="164">
        <v>8.52</v>
      </c>
      <c r="J445" s="168"/>
      <c r="K445" s="168"/>
      <c r="L445" s="168"/>
      <c r="M445" s="168"/>
      <c r="N445" s="168">
        <v>6</v>
      </c>
    </row>
    <row r="446" spans="1:14" x14ac:dyDescent="0.3">
      <c r="A446" s="158" t="s">
        <v>674</v>
      </c>
      <c r="B446" s="158" t="str">
        <f t="shared" si="7"/>
        <v>MD CERM - 3 Couleurs+1 Silver</v>
      </c>
      <c r="C446" s="159" t="s">
        <v>349</v>
      </c>
      <c r="D446" s="160" t="s">
        <v>597</v>
      </c>
      <c r="E446" s="301">
        <v>0.5</v>
      </c>
      <c r="F446" s="161">
        <v>0.1</v>
      </c>
      <c r="G446" s="162">
        <v>15</v>
      </c>
      <c r="H446" s="400">
        <v>0.41666666666666669</v>
      </c>
      <c r="I446" s="164">
        <v>18.63</v>
      </c>
      <c r="J446" s="168"/>
      <c r="K446" s="168"/>
      <c r="L446" s="168"/>
      <c r="M446" s="168"/>
      <c r="N446" s="168">
        <v>8</v>
      </c>
    </row>
    <row r="447" spans="1:14" x14ac:dyDescent="0.3">
      <c r="A447" s="158" t="s">
        <v>674</v>
      </c>
      <c r="B447" s="158" t="str">
        <f t="shared" si="7"/>
        <v>MD CERM - 3 Couleurs+1 Blanc</v>
      </c>
      <c r="C447" s="159" t="s">
        <v>349</v>
      </c>
      <c r="D447" s="160" t="s">
        <v>598</v>
      </c>
      <c r="E447" s="301">
        <v>0.5</v>
      </c>
      <c r="F447" s="161">
        <v>0.1</v>
      </c>
      <c r="G447" s="162">
        <v>15</v>
      </c>
      <c r="H447" s="400">
        <v>0.41666666666666669</v>
      </c>
      <c r="I447" s="164">
        <v>9.31</v>
      </c>
      <c r="J447" s="168"/>
      <c r="K447" s="168"/>
      <c r="L447" s="168"/>
      <c r="M447" s="168"/>
      <c r="N447" s="168">
        <v>8</v>
      </c>
    </row>
    <row r="448" spans="1:14" ht="24" x14ac:dyDescent="0.3">
      <c r="A448" s="158" t="s">
        <v>674</v>
      </c>
      <c r="B448" s="158" t="str">
        <f t="shared" si="7"/>
        <v>MD CERM - 3 Couleurs+1 Blanc+1 Silver</v>
      </c>
      <c r="C448" s="159" t="s">
        <v>349</v>
      </c>
      <c r="D448" s="160" t="s">
        <v>599</v>
      </c>
      <c r="E448" s="301">
        <v>0.6</v>
      </c>
      <c r="F448" s="161">
        <v>0.1</v>
      </c>
      <c r="G448" s="162">
        <v>15</v>
      </c>
      <c r="H448" s="400">
        <v>0.41666666666666669</v>
      </c>
      <c r="I448" s="164">
        <v>17.25</v>
      </c>
      <c r="J448" s="168"/>
      <c r="K448" s="168"/>
      <c r="L448" s="168"/>
      <c r="M448" s="168"/>
      <c r="N448" s="168">
        <v>10</v>
      </c>
    </row>
    <row r="449" spans="1:14" ht="24" x14ac:dyDescent="0.3">
      <c r="A449" s="158" t="s">
        <v>674</v>
      </c>
      <c r="B449" s="158" t="str">
        <f t="shared" si="7"/>
        <v>MD CERM - 3 Couleurs+1 Blanc+2 Silvers</v>
      </c>
      <c r="C449" s="159" t="s">
        <v>349</v>
      </c>
      <c r="D449" s="160" t="s">
        <v>600</v>
      </c>
      <c r="E449" s="301">
        <v>0.66700000000000004</v>
      </c>
      <c r="F449" s="161">
        <v>0.1</v>
      </c>
      <c r="G449" s="162">
        <v>15</v>
      </c>
      <c r="H449" s="400">
        <v>0.41666666666666669</v>
      </c>
      <c r="I449" s="164">
        <v>22.54</v>
      </c>
      <c r="J449" s="168"/>
      <c r="K449" s="168"/>
      <c r="L449" s="168"/>
      <c r="M449" s="168"/>
      <c r="N449" s="168">
        <v>12</v>
      </c>
    </row>
    <row r="450" spans="1:14" ht="24" x14ac:dyDescent="0.3">
      <c r="A450" s="158" t="s">
        <v>674</v>
      </c>
      <c r="B450" s="158" t="str">
        <f t="shared" si="7"/>
        <v>MD CERM - 3 Couleurs+1 Blanc+3 Silvers</v>
      </c>
      <c r="C450" s="159" t="s">
        <v>349</v>
      </c>
      <c r="D450" s="160" t="s">
        <v>601</v>
      </c>
      <c r="E450" s="301">
        <v>0.71400000000000008</v>
      </c>
      <c r="F450" s="161">
        <v>0.1</v>
      </c>
      <c r="G450" s="162">
        <v>15</v>
      </c>
      <c r="H450" s="400">
        <v>0.41666666666666669</v>
      </c>
      <c r="I450" s="164">
        <v>26.32</v>
      </c>
      <c r="J450" s="168"/>
      <c r="K450" s="168"/>
      <c r="L450" s="168"/>
      <c r="M450" s="168"/>
      <c r="N450" s="168">
        <v>14</v>
      </c>
    </row>
    <row r="451" spans="1:14" ht="24" x14ac:dyDescent="0.3">
      <c r="A451" s="158" t="s">
        <v>674</v>
      </c>
      <c r="B451" s="158" t="str">
        <f t="shared" si="7"/>
        <v>MD CERM - 3 Couleurs+1 Blanc+4 Silvers</v>
      </c>
      <c r="C451" s="159" t="s">
        <v>349</v>
      </c>
      <c r="D451" s="160" t="s">
        <v>602</v>
      </c>
      <c r="E451" s="301">
        <v>0.75</v>
      </c>
      <c r="F451" s="161">
        <v>0.1</v>
      </c>
      <c r="G451" s="162">
        <v>15</v>
      </c>
      <c r="H451" s="400">
        <v>0.41666666666666669</v>
      </c>
      <c r="I451" s="164">
        <v>29.15</v>
      </c>
      <c r="J451" s="168"/>
      <c r="K451" s="168"/>
      <c r="L451" s="168"/>
      <c r="M451" s="168"/>
      <c r="N451" s="168">
        <v>16</v>
      </c>
    </row>
    <row r="452" spans="1:14" x14ac:dyDescent="0.3">
      <c r="A452" s="158" t="s">
        <v>674</v>
      </c>
      <c r="B452" s="158" t="str">
        <f t="shared" si="7"/>
        <v>MD CERM - 3 Couleurs+2 Silvers</v>
      </c>
      <c r="C452" s="159" t="s">
        <v>349</v>
      </c>
      <c r="D452" s="160" t="s">
        <v>603</v>
      </c>
      <c r="E452" s="301">
        <v>0.6</v>
      </c>
      <c r="F452" s="161">
        <v>0.1</v>
      </c>
      <c r="G452" s="162">
        <v>15</v>
      </c>
      <c r="H452" s="400">
        <v>0.41666666666666669</v>
      </c>
      <c r="I452" s="164">
        <v>24.7</v>
      </c>
      <c r="J452" s="168"/>
      <c r="K452" s="168"/>
      <c r="L452" s="168"/>
      <c r="M452" s="168"/>
      <c r="N452" s="168">
        <v>10</v>
      </c>
    </row>
    <row r="453" spans="1:14" x14ac:dyDescent="0.3">
      <c r="A453" s="158" t="s">
        <v>674</v>
      </c>
      <c r="B453" s="158" t="str">
        <f t="shared" si="7"/>
        <v>MD CERM - 3 Couleurs+2 Blancs</v>
      </c>
      <c r="C453" s="159" t="s">
        <v>349</v>
      </c>
      <c r="D453" s="160" t="s">
        <v>604</v>
      </c>
      <c r="E453" s="301">
        <v>0.6</v>
      </c>
      <c r="F453" s="161">
        <v>0.1</v>
      </c>
      <c r="G453" s="162">
        <v>15</v>
      </c>
      <c r="H453" s="400">
        <v>0.41666666666666669</v>
      </c>
      <c r="I453" s="164">
        <v>9.7899999999999991</v>
      </c>
      <c r="J453" s="168"/>
      <c r="K453" s="168"/>
      <c r="L453" s="168"/>
      <c r="M453" s="168"/>
      <c r="N453" s="168">
        <v>10</v>
      </c>
    </row>
    <row r="454" spans="1:14" ht="24" x14ac:dyDescent="0.3">
      <c r="A454" s="158" t="s">
        <v>674</v>
      </c>
      <c r="B454" s="158" t="str">
        <f t="shared" si="7"/>
        <v>MD CERM - 3 Couleurs+2 Blancs+1 Silver</v>
      </c>
      <c r="C454" s="159" t="s">
        <v>349</v>
      </c>
      <c r="D454" s="160" t="s">
        <v>605</v>
      </c>
      <c r="E454" s="301">
        <v>0.66700000000000004</v>
      </c>
      <c r="F454" s="161">
        <v>0.1</v>
      </c>
      <c r="G454" s="162">
        <v>15</v>
      </c>
      <c r="H454" s="400">
        <v>0.41666666666666669</v>
      </c>
      <c r="I454" s="164">
        <v>16.329999999999998</v>
      </c>
      <c r="J454" s="168"/>
      <c r="K454" s="168"/>
      <c r="L454" s="168"/>
      <c r="M454" s="168"/>
      <c r="N454" s="168">
        <v>12</v>
      </c>
    </row>
    <row r="455" spans="1:14" ht="24" x14ac:dyDescent="0.3">
      <c r="A455" s="158" t="s">
        <v>674</v>
      </c>
      <c r="B455" s="158" t="str">
        <f t="shared" si="7"/>
        <v>MD CERM - 3 Couleurs+2 Blancs+2 Silvers</v>
      </c>
      <c r="C455" s="159" t="s">
        <v>349</v>
      </c>
      <c r="D455" s="160" t="s">
        <v>606</v>
      </c>
      <c r="E455" s="301">
        <v>0.71400000000000008</v>
      </c>
      <c r="F455" s="161">
        <v>0.1</v>
      </c>
      <c r="G455" s="162">
        <v>15</v>
      </c>
      <c r="H455" s="400">
        <v>0.41666666666666669</v>
      </c>
      <c r="I455" s="164">
        <v>20.99</v>
      </c>
      <c r="J455" s="168"/>
      <c r="K455" s="168"/>
      <c r="L455" s="168"/>
      <c r="M455" s="168"/>
      <c r="N455" s="168">
        <v>14</v>
      </c>
    </row>
    <row r="456" spans="1:14" ht="24" x14ac:dyDescent="0.3">
      <c r="A456" s="158" t="s">
        <v>674</v>
      </c>
      <c r="B456" s="158" t="str">
        <f t="shared" si="7"/>
        <v>MD CERM - 3 Couleurs+2 Blancs+3 Silvers</v>
      </c>
      <c r="C456" s="159" t="s">
        <v>349</v>
      </c>
      <c r="D456" s="160" t="s">
        <v>607</v>
      </c>
      <c r="E456" s="301">
        <v>0.75</v>
      </c>
      <c r="F456" s="161">
        <v>0.1</v>
      </c>
      <c r="G456" s="162">
        <v>15</v>
      </c>
      <c r="H456" s="400">
        <v>0.41666666666666669</v>
      </c>
      <c r="I456" s="164">
        <v>24.49</v>
      </c>
      <c r="J456" s="168"/>
      <c r="K456" s="168"/>
      <c r="L456" s="168"/>
      <c r="M456" s="168"/>
      <c r="N456" s="168">
        <v>16</v>
      </c>
    </row>
    <row r="457" spans="1:14" ht="24" x14ac:dyDescent="0.3">
      <c r="A457" s="158" t="s">
        <v>674</v>
      </c>
      <c r="B457" s="158" t="str">
        <f t="shared" si="7"/>
        <v>MD CERM - 3 Couleurs+2 Blancs+4 Silvers</v>
      </c>
      <c r="C457" s="159" t="s">
        <v>349</v>
      </c>
      <c r="D457" s="160" t="s">
        <v>608</v>
      </c>
      <c r="E457" s="301">
        <v>0.77800000000000002</v>
      </c>
      <c r="F457" s="161">
        <v>0.1</v>
      </c>
      <c r="G457" s="162">
        <v>15</v>
      </c>
      <c r="H457" s="400">
        <v>0.41666666666666669</v>
      </c>
      <c r="I457" s="164">
        <v>27.21</v>
      </c>
      <c r="J457" s="168"/>
      <c r="K457" s="168"/>
      <c r="L457" s="168"/>
      <c r="M457" s="168"/>
      <c r="N457" s="168">
        <v>18</v>
      </c>
    </row>
    <row r="458" spans="1:14" x14ac:dyDescent="0.3">
      <c r="A458" s="158" t="s">
        <v>674</v>
      </c>
      <c r="B458" s="158" t="str">
        <f t="shared" si="7"/>
        <v>MD CERM - 3 Couleurs+3 Silvers</v>
      </c>
      <c r="C458" s="159" t="s">
        <v>349</v>
      </c>
      <c r="D458" s="160" t="s">
        <v>609</v>
      </c>
      <c r="E458" s="301">
        <v>0.66700000000000004</v>
      </c>
      <c r="F458" s="161">
        <v>0.1</v>
      </c>
      <c r="G458" s="162">
        <v>15</v>
      </c>
      <c r="H458" s="400">
        <v>0.41666666666666669</v>
      </c>
      <c r="I458" s="164">
        <v>28.75</v>
      </c>
      <c r="J458" s="168"/>
      <c r="K458" s="168"/>
      <c r="L458" s="168"/>
      <c r="M458" s="168"/>
      <c r="N458" s="168">
        <v>12</v>
      </c>
    </row>
    <row r="459" spans="1:14" x14ac:dyDescent="0.3">
      <c r="A459" s="158" t="s">
        <v>674</v>
      </c>
      <c r="B459" s="158" t="str">
        <f t="shared" si="7"/>
        <v>MD CERM - 3 Couleurs+4 Silvers</v>
      </c>
      <c r="C459" s="159" t="s">
        <v>349</v>
      </c>
      <c r="D459" s="160" t="s">
        <v>610</v>
      </c>
      <c r="E459" s="301">
        <v>0.71400000000000008</v>
      </c>
      <c r="F459" s="161">
        <v>0.1</v>
      </c>
      <c r="G459" s="162">
        <v>15</v>
      </c>
      <c r="H459" s="400">
        <v>0.41666666666666669</v>
      </c>
      <c r="I459" s="164">
        <v>31.64</v>
      </c>
      <c r="J459" s="168"/>
      <c r="K459" s="168"/>
      <c r="L459" s="168"/>
      <c r="M459" s="168"/>
      <c r="N459" s="168">
        <v>14</v>
      </c>
    </row>
    <row r="460" spans="1:14" x14ac:dyDescent="0.3">
      <c r="A460" s="158" t="s">
        <v>674</v>
      </c>
      <c r="B460" s="158" t="str">
        <f t="shared" si="7"/>
        <v>MD CERM - 3 Silvers</v>
      </c>
      <c r="C460" s="159" t="s">
        <v>349</v>
      </c>
      <c r="D460" s="160" t="s">
        <v>611</v>
      </c>
      <c r="E460" s="301">
        <v>0.33299999999999996</v>
      </c>
      <c r="F460" s="161">
        <v>0.1</v>
      </c>
      <c r="G460" s="162">
        <v>15</v>
      </c>
      <c r="H460" s="400">
        <v>0.41666666666666669</v>
      </c>
      <c r="I460" s="164">
        <v>48.99</v>
      </c>
      <c r="J460" s="168"/>
      <c r="K460" s="168"/>
      <c r="L460" s="168"/>
      <c r="M460" s="168"/>
      <c r="N460" s="168">
        <v>6</v>
      </c>
    </row>
    <row r="461" spans="1:14" x14ac:dyDescent="0.3">
      <c r="A461" s="158" t="s">
        <v>674</v>
      </c>
      <c r="B461" s="158" t="str">
        <f t="shared" si="7"/>
        <v>MD CERM - 4 Couleurs</v>
      </c>
      <c r="C461" s="159" t="s">
        <v>349</v>
      </c>
      <c r="D461" s="160" t="s">
        <v>33</v>
      </c>
      <c r="E461" s="301">
        <v>0.5</v>
      </c>
      <c r="F461" s="161">
        <v>0.1</v>
      </c>
      <c r="G461" s="162">
        <v>15</v>
      </c>
      <c r="H461" s="400">
        <v>0.41666666666666669</v>
      </c>
      <c r="I461" s="164">
        <v>8.52</v>
      </c>
      <c r="J461" s="168"/>
      <c r="K461" s="168"/>
      <c r="L461" s="168"/>
      <c r="M461" s="168"/>
      <c r="N461" s="168">
        <v>8</v>
      </c>
    </row>
    <row r="462" spans="1:14" x14ac:dyDescent="0.3">
      <c r="A462" s="158" t="s">
        <v>674</v>
      </c>
      <c r="B462" s="158" t="str">
        <f t="shared" si="7"/>
        <v>MD CERM - 4 Couleurs+1 Silver</v>
      </c>
      <c r="C462" s="159" t="s">
        <v>349</v>
      </c>
      <c r="D462" s="160" t="s">
        <v>612</v>
      </c>
      <c r="E462" s="301">
        <v>0.6</v>
      </c>
      <c r="F462" s="161">
        <v>0.1</v>
      </c>
      <c r="G462" s="162">
        <v>15</v>
      </c>
      <c r="H462" s="400">
        <v>0.41666666666666669</v>
      </c>
      <c r="I462" s="164">
        <v>16.61</v>
      </c>
      <c r="J462" s="168"/>
      <c r="K462" s="168"/>
      <c r="L462" s="168"/>
      <c r="M462" s="168"/>
      <c r="N462" s="168">
        <v>10</v>
      </c>
    </row>
    <row r="463" spans="1:14" x14ac:dyDescent="0.3">
      <c r="A463" s="158" t="s">
        <v>674</v>
      </c>
      <c r="B463" s="158" t="str">
        <f t="shared" si="7"/>
        <v>MD CERM - 4 Couleurs+1 Blanc</v>
      </c>
      <c r="C463" s="159" t="s">
        <v>349</v>
      </c>
      <c r="D463" s="160" t="s">
        <v>613</v>
      </c>
      <c r="E463" s="301">
        <v>0.6</v>
      </c>
      <c r="F463" s="161">
        <v>0.1</v>
      </c>
      <c r="G463" s="162">
        <v>15</v>
      </c>
      <c r="H463" s="400">
        <v>0.41666666666666669</v>
      </c>
      <c r="I463" s="164">
        <v>9.15</v>
      </c>
      <c r="J463" s="168"/>
      <c r="K463" s="168"/>
      <c r="L463" s="168"/>
      <c r="M463" s="168"/>
      <c r="N463" s="168">
        <v>10</v>
      </c>
    </row>
    <row r="464" spans="1:14" ht="24" x14ac:dyDescent="0.3">
      <c r="A464" s="158" t="s">
        <v>674</v>
      </c>
      <c r="B464" s="158" t="str">
        <f t="shared" si="7"/>
        <v>MD CERM - 4 Couleurs+1 Blanc+1 Silver</v>
      </c>
      <c r="C464" s="159" t="s">
        <v>349</v>
      </c>
      <c r="D464" s="160" t="s">
        <v>614</v>
      </c>
      <c r="E464" s="301">
        <v>0.66700000000000004</v>
      </c>
      <c r="F464" s="161">
        <v>0.1</v>
      </c>
      <c r="G464" s="162">
        <v>15</v>
      </c>
      <c r="H464" s="400">
        <v>0.41666666666666669</v>
      </c>
      <c r="I464" s="164">
        <v>15.79</v>
      </c>
      <c r="J464" s="168"/>
      <c r="K464" s="168"/>
      <c r="L464" s="168"/>
      <c r="M464" s="168"/>
      <c r="N464" s="168">
        <v>12</v>
      </c>
    </row>
    <row r="465" spans="1:14" ht="24" x14ac:dyDescent="0.3">
      <c r="A465" s="158" t="s">
        <v>674</v>
      </c>
      <c r="B465" s="158" t="str">
        <f t="shared" si="7"/>
        <v>MD CERM - 4 Couleurs+1 Blanc+2 Silvers</v>
      </c>
      <c r="C465" s="159" t="s">
        <v>349</v>
      </c>
      <c r="D465" s="160" t="s">
        <v>615</v>
      </c>
      <c r="E465" s="301">
        <v>0.71400000000000008</v>
      </c>
      <c r="F465" s="161">
        <v>0.1</v>
      </c>
      <c r="G465" s="162">
        <v>15</v>
      </c>
      <c r="H465" s="400">
        <v>0.41666666666666669</v>
      </c>
      <c r="I465" s="164">
        <v>20.53</v>
      </c>
      <c r="J465" s="168"/>
      <c r="K465" s="168"/>
      <c r="L465" s="168"/>
      <c r="M465" s="168"/>
      <c r="N465" s="168">
        <v>14</v>
      </c>
    </row>
    <row r="466" spans="1:14" ht="24" x14ac:dyDescent="0.3">
      <c r="A466" s="158" t="s">
        <v>674</v>
      </c>
      <c r="B466" s="158" t="str">
        <f t="shared" si="7"/>
        <v>MD CERM - 4 Couleurs+1 Blanc+3 Silvers</v>
      </c>
      <c r="C466" s="159" t="s">
        <v>349</v>
      </c>
      <c r="D466" s="160" t="s">
        <v>616</v>
      </c>
      <c r="E466" s="301">
        <v>0.75</v>
      </c>
      <c r="F466" s="161">
        <v>0.1</v>
      </c>
      <c r="G466" s="162">
        <v>15</v>
      </c>
      <c r="H466" s="400">
        <v>0.41666666666666669</v>
      </c>
      <c r="I466" s="164">
        <v>24.09</v>
      </c>
      <c r="J466" s="168"/>
      <c r="K466" s="168"/>
      <c r="L466" s="168"/>
      <c r="M466" s="168"/>
      <c r="N466" s="168">
        <v>16</v>
      </c>
    </row>
    <row r="467" spans="1:14" ht="24" x14ac:dyDescent="0.3">
      <c r="A467" s="158" t="s">
        <v>674</v>
      </c>
      <c r="B467" s="158" t="str">
        <f t="shared" ref="B467:B524" si="8">A467&amp;" - "&amp;D467</f>
        <v>MD CERM - 4 Couleurs+1 Blanc+4 Silvers</v>
      </c>
      <c r="C467" s="159" t="s">
        <v>349</v>
      </c>
      <c r="D467" s="160" t="s">
        <v>617</v>
      </c>
      <c r="E467" s="301">
        <v>0.77800000000000002</v>
      </c>
      <c r="F467" s="161">
        <v>0.1</v>
      </c>
      <c r="G467" s="162">
        <v>15</v>
      </c>
      <c r="H467" s="400">
        <v>0.41666666666666669</v>
      </c>
      <c r="I467" s="164">
        <v>26.86</v>
      </c>
      <c r="J467" s="168"/>
      <c r="K467" s="168"/>
      <c r="L467" s="168"/>
      <c r="M467" s="168"/>
      <c r="N467" s="168">
        <v>18</v>
      </c>
    </row>
    <row r="468" spans="1:14" x14ac:dyDescent="0.3">
      <c r="A468" s="158" t="s">
        <v>674</v>
      </c>
      <c r="B468" s="158" t="str">
        <f t="shared" si="8"/>
        <v>MD CERM - 4 Couleurs+2 Silvers</v>
      </c>
      <c r="C468" s="159" t="s">
        <v>349</v>
      </c>
      <c r="D468" s="160" t="s">
        <v>618</v>
      </c>
      <c r="E468" s="301">
        <v>0.66700000000000004</v>
      </c>
      <c r="F468" s="161">
        <v>0.1</v>
      </c>
      <c r="G468" s="162">
        <v>15</v>
      </c>
      <c r="H468" s="400">
        <v>0.41666666666666669</v>
      </c>
      <c r="I468" s="164">
        <v>22.01</v>
      </c>
      <c r="J468" s="168"/>
      <c r="K468" s="168"/>
      <c r="L468" s="168"/>
      <c r="M468" s="168"/>
      <c r="N468" s="168">
        <v>12</v>
      </c>
    </row>
    <row r="469" spans="1:14" x14ac:dyDescent="0.3">
      <c r="A469" s="158" t="s">
        <v>674</v>
      </c>
      <c r="B469" s="158" t="str">
        <f t="shared" si="8"/>
        <v>MD CERM - 4 Couleurs+2 Blancs</v>
      </c>
      <c r="C469" s="159" t="s">
        <v>349</v>
      </c>
      <c r="D469" s="160" t="s">
        <v>619</v>
      </c>
      <c r="E469" s="301">
        <v>0.66700000000000004</v>
      </c>
      <c r="F469" s="161">
        <v>0.1</v>
      </c>
      <c r="G469" s="162">
        <v>15</v>
      </c>
      <c r="H469" s="400">
        <v>0.41666666666666669</v>
      </c>
      <c r="I469" s="164">
        <v>9.58</v>
      </c>
      <c r="J469" s="168"/>
      <c r="K469" s="168"/>
      <c r="L469" s="168"/>
      <c r="M469" s="168"/>
      <c r="N469" s="168">
        <v>12</v>
      </c>
    </row>
    <row r="470" spans="1:14" ht="24" x14ac:dyDescent="0.3">
      <c r="A470" s="158" t="s">
        <v>674</v>
      </c>
      <c r="B470" s="158" t="str">
        <f t="shared" si="8"/>
        <v>MD CERM - 4 Couleurs+2 Blancs+1 Silver</v>
      </c>
      <c r="C470" s="159" t="s">
        <v>349</v>
      </c>
      <c r="D470" s="160" t="s">
        <v>620</v>
      </c>
      <c r="E470" s="301">
        <v>0.71400000000000008</v>
      </c>
      <c r="F470" s="161">
        <v>0.1</v>
      </c>
      <c r="G470" s="162">
        <v>15</v>
      </c>
      <c r="H470" s="400">
        <v>0.41666666666666669</v>
      </c>
      <c r="I470" s="164">
        <v>15.21</v>
      </c>
      <c r="J470" s="168"/>
      <c r="K470" s="168"/>
      <c r="L470" s="168"/>
      <c r="M470" s="168"/>
      <c r="N470" s="168">
        <v>14</v>
      </c>
    </row>
    <row r="471" spans="1:14" ht="24" x14ac:dyDescent="0.3">
      <c r="A471" s="158" t="s">
        <v>674</v>
      </c>
      <c r="B471" s="158" t="str">
        <f t="shared" si="8"/>
        <v>MD CERM - 4 Couleurs+2 Blancs+2 Silvers</v>
      </c>
      <c r="C471" s="159" t="s">
        <v>349</v>
      </c>
      <c r="D471" s="160" t="s">
        <v>621</v>
      </c>
      <c r="E471" s="301">
        <v>0.75</v>
      </c>
      <c r="F471" s="161">
        <v>0.1</v>
      </c>
      <c r="G471" s="162">
        <v>15</v>
      </c>
      <c r="H471" s="400">
        <v>0.41666666666666669</v>
      </c>
      <c r="I471" s="164">
        <v>19.43</v>
      </c>
      <c r="J471" s="168"/>
      <c r="K471" s="168"/>
      <c r="L471" s="168"/>
      <c r="M471" s="168"/>
      <c r="N471" s="168">
        <v>16</v>
      </c>
    </row>
    <row r="472" spans="1:14" ht="24" x14ac:dyDescent="0.3">
      <c r="A472" s="158" t="s">
        <v>674</v>
      </c>
      <c r="B472" s="158" t="str">
        <f t="shared" si="8"/>
        <v>MD CERM - 4 Couleurs+2 Blancs+3 Silvers</v>
      </c>
      <c r="C472" s="159" t="s">
        <v>349</v>
      </c>
      <c r="D472" s="160" t="s">
        <v>622</v>
      </c>
      <c r="E472" s="301">
        <v>0.77800000000000002</v>
      </c>
      <c r="F472" s="161">
        <v>0.1</v>
      </c>
      <c r="G472" s="162">
        <v>15</v>
      </c>
      <c r="H472" s="400">
        <v>0.41666666666666669</v>
      </c>
      <c r="I472" s="164">
        <v>22.72</v>
      </c>
      <c r="J472" s="168"/>
      <c r="K472" s="168"/>
      <c r="L472" s="168"/>
      <c r="M472" s="168"/>
      <c r="N472" s="168">
        <v>18</v>
      </c>
    </row>
    <row r="473" spans="1:14" ht="24" x14ac:dyDescent="0.3">
      <c r="A473" s="158" t="s">
        <v>674</v>
      </c>
      <c r="B473" s="158" t="str">
        <f t="shared" si="8"/>
        <v>MD CERM - 4 Couleurs+2 Blancs+4 Silvers</v>
      </c>
      <c r="C473" s="159" t="s">
        <v>349</v>
      </c>
      <c r="D473" s="160" t="s">
        <v>623</v>
      </c>
      <c r="E473" s="301">
        <v>0.8</v>
      </c>
      <c r="F473" s="161">
        <v>0.1</v>
      </c>
      <c r="G473" s="162">
        <v>15</v>
      </c>
      <c r="H473" s="400">
        <v>0.41666666666666669</v>
      </c>
      <c r="I473" s="164">
        <v>25.34</v>
      </c>
      <c r="J473" s="168"/>
      <c r="K473" s="168"/>
      <c r="L473" s="168"/>
      <c r="M473" s="168"/>
      <c r="N473" s="168">
        <v>20</v>
      </c>
    </row>
    <row r="474" spans="1:14" x14ac:dyDescent="0.3">
      <c r="A474" s="158" t="s">
        <v>674</v>
      </c>
      <c r="B474" s="158" t="str">
        <f t="shared" si="8"/>
        <v>MD CERM - 4 Couleurs+3 Silvers</v>
      </c>
      <c r="C474" s="159" t="s">
        <v>349</v>
      </c>
      <c r="D474" s="160" t="s">
        <v>624</v>
      </c>
      <c r="E474" s="301">
        <v>0.71400000000000008</v>
      </c>
      <c r="F474" s="161">
        <v>0.1</v>
      </c>
      <c r="G474" s="162">
        <v>15</v>
      </c>
      <c r="H474" s="400">
        <v>0.41666666666666669</v>
      </c>
      <c r="I474" s="164">
        <v>25.86</v>
      </c>
      <c r="J474" s="168"/>
      <c r="K474" s="168"/>
      <c r="L474" s="168"/>
      <c r="M474" s="168"/>
      <c r="N474" s="168">
        <v>14</v>
      </c>
    </row>
    <row r="475" spans="1:14" x14ac:dyDescent="0.3">
      <c r="A475" s="158" t="s">
        <v>674</v>
      </c>
      <c r="B475" s="158" t="str">
        <f t="shared" si="8"/>
        <v>MD CERM - 4 Couleurs+4 Silvers</v>
      </c>
      <c r="C475" s="159" t="s">
        <v>349</v>
      </c>
      <c r="D475" s="160" t="s">
        <v>625</v>
      </c>
      <c r="E475" s="301">
        <v>0.75</v>
      </c>
      <c r="F475" s="161">
        <v>0.1</v>
      </c>
      <c r="G475" s="162">
        <v>15</v>
      </c>
      <c r="H475" s="400">
        <v>0.41666666666666669</v>
      </c>
      <c r="I475" s="164">
        <v>28.75</v>
      </c>
      <c r="J475" s="168"/>
      <c r="K475" s="168"/>
      <c r="L475" s="168"/>
      <c r="M475" s="168"/>
      <c r="N475" s="168">
        <v>16</v>
      </c>
    </row>
    <row r="476" spans="1:14" x14ac:dyDescent="0.3">
      <c r="A476" s="158" t="s">
        <v>674</v>
      </c>
      <c r="B476" s="158" t="str">
        <f t="shared" si="8"/>
        <v>MD CERM - 4 Silvers</v>
      </c>
      <c r="C476" s="159" t="s">
        <v>349</v>
      </c>
      <c r="D476" s="160" t="s">
        <v>626</v>
      </c>
      <c r="E476" s="301">
        <v>0.5</v>
      </c>
      <c r="F476" s="161">
        <v>0.1</v>
      </c>
      <c r="G476" s="162">
        <v>15</v>
      </c>
      <c r="H476" s="400">
        <v>0.41666666666666669</v>
      </c>
      <c r="I476" s="164">
        <v>48.99</v>
      </c>
      <c r="J476" s="168"/>
      <c r="K476" s="168"/>
      <c r="L476" s="168"/>
      <c r="M476" s="168"/>
      <c r="N476" s="168">
        <v>8</v>
      </c>
    </row>
    <row r="477" spans="1:14" x14ac:dyDescent="0.3">
      <c r="A477" s="158" t="s">
        <v>674</v>
      </c>
      <c r="B477" s="158" t="str">
        <f t="shared" si="8"/>
        <v>MD CERM - 5 Couleurs</v>
      </c>
      <c r="C477" s="159" t="s">
        <v>349</v>
      </c>
      <c r="D477" s="160" t="s">
        <v>627</v>
      </c>
      <c r="E477" s="301">
        <v>0.6</v>
      </c>
      <c r="F477" s="161">
        <v>0.1</v>
      </c>
      <c r="G477" s="162">
        <v>15</v>
      </c>
      <c r="H477" s="400">
        <v>0.41666666666666669</v>
      </c>
      <c r="I477" s="164">
        <v>8.52</v>
      </c>
      <c r="J477" s="168"/>
      <c r="K477" s="168"/>
      <c r="L477" s="168"/>
      <c r="M477" s="168"/>
      <c r="N477" s="168">
        <v>10</v>
      </c>
    </row>
    <row r="478" spans="1:14" x14ac:dyDescent="0.3">
      <c r="A478" s="158" t="s">
        <v>674</v>
      </c>
      <c r="B478" s="158" t="str">
        <f t="shared" si="8"/>
        <v>MD CERM - 5 Couleurs+1 Silver</v>
      </c>
      <c r="C478" s="159" t="s">
        <v>349</v>
      </c>
      <c r="D478" s="160" t="s">
        <v>628</v>
      </c>
      <c r="E478" s="301">
        <v>0.66700000000000004</v>
      </c>
      <c r="F478" s="161">
        <v>0.1</v>
      </c>
      <c r="G478" s="162">
        <v>15</v>
      </c>
      <c r="H478" s="400">
        <v>0.41666666666666669</v>
      </c>
      <c r="I478" s="164">
        <v>15.26</v>
      </c>
      <c r="J478" s="168"/>
      <c r="K478" s="168"/>
      <c r="L478" s="168"/>
      <c r="M478" s="168"/>
      <c r="N478" s="168">
        <v>12</v>
      </c>
    </row>
    <row r="479" spans="1:14" x14ac:dyDescent="0.3">
      <c r="A479" s="158" t="s">
        <v>674</v>
      </c>
      <c r="B479" s="158" t="str">
        <f t="shared" si="8"/>
        <v>MD CERM - 5 Couleurs+1 Blanc</v>
      </c>
      <c r="C479" s="159" t="s">
        <v>349</v>
      </c>
      <c r="D479" s="160" t="s">
        <v>629</v>
      </c>
      <c r="E479" s="301">
        <v>0.66700000000000004</v>
      </c>
      <c r="F479" s="161">
        <v>0.1</v>
      </c>
      <c r="G479" s="162">
        <v>15</v>
      </c>
      <c r="H479" s="400">
        <v>0.41666666666666669</v>
      </c>
      <c r="I479" s="164">
        <v>9.0500000000000007</v>
      </c>
      <c r="J479" s="168"/>
      <c r="K479" s="168"/>
      <c r="L479" s="168"/>
      <c r="M479" s="168"/>
      <c r="N479" s="168">
        <v>12</v>
      </c>
    </row>
    <row r="480" spans="1:14" ht="24" x14ac:dyDescent="0.3">
      <c r="A480" s="158" t="s">
        <v>674</v>
      </c>
      <c r="B480" s="158" t="str">
        <f t="shared" si="8"/>
        <v>MD CERM - 5 Couleurs+1 Blanc+1 Silver</v>
      </c>
      <c r="C480" s="159" t="s">
        <v>349</v>
      </c>
      <c r="D480" s="160" t="s">
        <v>630</v>
      </c>
      <c r="E480" s="301">
        <v>0.71400000000000008</v>
      </c>
      <c r="F480" s="161">
        <v>0.1</v>
      </c>
      <c r="G480" s="162">
        <v>15</v>
      </c>
      <c r="H480" s="400">
        <v>0.41666666666666669</v>
      </c>
      <c r="I480" s="164">
        <v>14.75</v>
      </c>
      <c r="J480" s="168"/>
      <c r="K480" s="168"/>
      <c r="L480" s="168"/>
      <c r="M480" s="168"/>
      <c r="N480" s="168">
        <v>14</v>
      </c>
    </row>
    <row r="481" spans="1:14" ht="24" x14ac:dyDescent="0.3">
      <c r="A481" s="158" t="s">
        <v>674</v>
      </c>
      <c r="B481" s="158" t="str">
        <f t="shared" si="8"/>
        <v>MD CERM - 5 Couleurs+1 Blanc+2 Silvers</v>
      </c>
      <c r="C481" s="159" t="s">
        <v>349</v>
      </c>
      <c r="D481" s="160" t="s">
        <v>631</v>
      </c>
      <c r="E481" s="301">
        <v>0.75</v>
      </c>
      <c r="F481" s="161">
        <v>0.1</v>
      </c>
      <c r="G481" s="162">
        <v>15</v>
      </c>
      <c r="H481" s="400">
        <v>0.41666666666666669</v>
      </c>
      <c r="I481" s="164">
        <v>19.03</v>
      </c>
      <c r="J481" s="168"/>
      <c r="K481" s="168"/>
      <c r="L481" s="168"/>
      <c r="M481" s="168"/>
      <c r="N481" s="168">
        <v>16</v>
      </c>
    </row>
    <row r="482" spans="1:14" ht="24" x14ac:dyDescent="0.3">
      <c r="A482" s="158" t="s">
        <v>674</v>
      </c>
      <c r="B482" s="158" t="str">
        <f t="shared" si="8"/>
        <v>MD CERM - 5 Couleurs+1 Blanc+3 Silvers</v>
      </c>
      <c r="C482" s="159" t="s">
        <v>349</v>
      </c>
      <c r="D482" s="160" t="s">
        <v>632</v>
      </c>
      <c r="E482" s="301">
        <v>0.77800000000000002</v>
      </c>
      <c r="F482" s="161">
        <v>0.1</v>
      </c>
      <c r="G482" s="162">
        <v>15</v>
      </c>
      <c r="H482" s="400">
        <v>0.41666666666666669</v>
      </c>
      <c r="I482" s="164">
        <v>22.36</v>
      </c>
      <c r="J482" s="168"/>
      <c r="K482" s="168"/>
      <c r="L482" s="168"/>
      <c r="M482" s="168"/>
      <c r="N482" s="168">
        <v>18</v>
      </c>
    </row>
    <row r="483" spans="1:14" ht="24" x14ac:dyDescent="0.3">
      <c r="A483" s="158" t="s">
        <v>674</v>
      </c>
      <c r="B483" s="158" t="str">
        <f t="shared" si="8"/>
        <v>MD CERM - 5 Couleurs+1 Blanc+4 Silvers</v>
      </c>
      <c r="C483" s="159" t="s">
        <v>349</v>
      </c>
      <c r="D483" s="160" t="s">
        <v>633</v>
      </c>
      <c r="E483" s="301">
        <v>0.8</v>
      </c>
      <c r="F483" s="161">
        <v>0.1</v>
      </c>
      <c r="G483" s="162">
        <v>15</v>
      </c>
      <c r="H483" s="400">
        <v>0.41666666666666669</v>
      </c>
      <c r="I483" s="164">
        <v>25.02</v>
      </c>
      <c r="J483" s="168"/>
      <c r="K483" s="168"/>
      <c r="L483" s="168"/>
      <c r="M483" s="168"/>
      <c r="N483" s="168">
        <v>20</v>
      </c>
    </row>
    <row r="484" spans="1:14" x14ac:dyDescent="0.3">
      <c r="A484" s="158" t="s">
        <v>674</v>
      </c>
      <c r="B484" s="158" t="str">
        <f t="shared" si="8"/>
        <v>MD CERM - 5 Couleurs+2 Silvers</v>
      </c>
      <c r="C484" s="159" t="s">
        <v>349</v>
      </c>
      <c r="D484" s="160" t="s">
        <v>634</v>
      </c>
      <c r="E484" s="301">
        <v>0.71400000000000008</v>
      </c>
      <c r="F484" s="161">
        <v>0.1</v>
      </c>
      <c r="G484" s="162">
        <v>15</v>
      </c>
      <c r="H484" s="400">
        <v>0.41666666666666669</v>
      </c>
      <c r="I484" s="164">
        <v>20.079999999999998</v>
      </c>
      <c r="J484" s="168"/>
      <c r="K484" s="168"/>
      <c r="L484" s="168"/>
      <c r="M484" s="168"/>
      <c r="N484" s="168">
        <v>14</v>
      </c>
    </row>
    <row r="485" spans="1:14" x14ac:dyDescent="0.3">
      <c r="A485" s="158" t="s">
        <v>674</v>
      </c>
      <c r="B485" s="158" t="str">
        <f t="shared" si="8"/>
        <v>MD CERM - 5 Couleurs+2 Blancs</v>
      </c>
      <c r="C485" s="159" t="s">
        <v>349</v>
      </c>
      <c r="D485" s="160" t="s">
        <v>635</v>
      </c>
      <c r="E485" s="301">
        <v>0.71400000000000008</v>
      </c>
      <c r="F485" s="161">
        <v>0.1</v>
      </c>
      <c r="G485" s="162">
        <v>15</v>
      </c>
      <c r="H485" s="400">
        <v>0.41666666666666669</v>
      </c>
      <c r="I485" s="164">
        <v>9.43</v>
      </c>
      <c r="J485" s="168"/>
      <c r="K485" s="168"/>
      <c r="L485" s="168"/>
      <c r="M485" s="168"/>
      <c r="N485" s="168">
        <v>14</v>
      </c>
    </row>
    <row r="486" spans="1:14" ht="24" x14ac:dyDescent="0.3">
      <c r="A486" s="158" t="s">
        <v>674</v>
      </c>
      <c r="B486" s="158" t="str">
        <f t="shared" si="8"/>
        <v>MD CERM - 5 Couleurs+2 Blancs+1 Silver</v>
      </c>
      <c r="C486" s="159" t="s">
        <v>349</v>
      </c>
      <c r="D486" s="160" t="s">
        <v>636</v>
      </c>
      <c r="E486" s="301">
        <v>0.75</v>
      </c>
      <c r="F486" s="161">
        <v>0.1</v>
      </c>
      <c r="G486" s="162">
        <v>15</v>
      </c>
      <c r="H486" s="400">
        <v>0.41666666666666669</v>
      </c>
      <c r="I486" s="164">
        <v>14.37</v>
      </c>
      <c r="J486" s="168"/>
      <c r="K486" s="168"/>
      <c r="L486" s="168"/>
      <c r="M486" s="168"/>
      <c r="N486" s="168">
        <v>16</v>
      </c>
    </row>
    <row r="487" spans="1:14" ht="24" x14ac:dyDescent="0.3">
      <c r="A487" s="158" t="s">
        <v>674</v>
      </c>
      <c r="B487" s="158" t="str">
        <f t="shared" si="8"/>
        <v>MD CERM - 5 Couleurs+2 Blancs+2 Silvers</v>
      </c>
      <c r="C487" s="159" t="s">
        <v>349</v>
      </c>
      <c r="D487" s="160" t="s">
        <v>637</v>
      </c>
      <c r="E487" s="301">
        <v>0.77800000000000002</v>
      </c>
      <c r="F487" s="161">
        <v>0.1</v>
      </c>
      <c r="G487" s="162">
        <v>15</v>
      </c>
      <c r="H487" s="400">
        <v>0.41666666666666669</v>
      </c>
      <c r="I487" s="164">
        <v>18.22</v>
      </c>
      <c r="J487" s="168"/>
      <c r="K487" s="168"/>
      <c r="L487" s="168"/>
      <c r="M487" s="168"/>
      <c r="N487" s="168">
        <v>18</v>
      </c>
    </row>
    <row r="488" spans="1:14" ht="24" x14ac:dyDescent="0.3">
      <c r="A488" s="158" t="s">
        <v>674</v>
      </c>
      <c r="B488" s="158" t="str">
        <f t="shared" si="8"/>
        <v>MD CERM - 5 Couleurs+2 Blancs+3 Silvers</v>
      </c>
      <c r="C488" s="159" t="s">
        <v>349</v>
      </c>
      <c r="D488" s="160" t="s">
        <v>638</v>
      </c>
      <c r="E488" s="301">
        <v>0.8</v>
      </c>
      <c r="F488" s="161">
        <v>0.1</v>
      </c>
      <c r="G488" s="162">
        <v>15</v>
      </c>
      <c r="H488" s="400">
        <v>0.41666666666666669</v>
      </c>
      <c r="I488" s="164">
        <v>21.3</v>
      </c>
      <c r="J488" s="168"/>
      <c r="K488" s="168"/>
      <c r="L488" s="168"/>
      <c r="M488" s="168"/>
      <c r="N488" s="168">
        <v>20</v>
      </c>
    </row>
    <row r="489" spans="1:14" x14ac:dyDescent="0.3">
      <c r="A489" s="158" t="s">
        <v>674</v>
      </c>
      <c r="B489" s="158" t="str">
        <f t="shared" si="8"/>
        <v>MD CERM - 5 Couleurs+3 Silvers</v>
      </c>
      <c r="C489" s="159" t="s">
        <v>349</v>
      </c>
      <c r="D489" s="160" t="s">
        <v>639</v>
      </c>
      <c r="E489" s="301">
        <v>0.75</v>
      </c>
      <c r="F489" s="161">
        <v>0.1</v>
      </c>
      <c r="G489" s="162">
        <v>15</v>
      </c>
      <c r="H489" s="400">
        <v>0.41666666666666669</v>
      </c>
      <c r="I489" s="164">
        <v>23.69</v>
      </c>
      <c r="J489" s="168"/>
      <c r="K489" s="168"/>
      <c r="L489" s="168"/>
      <c r="M489" s="168"/>
      <c r="N489" s="168">
        <v>16</v>
      </c>
    </row>
    <row r="490" spans="1:14" x14ac:dyDescent="0.3">
      <c r="A490" s="158" t="s">
        <v>674</v>
      </c>
      <c r="B490" s="158" t="str">
        <f t="shared" si="8"/>
        <v>MD CERM - 5 Couleurs+4 Silvers</v>
      </c>
      <c r="C490" s="159" t="s">
        <v>349</v>
      </c>
      <c r="D490" s="160" t="s">
        <v>640</v>
      </c>
      <c r="E490" s="301">
        <v>0.77800000000000002</v>
      </c>
      <c r="F490" s="161">
        <v>0.1</v>
      </c>
      <c r="G490" s="162">
        <v>15</v>
      </c>
      <c r="H490" s="400">
        <v>0.41666666666666669</v>
      </c>
      <c r="I490" s="164">
        <v>26.5</v>
      </c>
      <c r="J490" s="168"/>
      <c r="K490" s="168"/>
      <c r="L490" s="168"/>
      <c r="M490" s="168"/>
      <c r="N490" s="168">
        <v>18</v>
      </c>
    </row>
    <row r="491" spans="1:14" x14ac:dyDescent="0.3">
      <c r="A491" s="158" t="s">
        <v>674</v>
      </c>
      <c r="B491" s="158" t="str">
        <f t="shared" si="8"/>
        <v>MD CERM - 6 Couleurs</v>
      </c>
      <c r="C491" s="159" t="s">
        <v>349</v>
      </c>
      <c r="D491" s="160" t="s">
        <v>641</v>
      </c>
      <c r="E491" s="301">
        <v>0.66700000000000004</v>
      </c>
      <c r="F491" s="161">
        <v>0.1</v>
      </c>
      <c r="G491" s="162">
        <v>15</v>
      </c>
      <c r="H491" s="400">
        <v>0.41666666666666669</v>
      </c>
      <c r="I491" s="164">
        <v>8.52</v>
      </c>
      <c r="J491" s="168"/>
      <c r="K491" s="168"/>
      <c r="L491" s="168"/>
      <c r="M491" s="168"/>
      <c r="N491" s="168">
        <v>12</v>
      </c>
    </row>
    <row r="492" spans="1:14" x14ac:dyDescent="0.3">
      <c r="A492" s="158" t="s">
        <v>674</v>
      </c>
      <c r="B492" s="158" t="str">
        <f t="shared" si="8"/>
        <v>MD CERM - 6 Couleurs+1 Silver</v>
      </c>
      <c r="C492" s="159" t="s">
        <v>349</v>
      </c>
      <c r="D492" s="160" t="s">
        <v>642</v>
      </c>
      <c r="E492" s="301">
        <v>0.71400000000000008</v>
      </c>
      <c r="F492" s="161">
        <v>0.1</v>
      </c>
      <c r="G492" s="162">
        <v>15</v>
      </c>
      <c r="H492" s="400">
        <v>0.41666666666666669</v>
      </c>
      <c r="I492" s="164">
        <v>14.3</v>
      </c>
      <c r="J492" s="168"/>
      <c r="K492" s="168"/>
      <c r="L492" s="168"/>
      <c r="M492" s="168"/>
      <c r="N492" s="168">
        <v>14</v>
      </c>
    </row>
    <row r="493" spans="1:14" x14ac:dyDescent="0.3">
      <c r="A493" s="158" t="s">
        <v>674</v>
      </c>
      <c r="B493" s="158" t="str">
        <f t="shared" si="8"/>
        <v>MD CERM - 6 Couleurs+1 Blanc</v>
      </c>
      <c r="C493" s="159" t="s">
        <v>349</v>
      </c>
      <c r="D493" s="160" t="s">
        <v>643</v>
      </c>
      <c r="E493" s="301">
        <v>0.71400000000000008</v>
      </c>
      <c r="F493" s="161">
        <v>0.1</v>
      </c>
      <c r="G493" s="162">
        <v>15</v>
      </c>
      <c r="H493" s="400">
        <v>0.41666666666666669</v>
      </c>
      <c r="I493" s="164">
        <v>8.9700000000000006</v>
      </c>
      <c r="J493" s="168"/>
      <c r="K493" s="168"/>
      <c r="L493" s="168"/>
      <c r="M493" s="168"/>
      <c r="N493" s="168">
        <v>14</v>
      </c>
    </row>
    <row r="494" spans="1:14" ht="24" x14ac:dyDescent="0.3">
      <c r="A494" s="158" t="s">
        <v>674</v>
      </c>
      <c r="B494" s="158" t="str">
        <f t="shared" si="8"/>
        <v>MD CERM - 6 Couleurs+1 Blanc+1 Silver</v>
      </c>
      <c r="C494" s="159" t="s">
        <v>349</v>
      </c>
      <c r="D494" s="160" t="s">
        <v>644</v>
      </c>
      <c r="E494" s="301">
        <v>0.75</v>
      </c>
      <c r="F494" s="161">
        <v>0.1</v>
      </c>
      <c r="G494" s="162">
        <v>15</v>
      </c>
      <c r="H494" s="400">
        <v>0.41666666666666669</v>
      </c>
      <c r="I494" s="164">
        <v>13.97</v>
      </c>
      <c r="J494" s="168"/>
      <c r="K494" s="168"/>
      <c r="L494" s="168"/>
      <c r="M494" s="168"/>
      <c r="N494" s="168">
        <v>16</v>
      </c>
    </row>
    <row r="495" spans="1:14" ht="24" x14ac:dyDescent="0.3">
      <c r="A495" s="158" t="s">
        <v>674</v>
      </c>
      <c r="B495" s="158" t="str">
        <f t="shared" si="8"/>
        <v>MD CERM - 6 Couleurs+1 Blanc+2 Silvers</v>
      </c>
      <c r="C495" s="159" t="s">
        <v>349</v>
      </c>
      <c r="D495" s="160" t="s">
        <v>645</v>
      </c>
      <c r="E495" s="301">
        <v>0.77800000000000002</v>
      </c>
      <c r="F495" s="161">
        <v>0.1</v>
      </c>
      <c r="G495" s="162">
        <v>15</v>
      </c>
      <c r="H495" s="400">
        <v>0.41666666666666669</v>
      </c>
      <c r="I495" s="164">
        <v>17.86</v>
      </c>
      <c r="J495" s="168"/>
      <c r="K495" s="168"/>
      <c r="L495" s="168"/>
      <c r="M495" s="168"/>
      <c r="N495" s="168">
        <v>18</v>
      </c>
    </row>
    <row r="496" spans="1:14" ht="24" x14ac:dyDescent="0.3">
      <c r="A496" s="158" t="s">
        <v>674</v>
      </c>
      <c r="B496" s="158" t="str">
        <f t="shared" si="8"/>
        <v>MD CERM - 6 Couleurs+1 Blanc+3 Silvers</v>
      </c>
      <c r="C496" s="159" t="s">
        <v>349</v>
      </c>
      <c r="D496" s="160" t="s">
        <v>646</v>
      </c>
      <c r="E496" s="301">
        <v>0.8</v>
      </c>
      <c r="F496" s="161">
        <v>0.1</v>
      </c>
      <c r="G496" s="162">
        <v>15</v>
      </c>
      <c r="H496" s="400">
        <v>0.41666666666666669</v>
      </c>
      <c r="I496" s="164">
        <v>20.98</v>
      </c>
      <c r="J496" s="168"/>
      <c r="K496" s="168"/>
      <c r="L496" s="168"/>
      <c r="M496" s="168"/>
      <c r="N496" s="168">
        <v>20</v>
      </c>
    </row>
    <row r="497" spans="1:14" x14ac:dyDescent="0.3">
      <c r="A497" s="158" t="s">
        <v>674</v>
      </c>
      <c r="B497" s="158" t="str">
        <f t="shared" si="8"/>
        <v>MD CERM - 6 Couleurs+2 Silvers</v>
      </c>
      <c r="C497" s="159" t="s">
        <v>349</v>
      </c>
      <c r="D497" s="160" t="s">
        <v>647</v>
      </c>
      <c r="E497" s="301">
        <v>0.75</v>
      </c>
      <c r="F497" s="161">
        <v>0.1</v>
      </c>
      <c r="G497" s="162">
        <v>15</v>
      </c>
      <c r="H497" s="400">
        <v>0.41666666666666669</v>
      </c>
      <c r="I497" s="164">
        <v>18.63</v>
      </c>
      <c r="J497" s="168"/>
      <c r="K497" s="168"/>
      <c r="L497" s="168"/>
      <c r="M497" s="168"/>
      <c r="N497" s="168">
        <v>16</v>
      </c>
    </row>
    <row r="498" spans="1:14" x14ac:dyDescent="0.3">
      <c r="A498" s="158" t="s">
        <v>674</v>
      </c>
      <c r="B498" s="158" t="str">
        <f t="shared" si="8"/>
        <v>MD CERM - 6 Couleurs+2 Blancs</v>
      </c>
      <c r="C498" s="159" t="s">
        <v>349</v>
      </c>
      <c r="D498" s="160" t="s">
        <v>648</v>
      </c>
      <c r="E498" s="301">
        <v>0.75</v>
      </c>
      <c r="F498" s="161">
        <v>0.1</v>
      </c>
      <c r="G498" s="162">
        <v>15</v>
      </c>
      <c r="H498" s="400">
        <v>0.41666666666666669</v>
      </c>
      <c r="I498" s="164">
        <v>9.31</v>
      </c>
      <c r="J498" s="168"/>
      <c r="K498" s="168"/>
      <c r="L498" s="168"/>
      <c r="M498" s="168"/>
      <c r="N498" s="168">
        <v>16</v>
      </c>
    </row>
    <row r="499" spans="1:14" ht="24" x14ac:dyDescent="0.3">
      <c r="A499" s="158" t="s">
        <v>674</v>
      </c>
      <c r="B499" s="158" t="str">
        <f t="shared" si="8"/>
        <v>MD CERM - 6 Couleurs+2 Blancs+1 Silver</v>
      </c>
      <c r="C499" s="159" t="s">
        <v>349</v>
      </c>
      <c r="D499" s="160" t="s">
        <v>649</v>
      </c>
      <c r="E499" s="301">
        <v>0.77800000000000002</v>
      </c>
      <c r="F499" s="161">
        <v>0.1</v>
      </c>
      <c r="G499" s="162">
        <v>15</v>
      </c>
      <c r="H499" s="400">
        <v>0.41666666666666669</v>
      </c>
      <c r="I499" s="164">
        <v>13.72</v>
      </c>
      <c r="J499" s="168"/>
      <c r="K499" s="168"/>
      <c r="L499" s="168"/>
      <c r="M499" s="168"/>
      <c r="N499" s="168">
        <v>18</v>
      </c>
    </row>
    <row r="500" spans="1:14" ht="24" x14ac:dyDescent="0.3">
      <c r="A500" s="158" t="s">
        <v>674</v>
      </c>
      <c r="B500" s="158" t="str">
        <f t="shared" si="8"/>
        <v>MD CERM - 6 Couleurs+2 Blancs+2 Silvers</v>
      </c>
      <c r="C500" s="159" t="s">
        <v>349</v>
      </c>
      <c r="D500" s="160" t="s">
        <v>650</v>
      </c>
      <c r="E500" s="301">
        <v>0.8</v>
      </c>
      <c r="F500" s="161">
        <v>0.1</v>
      </c>
      <c r="G500" s="162">
        <v>15</v>
      </c>
      <c r="H500" s="400">
        <v>0.41666666666666669</v>
      </c>
      <c r="I500" s="164">
        <v>17.25</v>
      </c>
      <c r="J500" s="168"/>
      <c r="K500" s="168"/>
      <c r="L500" s="168"/>
      <c r="M500" s="168"/>
      <c r="N500" s="168">
        <v>20</v>
      </c>
    </row>
    <row r="501" spans="1:14" x14ac:dyDescent="0.3">
      <c r="A501" s="158" t="s">
        <v>674</v>
      </c>
      <c r="B501" s="158" t="str">
        <f t="shared" si="8"/>
        <v>MD CERM - 6 Couleurs+3 Silvers</v>
      </c>
      <c r="C501" s="159" t="s">
        <v>349</v>
      </c>
      <c r="D501" s="160" t="s">
        <v>651</v>
      </c>
      <c r="E501" s="301">
        <v>0.77800000000000002</v>
      </c>
      <c r="F501" s="161">
        <v>0.1</v>
      </c>
      <c r="G501" s="162">
        <v>15</v>
      </c>
      <c r="H501" s="400">
        <v>0.41666666666666669</v>
      </c>
      <c r="I501" s="164">
        <v>22.01</v>
      </c>
      <c r="J501" s="168"/>
      <c r="K501" s="168"/>
      <c r="L501" s="168"/>
      <c r="M501" s="168"/>
      <c r="N501" s="168">
        <v>18</v>
      </c>
    </row>
    <row r="502" spans="1:14" x14ac:dyDescent="0.3">
      <c r="A502" s="158" t="s">
        <v>674</v>
      </c>
      <c r="B502" s="158" t="str">
        <f t="shared" si="8"/>
        <v>MD CERM - 6 Couleurs+4 Silvers</v>
      </c>
      <c r="C502" s="159" t="s">
        <v>349</v>
      </c>
      <c r="D502" s="160" t="s">
        <v>652</v>
      </c>
      <c r="E502" s="301">
        <v>0.8</v>
      </c>
      <c r="F502" s="161">
        <v>0.1</v>
      </c>
      <c r="G502" s="162">
        <v>15</v>
      </c>
      <c r="H502" s="400">
        <v>0.41666666666666669</v>
      </c>
      <c r="I502" s="164">
        <v>24.7</v>
      </c>
      <c r="J502" s="168"/>
      <c r="K502" s="168"/>
      <c r="L502" s="168"/>
      <c r="M502" s="168"/>
      <c r="N502" s="168">
        <v>20</v>
      </c>
    </row>
    <row r="503" spans="1:14" x14ac:dyDescent="0.3">
      <c r="A503" s="158" t="s">
        <v>674</v>
      </c>
      <c r="B503" s="158" t="str">
        <f t="shared" si="8"/>
        <v>MD CERM - 7 Couleurs</v>
      </c>
      <c r="C503" s="159" t="s">
        <v>349</v>
      </c>
      <c r="D503" s="160" t="s">
        <v>653</v>
      </c>
      <c r="E503" s="301">
        <v>0.71400000000000008</v>
      </c>
      <c r="F503" s="161">
        <v>0.1</v>
      </c>
      <c r="G503" s="162">
        <v>15</v>
      </c>
      <c r="H503" s="400">
        <v>0.41666666666666669</v>
      </c>
      <c r="I503" s="164">
        <v>8.52</v>
      </c>
      <c r="J503" s="168"/>
      <c r="K503" s="168"/>
      <c r="L503" s="168"/>
      <c r="M503" s="168"/>
      <c r="N503" s="168">
        <v>14</v>
      </c>
    </row>
    <row r="504" spans="1:14" x14ac:dyDescent="0.3">
      <c r="A504" s="158" t="s">
        <v>674</v>
      </c>
      <c r="B504" s="158" t="str">
        <f t="shared" si="8"/>
        <v>MD CERM - 7 Couleurs+1 Silver</v>
      </c>
      <c r="C504" s="159" t="s">
        <v>349</v>
      </c>
      <c r="D504" s="160" t="s">
        <v>654</v>
      </c>
      <c r="E504" s="301">
        <v>0.75</v>
      </c>
      <c r="F504" s="161">
        <v>0.1</v>
      </c>
      <c r="G504" s="162">
        <v>15</v>
      </c>
      <c r="H504" s="400">
        <v>0.41666666666666669</v>
      </c>
      <c r="I504" s="164">
        <v>13.57</v>
      </c>
      <c r="J504" s="168"/>
      <c r="K504" s="168"/>
      <c r="L504" s="168"/>
      <c r="M504" s="168"/>
      <c r="N504" s="168">
        <v>16</v>
      </c>
    </row>
    <row r="505" spans="1:14" x14ac:dyDescent="0.3">
      <c r="A505" s="158" t="s">
        <v>674</v>
      </c>
      <c r="B505" s="158" t="str">
        <f t="shared" si="8"/>
        <v>MD CERM - 7 Couleurs+1 Blanc</v>
      </c>
      <c r="C505" s="159" t="s">
        <v>349</v>
      </c>
      <c r="D505" s="160" t="s">
        <v>655</v>
      </c>
      <c r="E505" s="301">
        <v>0.75</v>
      </c>
      <c r="F505" s="161">
        <v>0.1</v>
      </c>
      <c r="G505" s="162">
        <v>15</v>
      </c>
      <c r="H505" s="400">
        <v>0.41666666666666669</v>
      </c>
      <c r="I505" s="164">
        <v>8.91</v>
      </c>
      <c r="J505" s="168"/>
      <c r="K505" s="168"/>
      <c r="L505" s="168"/>
      <c r="M505" s="168"/>
      <c r="N505" s="168">
        <v>16</v>
      </c>
    </row>
    <row r="506" spans="1:14" ht="24" x14ac:dyDescent="0.3">
      <c r="A506" s="158" t="s">
        <v>674</v>
      </c>
      <c r="B506" s="158" t="str">
        <f t="shared" si="8"/>
        <v>MD CERM - 7 Couleurs+1 Blanc+1 Silver</v>
      </c>
      <c r="C506" s="159" t="s">
        <v>349</v>
      </c>
      <c r="D506" s="160" t="s">
        <v>656</v>
      </c>
      <c r="E506" s="301">
        <v>0.77800000000000002</v>
      </c>
      <c r="F506" s="161">
        <v>0.1</v>
      </c>
      <c r="G506" s="162">
        <v>15</v>
      </c>
      <c r="H506" s="400">
        <v>0.41666666666666669</v>
      </c>
      <c r="I506" s="164">
        <v>13.37</v>
      </c>
      <c r="J506" s="168"/>
      <c r="K506" s="168"/>
      <c r="L506" s="168"/>
      <c r="M506" s="168"/>
      <c r="N506" s="168">
        <v>18</v>
      </c>
    </row>
    <row r="507" spans="1:14" ht="24" x14ac:dyDescent="0.3">
      <c r="A507" s="158" t="s">
        <v>674</v>
      </c>
      <c r="B507" s="158" t="str">
        <f t="shared" si="8"/>
        <v>MD CERM - 7 Couleurs+1 Blanc+2 Silvers</v>
      </c>
      <c r="C507" s="159" t="s">
        <v>349</v>
      </c>
      <c r="D507" s="160" t="s">
        <v>657</v>
      </c>
      <c r="E507" s="301">
        <v>0.8</v>
      </c>
      <c r="F507" s="161">
        <v>0.1</v>
      </c>
      <c r="G507" s="162">
        <v>15</v>
      </c>
      <c r="H507" s="400">
        <v>0.41666666666666669</v>
      </c>
      <c r="I507" s="164">
        <v>16.93</v>
      </c>
      <c r="J507" s="168"/>
      <c r="K507" s="168"/>
      <c r="L507" s="168"/>
      <c r="M507" s="168"/>
      <c r="N507" s="168">
        <v>20</v>
      </c>
    </row>
    <row r="508" spans="1:14" x14ac:dyDescent="0.3">
      <c r="A508" s="158" t="s">
        <v>674</v>
      </c>
      <c r="B508" s="158" t="str">
        <f t="shared" si="8"/>
        <v>MD CERM - 7 Couleurs+2 Silvers</v>
      </c>
      <c r="C508" s="159" t="s">
        <v>349</v>
      </c>
      <c r="D508" s="160" t="s">
        <v>658</v>
      </c>
      <c r="E508" s="301">
        <v>0.77800000000000002</v>
      </c>
      <c r="F508" s="161">
        <v>0.1</v>
      </c>
      <c r="G508" s="162">
        <v>15</v>
      </c>
      <c r="H508" s="400">
        <v>0.41666666666666669</v>
      </c>
      <c r="I508" s="164">
        <v>17.510000000000002</v>
      </c>
      <c r="J508" s="168"/>
      <c r="K508" s="168"/>
      <c r="L508" s="168"/>
      <c r="M508" s="168"/>
      <c r="N508" s="168">
        <v>18</v>
      </c>
    </row>
    <row r="509" spans="1:14" x14ac:dyDescent="0.3">
      <c r="A509" s="158" t="s">
        <v>674</v>
      </c>
      <c r="B509" s="158" t="str">
        <f t="shared" si="8"/>
        <v>MD CERM - 7 Couleurs+2 Blancs</v>
      </c>
      <c r="C509" s="159" t="s">
        <v>349</v>
      </c>
      <c r="D509" s="160" t="s">
        <v>659</v>
      </c>
      <c r="E509" s="301">
        <v>0.77800000000000002</v>
      </c>
      <c r="F509" s="161">
        <v>0.1</v>
      </c>
      <c r="G509" s="162">
        <v>15</v>
      </c>
      <c r="H509" s="400">
        <v>0.41666666666666669</v>
      </c>
      <c r="I509" s="164">
        <v>9.23</v>
      </c>
      <c r="J509" s="168"/>
      <c r="K509" s="168"/>
      <c r="L509" s="168"/>
      <c r="M509" s="168"/>
      <c r="N509" s="168">
        <v>18</v>
      </c>
    </row>
    <row r="510" spans="1:14" ht="24" x14ac:dyDescent="0.3">
      <c r="A510" s="158" t="s">
        <v>674</v>
      </c>
      <c r="B510" s="158" t="str">
        <f t="shared" si="8"/>
        <v>MD CERM - 7 Couleurs+2 Blancs+1 Silver</v>
      </c>
      <c r="C510" s="159" t="s">
        <v>349</v>
      </c>
      <c r="D510" s="160" t="s">
        <v>660</v>
      </c>
      <c r="E510" s="301">
        <v>0.8</v>
      </c>
      <c r="F510" s="161">
        <v>0.1</v>
      </c>
      <c r="G510" s="162">
        <v>15</v>
      </c>
      <c r="H510" s="400">
        <v>0.41666666666666669</v>
      </c>
      <c r="I510" s="164">
        <v>13.2</v>
      </c>
      <c r="J510" s="168"/>
      <c r="K510" s="168"/>
      <c r="L510" s="168"/>
      <c r="M510" s="168"/>
      <c r="N510" s="168">
        <v>20</v>
      </c>
    </row>
    <row r="511" spans="1:14" x14ac:dyDescent="0.3">
      <c r="A511" s="158" t="s">
        <v>674</v>
      </c>
      <c r="B511" s="158" t="str">
        <f t="shared" si="8"/>
        <v>MD CERM - 7 Couleurs+3 Silvers</v>
      </c>
      <c r="C511" s="159" t="s">
        <v>349</v>
      </c>
      <c r="D511" s="160" t="s">
        <v>661</v>
      </c>
      <c r="E511" s="301">
        <v>0.8</v>
      </c>
      <c r="F511" s="161">
        <v>0.1</v>
      </c>
      <c r="G511" s="162">
        <v>15</v>
      </c>
      <c r="H511" s="400">
        <v>0.41666666666666669</v>
      </c>
      <c r="I511" s="164">
        <v>20.66</v>
      </c>
      <c r="J511" s="168"/>
      <c r="K511" s="168"/>
      <c r="L511" s="168"/>
      <c r="M511" s="168"/>
      <c r="N511" s="168">
        <v>20</v>
      </c>
    </row>
    <row r="512" spans="1:14" x14ac:dyDescent="0.3">
      <c r="A512" s="158" t="s">
        <v>674</v>
      </c>
      <c r="B512" s="158" t="str">
        <f t="shared" si="8"/>
        <v>MD CERM - 8 Couleurs</v>
      </c>
      <c r="C512" s="159" t="s">
        <v>349</v>
      </c>
      <c r="D512" s="160" t="s">
        <v>669</v>
      </c>
      <c r="E512" s="301">
        <v>0.75</v>
      </c>
      <c r="F512" s="161">
        <v>0.1</v>
      </c>
      <c r="G512" s="162">
        <v>15</v>
      </c>
      <c r="H512" s="400">
        <v>0.41666666666666669</v>
      </c>
      <c r="I512" s="164">
        <v>8.52</v>
      </c>
      <c r="J512" s="168"/>
      <c r="K512" s="168"/>
      <c r="L512" s="168"/>
      <c r="M512" s="168"/>
      <c r="N512" s="168">
        <v>16</v>
      </c>
    </row>
    <row r="513" spans="1:14" x14ac:dyDescent="0.3">
      <c r="A513" s="158" t="s">
        <v>674</v>
      </c>
      <c r="B513" s="158" t="str">
        <f t="shared" si="8"/>
        <v>MD CERM - 8 Couleurs+1 Silver</v>
      </c>
      <c r="C513" s="159" t="s">
        <v>349</v>
      </c>
      <c r="D513" s="160" t="s">
        <v>662</v>
      </c>
      <c r="E513" s="301">
        <v>0.77800000000000002</v>
      </c>
      <c r="F513" s="161">
        <v>0.1</v>
      </c>
      <c r="G513" s="162">
        <v>15</v>
      </c>
      <c r="H513" s="400">
        <v>0.41666666666666669</v>
      </c>
      <c r="I513" s="164">
        <v>13.01</v>
      </c>
      <c r="J513" s="168"/>
      <c r="K513" s="168"/>
      <c r="L513" s="168"/>
      <c r="M513" s="168"/>
      <c r="N513" s="168">
        <v>18</v>
      </c>
    </row>
    <row r="514" spans="1:14" x14ac:dyDescent="0.3">
      <c r="A514" s="158" t="s">
        <v>674</v>
      </c>
      <c r="B514" s="158" t="str">
        <f t="shared" si="8"/>
        <v>MD CERM - 8 Couleurs+1 Blanc</v>
      </c>
      <c r="C514" s="159" t="s">
        <v>349</v>
      </c>
      <c r="D514" s="160" t="s">
        <v>663</v>
      </c>
      <c r="E514" s="301">
        <v>0.77800000000000002</v>
      </c>
      <c r="F514" s="161">
        <v>0.1</v>
      </c>
      <c r="G514" s="162">
        <v>15</v>
      </c>
      <c r="H514" s="400">
        <v>0.41666666666666669</v>
      </c>
      <c r="I514" s="164">
        <v>8.8699999999999992</v>
      </c>
      <c r="J514" s="168"/>
      <c r="K514" s="168"/>
      <c r="L514" s="168"/>
      <c r="M514" s="168"/>
      <c r="N514" s="168">
        <v>18</v>
      </c>
    </row>
    <row r="515" spans="1:14" ht="24" x14ac:dyDescent="0.3">
      <c r="A515" s="158" t="s">
        <v>674</v>
      </c>
      <c r="B515" s="158" t="str">
        <f t="shared" si="8"/>
        <v>MD CERM - 8 Couleurs+1 Blanc+1 Silver</v>
      </c>
      <c r="C515" s="159" t="s">
        <v>349</v>
      </c>
      <c r="D515" s="160" t="s">
        <v>664</v>
      </c>
      <c r="E515" s="301">
        <v>0.8</v>
      </c>
      <c r="F515" s="161">
        <v>0.1</v>
      </c>
      <c r="G515" s="162">
        <v>15</v>
      </c>
      <c r="H515" s="400">
        <v>0.41666666666666669</v>
      </c>
      <c r="I515" s="164">
        <v>12.88</v>
      </c>
      <c r="J515" s="168"/>
      <c r="K515" s="168"/>
      <c r="L515" s="168"/>
      <c r="M515" s="168"/>
      <c r="N515" s="168">
        <v>20</v>
      </c>
    </row>
    <row r="516" spans="1:14" x14ac:dyDescent="0.3">
      <c r="A516" s="158" t="s">
        <v>674</v>
      </c>
      <c r="B516" s="158" t="str">
        <f t="shared" si="8"/>
        <v>MD CERM - 8 Couleurs+2 Silvers</v>
      </c>
      <c r="C516" s="159" t="s">
        <v>349</v>
      </c>
      <c r="D516" s="160" t="s">
        <v>665</v>
      </c>
      <c r="E516" s="301">
        <v>0.8</v>
      </c>
      <c r="F516" s="161">
        <v>0.1</v>
      </c>
      <c r="G516" s="162">
        <v>15</v>
      </c>
      <c r="H516" s="400">
        <v>0.41666666666666669</v>
      </c>
      <c r="I516" s="164">
        <v>16.61</v>
      </c>
      <c r="J516" s="168"/>
      <c r="K516" s="168"/>
      <c r="L516" s="168"/>
      <c r="M516" s="168"/>
      <c r="N516" s="168">
        <v>20</v>
      </c>
    </row>
    <row r="517" spans="1:14" x14ac:dyDescent="0.3">
      <c r="A517" s="158" t="s">
        <v>674</v>
      </c>
      <c r="B517" s="158" t="str">
        <f t="shared" si="8"/>
        <v>MD CERM - 8 Couleurs+2 Blancs</v>
      </c>
      <c r="C517" s="159" t="s">
        <v>349</v>
      </c>
      <c r="D517" s="160" t="s">
        <v>666</v>
      </c>
      <c r="E517" s="301">
        <v>0.8</v>
      </c>
      <c r="F517" s="161">
        <v>0.1</v>
      </c>
      <c r="G517" s="162">
        <v>15</v>
      </c>
      <c r="H517" s="400">
        <v>0.41666666666666669</v>
      </c>
      <c r="I517" s="164">
        <v>9.15</v>
      </c>
      <c r="J517" s="168"/>
      <c r="K517" s="168"/>
      <c r="L517" s="168"/>
      <c r="M517" s="168"/>
      <c r="N517" s="168">
        <v>20</v>
      </c>
    </row>
    <row r="518" spans="1:14" x14ac:dyDescent="0.3">
      <c r="A518" s="158" t="s">
        <v>674</v>
      </c>
      <c r="B518" s="158" t="str">
        <f t="shared" si="8"/>
        <v>MD CERM - 8 Couleurs+4 Blancs</v>
      </c>
      <c r="C518" s="159" t="s">
        <v>349</v>
      </c>
      <c r="D518" s="160" t="s">
        <v>667</v>
      </c>
      <c r="E518" s="301">
        <v>0.83299999999999996</v>
      </c>
      <c r="F518" s="161">
        <v>0.1</v>
      </c>
      <c r="G518" s="162">
        <v>15</v>
      </c>
      <c r="H518" s="400">
        <v>0.41666666666666669</v>
      </c>
      <c r="I518" s="164">
        <v>9.58</v>
      </c>
      <c r="J518" s="168"/>
      <c r="K518" s="168"/>
      <c r="L518" s="168"/>
      <c r="M518" s="168"/>
      <c r="N518" s="168">
        <v>24</v>
      </c>
    </row>
    <row r="519" spans="1:14" x14ac:dyDescent="0.3">
      <c r="A519" s="158" t="s">
        <v>674</v>
      </c>
      <c r="B519" s="158" t="str">
        <f t="shared" si="8"/>
        <v>MD CERM - 8 Couleurs+6 Blancs</v>
      </c>
      <c r="C519" s="159" t="s">
        <v>349</v>
      </c>
      <c r="D519" s="160" t="s">
        <v>668</v>
      </c>
      <c r="E519" s="301">
        <v>0.85799999999999998</v>
      </c>
      <c r="F519" s="161">
        <v>0.1</v>
      </c>
      <c r="G519" s="162">
        <v>15</v>
      </c>
      <c r="H519" s="400">
        <v>0.41666666666666669</v>
      </c>
      <c r="I519" s="164">
        <v>9.8800000000000008</v>
      </c>
      <c r="J519" s="168"/>
      <c r="K519" s="168"/>
      <c r="L519" s="168"/>
      <c r="M519" s="168"/>
      <c r="N519" s="168">
        <v>28</v>
      </c>
    </row>
    <row r="520" spans="1:14" x14ac:dyDescent="0.3">
      <c r="A520" s="158" t="s">
        <v>674</v>
      </c>
      <c r="B520" s="158" t="str">
        <f t="shared" si="8"/>
        <v>MD CERM - 9 Couleurs</v>
      </c>
      <c r="C520" s="159" t="s">
        <v>349</v>
      </c>
      <c r="D520" s="160" t="s">
        <v>670</v>
      </c>
      <c r="E520" s="301">
        <v>0.77800000000000002</v>
      </c>
      <c r="F520" s="161">
        <v>0.1</v>
      </c>
      <c r="G520" s="162">
        <v>15</v>
      </c>
      <c r="H520" s="400">
        <v>0.41666666666666669</v>
      </c>
      <c r="I520" s="164">
        <v>8.52</v>
      </c>
      <c r="J520" s="168"/>
      <c r="K520" s="168"/>
      <c r="L520" s="168"/>
      <c r="M520" s="168"/>
      <c r="N520" s="168">
        <v>18</v>
      </c>
    </row>
    <row r="521" spans="1:14" x14ac:dyDescent="0.3">
      <c r="A521" s="158" t="s">
        <v>674</v>
      </c>
      <c r="B521" s="158" t="str">
        <f t="shared" si="8"/>
        <v>MD CERM - 9 Couleurs+1 Silver</v>
      </c>
      <c r="C521" s="159" t="s">
        <v>349</v>
      </c>
      <c r="D521" s="160" t="s">
        <v>672</v>
      </c>
      <c r="E521" s="301">
        <v>0.8</v>
      </c>
      <c r="F521" s="161">
        <v>0.1</v>
      </c>
      <c r="G521" s="162">
        <v>15</v>
      </c>
      <c r="H521" s="400">
        <v>0.41666666666666669</v>
      </c>
      <c r="I521" s="164">
        <v>12.56</v>
      </c>
      <c r="J521" s="168"/>
      <c r="K521" s="168"/>
      <c r="L521" s="168"/>
      <c r="M521" s="168"/>
      <c r="N521" s="168">
        <v>20</v>
      </c>
    </row>
    <row r="522" spans="1:14" x14ac:dyDescent="0.3">
      <c r="A522" s="158" t="s">
        <v>674</v>
      </c>
      <c r="B522" s="158" t="str">
        <f t="shared" si="8"/>
        <v>MD CERM - 9 Couleurs+1 Blanc</v>
      </c>
      <c r="C522" s="159" t="s">
        <v>349</v>
      </c>
      <c r="D522" s="160" t="s">
        <v>671</v>
      </c>
      <c r="E522" s="301">
        <v>0.8</v>
      </c>
      <c r="F522" s="161">
        <v>0.1</v>
      </c>
      <c r="G522" s="162">
        <v>15</v>
      </c>
      <c r="H522" s="400">
        <v>0.41666666666666669</v>
      </c>
      <c r="I522" s="164">
        <v>8.83</v>
      </c>
      <c r="J522" s="168"/>
      <c r="K522" s="168"/>
      <c r="L522" s="168"/>
      <c r="M522" s="168"/>
      <c r="N522" s="168">
        <v>20</v>
      </c>
    </row>
    <row r="523" spans="1:14" x14ac:dyDescent="0.3">
      <c r="A523" s="158" t="s">
        <v>674</v>
      </c>
      <c r="B523" s="158" t="str">
        <f t="shared" si="8"/>
        <v>MD CERM - 9 Couleurs+2 Blancs</v>
      </c>
      <c r="C523" s="159" t="s">
        <v>349</v>
      </c>
      <c r="D523" s="160" t="s">
        <v>673</v>
      </c>
      <c r="E523" s="301">
        <v>0.81799999999999995</v>
      </c>
      <c r="F523" s="161">
        <v>0.1</v>
      </c>
      <c r="G523" s="162">
        <v>15</v>
      </c>
      <c r="H523" s="400">
        <v>0.41666666666666669</v>
      </c>
      <c r="I523" s="164">
        <v>9.1</v>
      </c>
      <c r="J523" s="168"/>
      <c r="K523" s="168"/>
      <c r="L523" s="168"/>
      <c r="M523" s="168"/>
      <c r="N523" s="168">
        <v>22</v>
      </c>
    </row>
    <row r="524" spans="1:14" x14ac:dyDescent="0.3">
      <c r="A524" s="158" t="s">
        <v>170</v>
      </c>
      <c r="B524" s="158" t="str">
        <f t="shared" si="8"/>
        <v>AELI - Noir</v>
      </c>
      <c r="C524" s="159" t="s">
        <v>349</v>
      </c>
      <c r="D524" s="160" t="s">
        <v>554</v>
      </c>
      <c r="E524" s="161">
        <v>0</v>
      </c>
      <c r="F524" s="161">
        <v>0.1</v>
      </c>
      <c r="G524" s="162">
        <v>15</v>
      </c>
      <c r="H524" s="400">
        <v>0.41666666666666669</v>
      </c>
      <c r="I524" s="164">
        <v>8.52</v>
      </c>
      <c r="J524" s="168"/>
      <c r="K524" s="168"/>
      <c r="L524" s="168"/>
      <c r="M524" s="168"/>
      <c r="N524" s="168">
        <v>2</v>
      </c>
    </row>
    <row r="525" spans="1:14" x14ac:dyDescent="0.3">
      <c r="A525" s="158" t="s">
        <v>170</v>
      </c>
      <c r="B525" s="158" t="s">
        <v>675</v>
      </c>
      <c r="C525" s="159" t="s">
        <v>349</v>
      </c>
      <c r="D525" s="160" t="s">
        <v>555</v>
      </c>
      <c r="E525" s="339">
        <v>0</v>
      </c>
      <c r="F525" s="161">
        <v>0.1</v>
      </c>
      <c r="G525" s="162">
        <v>15</v>
      </c>
      <c r="H525" s="400">
        <v>0.41666666666666669</v>
      </c>
      <c r="I525" s="164">
        <v>28.75</v>
      </c>
      <c r="J525" s="168"/>
      <c r="K525" s="168"/>
      <c r="L525" s="168"/>
      <c r="M525" s="168"/>
      <c r="N525" s="168">
        <v>4</v>
      </c>
    </row>
    <row r="526" spans="1:14" x14ac:dyDescent="0.3">
      <c r="A526" s="158" t="s">
        <v>170</v>
      </c>
      <c r="B526" s="158" t="str">
        <f t="shared" ref="B526" si="9">A526&amp;" - "&amp;D526</f>
        <v>AELI - Noir+1 Blanc</v>
      </c>
      <c r="C526" s="159" t="s">
        <v>349</v>
      </c>
      <c r="D526" s="160" t="s">
        <v>556</v>
      </c>
      <c r="E526" s="339">
        <v>0</v>
      </c>
      <c r="F526" s="161">
        <v>0.1</v>
      </c>
      <c r="G526" s="162">
        <v>15</v>
      </c>
      <c r="H526" s="400">
        <v>0.41666666666666669</v>
      </c>
      <c r="I526" s="164">
        <v>10.11</v>
      </c>
      <c r="J526" s="168"/>
      <c r="K526" s="168"/>
      <c r="L526" s="168"/>
      <c r="M526" s="168"/>
      <c r="N526" s="168">
        <v>4</v>
      </c>
    </row>
    <row r="527" spans="1:14" x14ac:dyDescent="0.3">
      <c r="A527" s="158" t="s">
        <v>170</v>
      </c>
      <c r="B527" s="158" t="s">
        <v>676</v>
      </c>
      <c r="C527" s="159" t="s">
        <v>349</v>
      </c>
      <c r="D527" s="160" t="s">
        <v>557</v>
      </c>
      <c r="E527" s="339">
        <v>0.33299999999999996</v>
      </c>
      <c r="F527" s="161">
        <v>0.1</v>
      </c>
      <c r="G527" s="162">
        <v>15</v>
      </c>
      <c r="H527" s="400">
        <v>0.41666666666666669</v>
      </c>
      <c r="I527" s="164">
        <v>23.07</v>
      </c>
      <c r="J527" s="168"/>
      <c r="K527" s="168"/>
      <c r="L527" s="168"/>
      <c r="M527" s="168"/>
      <c r="N527" s="168">
        <v>6</v>
      </c>
    </row>
    <row r="528" spans="1:14" x14ac:dyDescent="0.3">
      <c r="A528" s="158" t="s">
        <v>170</v>
      </c>
      <c r="B528" s="158" t="s">
        <v>677</v>
      </c>
      <c r="C528" s="159" t="s">
        <v>349</v>
      </c>
      <c r="D528" s="160" t="s">
        <v>558</v>
      </c>
      <c r="E528" s="339">
        <v>0.5</v>
      </c>
      <c r="F528" s="161">
        <v>0.1</v>
      </c>
      <c r="G528" s="162">
        <v>15</v>
      </c>
      <c r="H528" s="400">
        <v>0.41666666666666669</v>
      </c>
      <c r="I528" s="164">
        <v>29.55</v>
      </c>
      <c r="J528" s="168"/>
      <c r="K528" s="168"/>
      <c r="L528" s="168"/>
      <c r="M528" s="168"/>
      <c r="N528" s="168">
        <v>8</v>
      </c>
    </row>
    <row r="529" spans="1:14" x14ac:dyDescent="0.3">
      <c r="A529" s="158" t="s">
        <v>170</v>
      </c>
      <c r="B529" s="158" t="s">
        <v>678</v>
      </c>
      <c r="C529" s="159" t="s">
        <v>349</v>
      </c>
      <c r="D529" s="160" t="s">
        <v>559</v>
      </c>
      <c r="E529" s="339">
        <v>0.6</v>
      </c>
      <c r="F529" s="161">
        <v>0.1</v>
      </c>
      <c r="G529" s="162">
        <v>15</v>
      </c>
      <c r="H529" s="400">
        <v>0.41666666666666669</v>
      </c>
      <c r="I529" s="164">
        <v>33.44</v>
      </c>
      <c r="J529" s="168"/>
      <c r="K529" s="168"/>
      <c r="L529" s="168"/>
      <c r="M529" s="168"/>
      <c r="N529" s="168">
        <v>10</v>
      </c>
    </row>
    <row r="530" spans="1:14" x14ac:dyDescent="0.3">
      <c r="A530" s="158" t="s">
        <v>170</v>
      </c>
      <c r="B530" s="158" t="s">
        <v>679</v>
      </c>
      <c r="C530" s="159" t="s">
        <v>349</v>
      </c>
      <c r="D530" s="160" t="s">
        <v>560</v>
      </c>
      <c r="E530" s="339">
        <v>0.66700000000000004</v>
      </c>
      <c r="F530" s="161">
        <v>0.1</v>
      </c>
      <c r="G530" s="162">
        <v>15</v>
      </c>
      <c r="H530" s="400">
        <v>0.41666666666666669</v>
      </c>
      <c r="I530" s="164">
        <v>36.03</v>
      </c>
      <c r="J530" s="168"/>
      <c r="K530" s="168"/>
      <c r="L530" s="168"/>
      <c r="M530" s="168"/>
      <c r="N530" s="168">
        <v>12</v>
      </c>
    </row>
    <row r="531" spans="1:14" x14ac:dyDescent="0.3">
      <c r="A531" s="158" t="s">
        <v>170</v>
      </c>
      <c r="B531" s="158" t="s">
        <v>680</v>
      </c>
      <c r="C531" s="159" t="s">
        <v>349</v>
      </c>
      <c r="D531" s="160" t="s">
        <v>561</v>
      </c>
      <c r="E531" s="339">
        <v>0.33299999999999996</v>
      </c>
      <c r="F531" s="161">
        <v>0.1</v>
      </c>
      <c r="G531" s="162">
        <v>15</v>
      </c>
      <c r="H531" s="400">
        <v>0.41666666666666669</v>
      </c>
      <c r="I531" s="164">
        <v>35.5</v>
      </c>
      <c r="J531" s="168"/>
      <c r="K531" s="168"/>
      <c r="L531" s="168"/>
      <c r="M531" s="168"/>
      <c r="N531" s="168">
        <v>6</v>
      </c>
    </row>
    <row r="532" spans="1:14" x14ac:dyDescent="0.3">
      <c r="A532" s="158" t="s">
        <v>170</v>
      </c>
      <c r="B532" s="158" t="str">
        <f t="shared" ref="B532" si="10">A532&amp;" - "&amp;D532</f>
        <v>AELI - Noir+2 Blancs</v>
      </c>
      <c r="C532" s="159" t="s">
        <v>349</v>
      </c>
      <c r="D532" s="160" t="s">
        <v>562</v>
      </c>
      <c r="E532" s="339">
        <v>0.33299999999999996</v>
      </c>
      <c r="F532" s="161">
        <v>0.1</v>
      </c>
      <c r="G532" s="162">
        <v>15</v>
      </c>
      <c r="H532" s="400">
        <v>0.41666666666666669</v>
      </c>
      <c r="I532" s="164">
        <v>10.65</v>
      </c>
      <c r="J532" s="168"/>
      <c r="K532" s="168"/>
      <c r="L532" s="168"/>
      <c r="M532" s="168"/>
      <c r="N532" s="168">
        <v>6</v>
      </c>
    </row>
    <row r="533" spans="1:14" x14ac:dyDescent="0.3">
      <c r="A533" s="158" t="s">
        <v>170</v>
      </c>
      <c r="B533" s="158" t="s">
        <v>681</v>
      </c>
      <c r="C533" s="159" t="s">
        <v>349</v>
      </c>
      <c r="D533" s="160" t="s">
        <v>563</v>
      </c>
      <c r="E533" s="339">
        <v>0.5</v>
      </c>
      <c r="F533" s="161">
        <v>0.1</v>
      </c>
      <c r="G533" s="162">
        <v>15</v>
      </c>
      <c r="H533" s="400">
        <v>0.41666666666666669</v>
      </c>
      <c r="I533" s="164">
        <v>20.23</v>
      </c>
      <c r="J533" s="168"/>
      <c r="K533" s="168"/>
      <c r="L533" s="168"/>
      <c r="M533" s="168"/>
      <c r="N533" s="168">
        <v>8</v>
      </c>
    </row>
    <row r="534" spans="1:14" x14ac:dyDescent="0.3">
      <c r="A534" s="158" t="s">
        <v>170</v>
      </c>
      <c r="B534" s="158" t="s">
        <v>682</v>
      </c>
      <c r="C534" s="159" t="s">
        <v>349</v>
      </c>
      <c r="D534" s="160" t="s">
        <v>564</v>
      </c>
      <c r="E534" s="339">
        <v>0.6</v>
      </c>
      <c r="F534" s="161">
        <v>0.1</v>
      </c>
      <c r="G534" s="162">
        <v>15</v>
      </c>
      <c r="H534" s="400">
        <v>0.41666666666666669</v>
      </c>
      <c r="I534" s="164">
        <v>25.98</v>
      </c>
      <c r="J534" s="168"/>
      <c r="K534" s="168"/>
      <c r="L534" s="168"/>
      <c r="M534" s="168"/>
      <c r="N534" s="168">
        <v>10</v>
      </c>
    </row>
    <row r="535" spans="1:14" x14ac:dyDescent="0.3">
      <c r="A535" s="158" t="s">
        <v>170</v>
      </c>
      <c r="B535" s="158" t="s">
        <v>683</v>
      </c>
      <c r="C535" s="159" t="s">
        <v>349</v>
      </c>
      <c r="D535" s="160" t="s">
        <v>565</v>
      </c>
      <c r="E535" s="339">
        <v>0.66700000000000004</v>
      </c>
      <c r="F535" s="161">
        <v>0.1</v>
      </c>
      <c r="G535" s="162">
        <v>15</v>
      </c>
      <c r="H535" s="400">
        <v>0.41666666666666669</v>
      </c>
      <c r="I535" s="164">
        <v>29.82</v>
      </c>
      <c r="J535" s="168"/>
      <c r="K535" s="168"/>
      <c r="L535" s="168"/>
      <c r="M535" s="168"/>
      <c r="N535" s="168">
        <v>12</v>
      </c>
    </row>
    <row r="536" spans="1:14" x14ac:dyDescent="0.3">
      <c r="A536" s="158" t="s">
        <v>170</v>
      </c>
      <c r="B536" s="158" t="s">
        <v>684</v>
      </c>
      <c r="C536" s="159" t="s">
        <v>349</v>
      </c>
      <c r="D536" s="160" t="s">
        <v>566</v>
      </c>
      <c r="E536" s="339">
        <v>0.71400000000000008</v>
      </c>
      <c r="F536" s="161">
        <v>0.1</v>
      </c>
      <c r="G536" s="162">
        <v>15</v>
      </c>
      <c r="H536" s="400">
        <v>0.41666666666666669</v>
      </c>
      <c r="I536" s="164">
        <v>32.549999999999997</v>
      </c>
      <c r="J536" s="168"/>
      <c r="K536" s="168"/>
      <c r="L536" s="168"/>
      <c r="M536" s="168"/>
      <c r="N536" s="168">
        <v>14</v>
      </c>
    </row>
    <row r="537" spans="1:14" x14ac:dyDescent="0.3">
      <c r="A537" s="158" t="s">
        <v>170</v>
      </c>
      <c r="B537" s="158" t="s">
        <v>685</v>
      </c>
      <c r="C537" s="159" t="s">
        <v>349</v>
      </c>
      <c r="D537" s="160" t="s">
        <v>567</v>
      </c>
      <c r="E537" s="339">
        <v>0.5</v>
      </c>
      <c r="F537" s="161">
        <v>0.1</v>
      </c>
      <c r="G537" s="162">
        <v>15</v>
      </c>
      <c r="H537" s="400">
        <v>0.41666666666666669</v>
      </c>
      <c r="I537" s="164">
        <v>38.869999999999997</v>
      </c>
      <c r="J537" s="168"/>
      <c r="K537" s="168"/>
      <c r="L537" s="168"/>
      <c r="M537" s="168"/>
      <c r="N537" s="168">
        <v>8</v>
      </c>
    </row>
    <row r="538" spans="1:14" x14ac:dyDescent="0.3">
      <c r="A538" s="158" t="s">
        <v>170</v>
      </c>
      <c r="B538" s="158" t="s">
        <v>686</v>
      </c>
      <c r="C538" s="159" t="s">
        <v>349</v>
      </c>
      <c r="D538" s="160" t="s">
        <v>568</v>
      </c>
      <c r="E538" s="339">
        <v>0.6</v>
      </c>
      <c r="F538" s="161">
        <v>0.1</v>
      </c>
      <c r="G538" s="162">
        <v>15</v>
      </c>
      <c r="H538" s="400">
        <v>0.41666666666666669</v>
      </c>
      <c r="I538" s="164">
        <v>40.89</v>
      </c>
      <c r="J538" s="168"/>
      <c r="K538" s="168"/>
      <c r="L538" s="168"/>
      <c r="M538" s="168"/>
      <c r="N538" s="168">
        <v>10</v>
      </c>
    </row>
    <row r="539" spans="1:14" x14ac:dyDescent="0.3">
      <c r="A539" s="158" t="s">
        <v>170</v>
      </c>
      <c r="B539" s="158" t="s">
        <v>687</v>
      </c>
      <c r="C539" s="159" t="s">
        <v>349</v>
      </c>
      <c r="D539" s="160" t="s">
        <v>569</v>
      </c>
      <c r="E539" s="339">
        <v>0</v>
      </c>
      <c r="F539" s="161">
        <v>0.1</v>
      </c>
      <c r="G539" s="162">
        <v>15</v>
      </c>
      <c r="H539" s="400">
        <v>0.41666666666666669</v>
      </c>
      <c r="I539" s="164">
        <v>48.99</v>
      </c>
      <c r="J539" s="168"/>
      <c r="K539" s="168"/>
      <c r="L539" s="168"/>
      <c r="M539" s="168"/>
      <c r="N539" s="168">
        <v>2</v>
      </c>
    </row>
    <row r="540" spans="1:14" x14ac:dyDescent="0.3">
      <c r="A540" s="158" t="s">
        <v>170</v>
      </c>
      <c r="B540" s="158" t="s">
        <v>688</v>
      </c>
      <c r="C540" s="159" t="s">
        <v>349</v>
      </c>
      <c r="D540" s="160" t="s">
        <v>571</v>
      </c>
      <c r="E540" s="339">
        <v>0</v>
      </c>
      <c r="F540" s="161">
        <v>0.1</v>
      </c>
      <c r="G540" s="162">
        <v>15</v>
      </c>
      <c r="H540" s="400">
        <v>0.41666666666666669</v>
      </c>
      <c r="I540" s="164">
        <v>30.35</v>
      </c>
      <c r="J540" s="168"/>
      <c r="K540" s="168"/>
      <c r="L540" s="168"/>
      <c r="M540" s="168"/>
      <c r="N540" s="168">
        <v>4</v>
      </c>
    </row>
    <row r="541" spans="1:14" x14ac:dyDescent="0.3">
      <c r="A541" s="158" t="s">
        <v>170</v>
      </c>
      <c r="B541" s="158" t="s">
        <v>689</v>
      </c>
      <c r="C541" s="159" t="s">
        <v>349</v>
      </c>
      <c r="D541" s="160" t="s">
        <v>572</v>
      </c>
      <c r="E541" s="339">
        <v>0.33299999999999996</v>
      </c>
      <c r="F541" s="161">
        <v>0.1</v>
      </c>
      <c r="G541" s="162">
        <v>15</v>
      </c>
      <c r="H541" s="400">
        <v>0.41666666666666669</v>
      </c>
      <c r="I541" s="164">
        <v>36.56</v>
      </c>
      <c r="J541" s="168"/>
      <c r="K541" s="168"/>
      <c r="L541" s="168"/>
      <c r="M541" s="168"/>
      <c r="N541" s="168">
        <v>6</v>
      </c>
    </row>
    <row r="542" spans="1:14" x14ac:dyDescent="0.3">
      <c r="A542" s="158" t="s">
        <v>170</v>
      </c>
      <c r="B542" s="158" t="s">
        <v>690</v>
      </c>
      <c r="C542" s="159" t="s">
        <v>349</v>
      </c>
      <c r="D542" s="160" t="s">
        <v>573</v>
      </c>
      <c r="E542" s="339">
        <v>0.5</v>
      </c>
      <c r="F542" s="161">
        <v>0.1</v>
      </c>
      <c r="G542" s="162">
        <v>15</v>
      </c>
      <c r="H542" s="400">
        <v>0.41666666666666669</v>
      </c>
      <c r="I542" s="164">
        <v>39.67</v>
      </c>
      <c r="J542" s="168"/>
      <c r="K542" s="168"/>
      <c r="L542" s="168"/>
      <c r="M542" s="168"/>
      <c r="N542" s="168">
        <v>8</v>
      </c>
    </row>
    <row r="543" spans="1:14" x14ac:dyDescent="0.3">
      <c r="A543" s="158" t="s">
        <v>170</v>
      </c>
      <c r="B543" s="158" t="s">
        <v>691</v>
      </c>
      <c r="C543" s="159" t="s">
        <v>349</v>
      </c>
      <c r="D543" s="160" t="s">
        <v>574</v>
      </c>
      <c r="E543" s="339">
        <v>0.6</v>
      </c>
      <c r="F543" s="161">
        <v>0.1</v>
      </c>
      <c r="G543" s="162">
        <v>15</v>
      </c>
      <c r="H543" s="400">
        <v>0.41666666666666669</v>
      </c>
      <c r="I543" s="164">
        <v>41.53</v>
      </c>
      <c r="J543" s="168"/>
      <c r="K543" s="168"/>
      <c r="L543" s="168"/>
      <c r="M543" s="168"/>
      <c r="N543" s="168">
        <v>10</v>
      </c>
    </row>
    <row r="544" spans="1:14" x14ac:dyDescent="0.3">
      <c r="A544" s="158" t="s">
        <v>170</v>
      </c>
      <c r="B544" s="158" t="str">
        <f t="shared" ref="B544" si="11">A544&amp;" - "&amp;D544</f>
        <v>AELI - 2 Couleurs</v>
      </c>
      <c r="C544" s="159" t="s">
        <v>349</v>
      </c>
      <c r="D544" s="160" t="s">
        <v>575</v>
      </c>
      <c r="E544" s="339">
        <v>0</v>
      </c>
      <c r="F544" s="161">
        <v>0.1</v>
      </c>
      <c r="G544" s="162">
        <v>15</v>
      </c>
      <c r="H544" s="400">
        <v>0.41666666666666669</v>
      </c>
      <c r="I544" s="164">
        <v>8.52</v>
      </c>
      <c r="J544" s="168"/>
      <c r="K544" s="168"/>
      <c r="L544" s="168"/>
      <c r="M544" s="168"/>
      <c r="N544" s="168">
        <v>4</v>
      </c>
    </row>
    <row r="545" spans="1:14" x14ac:dyDescent="0.3">
      <c r="A545" s="158" t="s">
        <v>170</v>
      </c>
      <c r="B545" s="158" t="s">
        <v>692</v>
      </c>
      <c r="C545" s="159" t="s">
        <v>349</v>
      </c>
      <c r="D545" s="160" t="s">
        <v>576</v>
      </c>
      <c r="E545" s="339">
        <v>0.33299999999999996</v>
      </c>
      <c r="F545" s="161">
        <v>0.1</v>
      </c>
      <c r="G545" s="162">
        <v>15</v>
      </c>
      <c r="H545" s="400">
        <v>0.41666666666666669</v>
      </c>
      <c r="I545" s="164">
        <v>22.01</v>
      </c>
      <c r="J545" s="168"/>
      <c r="K545" s="168"/>
      <c r="L545" s="168"/>
      <c r="M545" s="168"/>
      <c r="N545" s="168">
        <v>6</v>
      </c>
    </row>
    <row r="546" spans="1:14" x14ac:dyDescent="0.3">
      <c r="A546" s="158" t="s">
        <v>170</v>
      </c>
      <c r="B546" s="158" t="str">
        <f t="shared" ref="B546" si="12">A546&amp;" - "&amp;D546</f>
        <v>AELI - 2 Couleurs+1 Blanc</v>
      </c>
      <c r="C546" s="159" t="s">
        <v>349</v>
      </c>
      <c r="D546" s="160" t="s">
        <v>577</v>
      </c>
      <c r="E546" s="339">
        <v>0.33299999999999996</v>
      </c>
      <c r="F546" s="161">
        <v>0.1</v>
      </c>
      <c r="G546" s="162">
        <v>15</v>
      </c>
      <c r="H546" s="400">
        <v>0.41666666666666669</v>
      </c>
      <c r="I546" s="164">
        <v>9.58</v>
      </c>
      <c r="J546" s="168"/>
      <c r="K546" s="168"/>
      <c r="L546" s="168"/>
      <c r="M546" s="168"/>
      <c r="N546" s="168">
        <v>6</v>
      </c>
    </row>
    <row r="547" spans="1:14" ht="24" x14ac:dyDescent="0.3">
      <c r="A547" s="158" t="s">
        <v>170</v>
      </c>
      <c r="B547" s="158" t="s">
        <v>693</v>
      </c>
      <c r="C547" s="159" t="s">
        <v>349</v>
      </c>
      <c r="D547" s="160" t="s">
        <v>578</v>
      </c>
      <c r="E547" s="339">
        <v>0.5</v>
      </c>
      <c r="F547" s="161">
        <v>0.1</v>
      </c>
      <c r="G547" s="162">
        <v>15</v>
      </c>
      <c r="H547" s="400">
        <v>0.41666666666666669</v>
      </c>
      <c r="I547" s="164">
        <v>19.43</v>
      </c>
      <c r="J547" s="168"/>
      <c r="K547" s="168"/>
      <c r="L547" s="168"/>
      <c r="M547" s="168"/>
      <c r="N547" s="168">
        <v>8</v>
      </c>
    </row>
    <row r="548" spans="1:14" ht="24" x14ac:dyDescent="0.3">
      <c r="A548" s="158" t="s">
        <v>170</v>
      </c>
      <c r="B548" s="158" t="s">
        <v>694</v>
      </c>
      <c r="C548" s="159" t="s">
        <v>349</v>
      </c>
      <c r="D548" s="160" t="s">
        <v>579</v>
      </c>
      <c r="E548" s="339">
        <v>0.6</v>
      </c>
      <c r="F548" s="161">
        <v>0.1</v>
      </c>
      <c r="G548" s="162">
        <v>15</v>
      </c>
      <c r="H548" s="400">
        <v>0.41666666666666669</v>
      </c>
      <c r="I548" s="164">
        <v>25.34</v>
      </c>
      <c r="J548" s="168"/>
      <c r="K548" s="168"/>
      <c r="L548" s="168"/>
      <c r="M548" s="168"/>
      <c r="N548" s="168">
        <v>10</v>
      </c>
    </row>
    <row r="549" spans="1:14" ht="24" x14ac:dyDescent="0.3">
      <c r="A549" s="158" t="s">
        <v>170</v>
      </c>
      <c r="B549" s="158" t="s">
        <v>695</v>
      </c>
      <c r="C549" s="159" t="s">
        <v>349</v>
      </c>
      <c r="D549" s="160" t="s">
        <v>580</v>
      </c>
      <c r="E549" s="339">
        <v>0.66700000000000004</v>
      </c>
      <c r="F549" s="161">
        <v>0.1</v>
      </c>
      <c r="G549" s="162">
        <v>15</v>
      </c>
      <c r="H549" s="400">
        <v>0.41666666666666669</v>
      </c>
      <c r="I549" s="164">
        <v>29.28</v>
      </c>
      <c r="J549" s="168"/>
      <c r="K549" s="168"/>
      <c r="L549" s="168"/>
      <c r="M549" s="168"/>
      <c r="N549" s="168">
        <v>12</v>
      </c>
    </row>
    <row r="550" spans="1:14" ht="24" x14ac:dyDescent="0.3">
      <c r="A550" s="158" t="s">
        <v>170</v>
      </c>
      <c r="B550" s="158" t="s">
        <v>696</v>
      </c>
      <c r="C550" s="159" t="s">
        <v>349</v>
      </c>
      <c r="D550" s="160" t="s">
        <v>581</v>
      </c>
      <c r="E550" s="339">
        <v>0.71400000000000008</v>
      </c>
      <c r="F550" s="161">
        <v>0.1</v>
      </c>
      <c r="G550" s="162">
        <v>15</v>
      </c>
      <c r="H550" s="400">
        <v>0.41666666666666669</v>
      </c>
      <c r="I550" s="164">
        <v>32.1</v>
      </c>
      <c r="J550" s="168"/>
      <c r="K550" s="168"/>
      <c r="L550" s="168"/>
      <c r="M550" s="168"/>
      <c r="N550" s="168">
        <v>14</v>
      </c>
    </row>
    <row r="551" spans="1:14" x14ac:dyDescent="0.3">
      <c r="A551" s="158" t="s">
        <v>170</v>
      </c>
      <c r="B551" s="158" t="s">
        <v>697</v>
      </c>
      <c r="C551" s="159" t="s">
        <v>349</v>
      </c>
      <c r="D551" s="160" t="s">
        <v>582</v>
      </c>
      <c r="E551" s="339">
        <v>0.5</v>
      </c>
      <c r="F551" s="161">
        <v>0.1</v>
      </c>
      <c r="G551" s="162">
        <v>15</v>
      </c>
      <c r="H551" s="400">
        <v>0.41666666666666669</v>
      </c>
      <c r="I551" s="164">
        <v>28.75</v>
      </c>
      <c r="J551" s="168"/>
      <c r="K551" s="168"/>
      <c r="L551" s="168"/>
      <c r="M551" s="168"/>
      <c r="N551" s="168">
        <v>8</v>
      </c>
    </row>
    <row r="552" spans="1:14" x14ac:dyDescent="0.3">
      <c r="A552" s="158" t="s">
        <v>170</v>
      </c>
      <c r="B552" s="158" t="str">
        <f t="shared" ref="B552" si="13">A552&amp;" - "&amp;D552</f>
        <v>AELI - 2 Couleurs+2 Blancs</v>
      </c>
      <c r="C552" s="159" t="s">
        <v>349</v>
      </c>
      <c r="D552" s="160" t="s">
        <v>583</v>
      </c>
      <c r="E552" s="339">
        <v>0.5</v>
      </c>
      <c r="F552" s="161">
        <v>0.1</v>
      </c>
      <c r="G552" s="162">
        <v>15</v>
      </c>
      <c r="H552" s="400">
        <v>0.41666666666666669</v>
      </c>
      <c r="I552" s="164">
        <v>10.11</v>
      </c>
      <c r="J552" s="168"/>
      <c r="K552" s="168"/>
      <c r="L552" s="168"/>
      <c r="M552" s="168"/>
      <c r="N552" s="168">
        <v>8</v>
      </c>
    </row>
    <row r="553" spans="1:14" ht="24" x14ac:dyDescent="0.3">
      <c r="A553" s="158" t="s">
        <v>170</v>
      </c>
      <c r="B553" s="158" t="s">
        <v>698</v>
      </c>
      <c r="C553" s="159" t="s">
        <v>349</v>
      </c>
      <c r="D553" s="160" t="s">
        <v>584</v>
      </c>
      <c r="E553" s="339">
        <v>0.6</v>
      </c>
      <c r="F553" s="161">
        <v>0.1</v>
      </c>
      <c r="G553" s="162">
        <v>15</v>
      </c>
      <c r="H553" s="400">
        <v>0.41666666666666669</v>
      </c>
      <c r="I553" s="164">
        <v>17.89</v>
      </c>
      <c r="J553" s="168"/>
      <c r="K553" s="168"/>
      <c r="L553" s="168"/>
      <c r="M553" s="168"/>
      <c r="N553" s="168">
        <v>10</v>
      </c>
    </row>
    <row r="554" spans="1:14" ht="24" x14ac:dyDescent="0.3">
      <c r="A554" s="158" t="s">
        <v>170</v>
      </c>
      <c r="B554" s="158" t="s">
        <v>699</v>
      </c>
      <c r="C554" s="159" t="s">
        <v>349</v>
      </c>
      <c r="D554" s="160" t="s">
        <v>585</v>
      </c>
      <c r="E554" s="339">
        <v>0.66700000000000004</v>
      </c>
      <c r="F554" s="161">
        <v>0.1</v>
      </c>
      <c r="G554" s="162">
        <v>15</v>
      </c>
      <c r="H554" s="400">
        <v>0.41666666666666669</v>
      </c>
      <c r="I554" s="164">
        <v>23.07</v>
      </c>
      <c r="J554" s="168"/>
      <c r="K554" s="168"/>
      <c r="L554" s="168"/>
      <c r="M554" s="168"/>
      <c r="N554" s="168">
        <v>12</v>
      </c>
    </row>
    <row r="555" spans="1:14" ht="24" x14ac:dyDescent="0.3">
      <c r="A555" s="158" t="s">
        <v>170</v>
      </c>
      <c r="B555" s="158" t="s">
        <v>700</v>
      </c>
      <c r="C555" s="159" t="s">
        <v>349</v>
      </c>
      <c r="D555" s="160" t="s">
        <v>586</v>
      </c>
      <c r="E555" s="339">
        <v>0.71400000000000008</v>
      </c>
      <c r="F555" s="161">
        <v>0.1</v>
      </c>
      <c r="G555" s="162">
        <v>15</v>
      </c>
      <c r="H555" s="400">
        <v>0.41666666666666669</v>
      </c>
      <c r="I555" s="164">
        <v>26.77</v>
      </c>
      <c r="J555" s="168"/>
      <c r="K555" s="168"/>
      <c r="L555" s="168"/>
      <c r="M555" s="168"/>
      <c r="N555" s="168">
        <v>14</v>
      </c>
    </row>
    <row r="556" spans="1:14" ht="24" x14ac:dyDescent="0.3">
      <c r="A556" s="158" t="s">
        <v>170</v>
      </c>
      <c r="B556" s="158" t="s">
        <v>701</v>
      </c>
      <c r="C556" s="159" t="s">
        <v>349</v>
      </c>
      <c r="D556" s="160" t="s">
        <v>587</v>
      </c>
      <c r="E556" s="339">
        <v>0.75</v>
      </c>
      <c r="F556" s="161">
        <v>0.1</v>
      </c>
      <c r="G556" s="162">
        <v>15</v>
      </c>
      <c r="H556" s="400">
        <v>0.41666666666666669</v>
      </c>
      <c r="I556" s="164">
        <v>29.55</v>
      </c>
      <c r="J556" s="168"/>
      <c r="K556" s="168"/>
      <c r="L556" s="168"/>
      <c r="M556" s="168"/>
      <c r="N556" s="168">
        <v>16</v>
      </c>
    </row>
    <row r="557" spans="1:14" x14ac:dyDescent="0.3">
      <c r="A557" s="158" t="s">
        <v>170</v>
      </c>
      <c r="B557" s="158" t="s">
        <v>702</v>
      </c>
      <c r="C557" s="159" t="s">
        <v>349</v>
      </c>
      <c r="D557" s="160" t="s">
        <v>588</v>
      </c>
      <c r="E557" s="339">
        <v>0.6</v>
      </c>
      <c r="F557" s="161">
        <v>0.1</v>
      </c>
      <c r="G557" s="162">
        <v>15</v>
      </c>
      <c r="H557" s="400">
        <v>0.41666666666666669</v>
      </c>
      <c r="I557" s="164">
        <v>32.799999999999997</v>
      </c>
      <c r="J557" s="168"/>
      <c r="K557" s="168"/>
      <c r="L557" s="168"/>
      <c r="M557" s="168"/>
      <c r="N557" s="168">
        <v>10</v>
      </c>
    </row>
    <row r="558" spans="1:14" x14ac:dyDescent="0.3">
      <c r="A558" s="158" t="s">
        <v>170</v>
      </c>
      <c r="B558" s="158" t="s">
        <v>703</v>
      </c>
      <c r="C558" s="159" t="s">
        <v>349</v>
      </c>
      <c r="D558" s="160" t="s">
        <v>589</v>
      </c>
      <c r="E558" s="339">
        <v>0.66700000000000004</v>
      </c>
      <c r="F558" s="161">
        <v>0.1</v>
      </c>
      <c r="G558" s="162">
        <v>15</v>
      </c>
      <c r="H558" s="400">
        <v>0.41666666666666669</v>
      </c>
      <c r="I558" s="164">
        <v>35.5</v>
      </c>
      <c r="J558" s="168"/>
      <c r="K558" s="168"/>
      <c r="L558" s="168"/>
      <c r="M558" s="168"/>
      <c r="N558" s="168">
        <v>12</v>
      </c>
    </row>
    <row r="559" spans="1:14" x14ac:dyDescent="0.3">
      <c r="A559" s="158" t="s">
        <v>170</v>
      </c>
      <c r="B559" s="158" t="s">
        <v>704</v>
      </c>
      <c r="C559" s="159" t="s">
        <v>349</v>
      </c>
      <c r="D559" s="160" t="s">
        <v>590</v>
      </c>
      <c r="E559" s="339">
        <v>0</v>
      </c>
      <c r="F559" s="161">
        <v>0.1</v>
      </c>
      <c r="G559" s="162">
        <v>15</v>
      </c>
      <c r="H559" s="400">
        <v>0.41666666666666669</v>
      </c>
      <c r="I559" s="164">
        <v>48.99</v>
      </c>
      <c r="J559" s="168"/>
      <c r="K559" s="168"/>
      <c r="L559" s="168"/>
      <c r="M559" s="168"/>
      <c r="N559" s="168">
        <v>4</v>
      </c>
    </row>
    <row r="560" spans="1:14" x14ac:dyDescent="0.3">
      <c r="A560" s="158" t="s">
        <v>170</v>
      </c>
      <c r="B560" s="158" t="str">
        <f t="shared" ref="B560" si="14">A560&amp;" - "&amp;D560</f>
        <v>AELI - 2 Blancs</v>
      </c>
      <c r="C560" s="159" t="s">
        <v>349</v>
      </c>
      <c r="D560" s="160" t="s">
        <v>591</v>
      </c>
      <c r="E560" s="339">
        <v>0</v>
      </c>
      <c r="F560" s="161">
        <v>0.1</v>
      </c>
      <c r="G560" s="162">
        <v>15</v>
      </c>
      <c r="H560" s="400">
        <v>0.41666666666666669</v>
      </c>
      <c r="I560" s="164">
        <v>11.71</v>
      </c>
      <c r="J560" s="168"/>
      <c r="K560" s="168"/>
      <c r="L560" s="168"/>
      <c r="M560" s="168"/>
      <c r="N560" s="168">
        <v>4</v>
      </c>
    </row>
    <row r="561" spans="1:14" x14ac:dyDescent="0.3">
      <c r="A561" s="158" t="s">
        <v>170</v>
      </c>
      <c r="B561" s="158" t="s">
        <v>705</v>
      </c>
      <c r="C561" s="159" t="s">
        <v>349</v>
      </c>
      <c r="D561" s="160" t="s">
        <v>592</v>
      </c>
      <c r="E561" s="339">
        <v>0.33299999999999996</v>
      </c>
      <c r="F561" s="161">
        <v>0.1</v>
      </c>
      <c r="G561" s="162">
        <v>15</v>
      </c>
      <c r="H561" s="400">
        <v>0.41666666666666669</v>
      </c>
      <c r="I561" s="164">
        <v>24.14</v>
      </c>
      <c r="J561" s="168"/>
      <c r="K561" s="168"/>
      <c r="L561" s="168"/>
      <c r="M561" s="168"/>
      <c r="N561" s="168">
        <v>6</v>
      </c>
    </row>
    <row r="562" spans="1:14" x14ac:dyDescent="0.3">
      <c r="A562" s="158" t="s">
        <v>170</v>
      </c>
      <c r="B562" s="158" t="s">
        <v>706</v>
      </c>
      <c r="C562" s="159" t="s">
        <v>349</v>
      </c>
      <c r="D562" s="160" t="s">
        <v>593</v>
      </c>
      <c r="E562" s="339">
        <v>0.5</v>
      </c>
      <c r="F562" s="161">
        <v>0.1</v>
      </c>
      <c r="G562" s="162">
        <v>15</v>
      </c>
      <c r="H562" s="400">
        <v>0.41666666666666669</v>
      </c>
      <c r="I562" s="164">
        <v>30.35</v>
      </c>
      <c r="J562" s="168"/>
      <c r="K562" s="168"/>
      <c r="L562" s="168"/>
      <c r="M562" s="168"/>
      <c r="N562" s="168">
        <v>8</v>
      </c>
    </row>
    <row r="563" spans="1:14" x14ac:dyDescent="0.3">
      <c r="A563" s="158" t="s">
        <v>170</v>
      </c>
      <c r="B563" s="158" t="s">
        <v>707</v>
      </c>
      <c r="C563" s="159" t="s">
        <v>349</v>
      </c>
      <c r="D563" s="160" t="s">
        <v>594</v>
      </c>
      <c r="E563" s="339">
        <v>0.6</v>
      </c>
      <c r="F563" s="161">
        <v>0.1</v>
      </c>
      <c r="G563" s="162">
        <v>15</v>
      </c>
      <c r="H563" s="400">
        <v>0.41666666666666669</v>
      </c>
      <c r="I563" s="164">
        <v>34.08</v>
      </c>
      <c r="J563" s="168"/>
      <c r="K563" s="168"/>
      <c r="L563" s="168"/>
      <c r="M563" s="168"/>
      <c r="N563" s="168">
        <v>10</v>
      </c>
    </row>
    <row r="564" spans="1:14" x14ac:dyDescent="0.3">
      <c r="A564" s="158" t="s">
        <v>170</v>
      </c>
      <c r="B564" s="158" t="s">
        <v>708</v>
      </c>
      <c r="C564" s="159" t="s">
        <v>349</v>
      </c>
      <c r="D564" s="160" t="s">
        <v>595</v>
      </c>
      <c r="E564" s="339">
        <v>0.66700000000000004</v>
      </c>
      <c r="F564" s="161">
        <v>0.1</v>
      </c>
      <c r="G564" s="162">
        <v>15</v>
      </c>
      <c r="H564" s="400">
        <v>0.41666666666666669</v>
      </c>
      <c r="I564" s="164">
        <v>36.56</v>
      </c>
      <c r="J564" s="168"/>
      <c r="K564" s="168"/>
      <c r="L564" s="168"/>
      <c r="M564" s="168"/>
      <c r="N564" s="168">
        <v>12</v>
      </c>
    </row>
    <row r="565" spans="1:14" x14ac:dyDescent="0.3">
      <c r="A565" s="158" t="s">
        <v>170</v>
      </c>
      <c r="B565" s="158" t="s">
        <v>709</v>
      </c>
      <c r="C565" s="159" t="s">
        <v>349</v>
      </c>
      <c r="D565" s="160" t="s">
        <v>597</v>
      </c>
      <c r="E565" s="339">
        <v>0.5</v>
      </c>
      <c r="F565" s="161">
        <v>0.1</v>
      </c>
      <c r="G565" s="162">
        <v>15</v>
      </c>
      <c r="H565" s="400">
        <v>0.41666666666666669</v>
      </c>
      <c r="I565" s="164">
        <v>18.63</v>
      </c>
      <c r="J565" s="168"/>
      <c r="K565" s="168"/>
      <c r="L565" s="168"/>
      <c r="M565" s="168"/>
      <c r="N565" s="168">
        <v>8</v>
      </c>
    </row>
    <row r="566" spans="1:14" x14ac:dyDescent="0.3">
      <c r="A566" s="158" t="s">
        <v>170</v>
      </c>
      <c r="B566" s="158" t="str">
        <f t="shared" ref="B566:B567" si="15">A566&amp;" - "&amp;D566</f>
        <v>AELI - 3 Couleurs</v>
      </c>
      <c r="C566" s="159" t="s">
        <v>349</v>
      </c>
      <c r="D566" s="160" t="s">
        <v>596</v>
      </c>
      <c r="E566" s="339">
        <v>0.33299999999999996</v>
      </c>
      <c r="F566" s="161">
        <v>0.1</v>
      </c>
      <c r="G566" s="162">
        <v>15</v>
      </c>
      <c r="H566" s="400">
        <v>0.41666666666666669</v>
      </c>
      <c r="I566" s="164">
        <v>8.52</v>
      </c>
      <c r="J566" s="168"/>
      <c r="K566" s="168"/>
      <c r="L566" s="168"/>
      <c r="M566" s="168"/>
      <c r="N566" s="168">
        <v>6</v>
      </c>
    </row>
    <row r="567" spans="1:14" x14ac:dyDescent="0.3">
      <c r="A567" s="158" t="s">
        <v>170</v>
      </c>
      <c r="B567" s="158" t="str">
        <f t="shared" si="15"/>
        <v>AELI - 3 Couleurs+1 Blanc</v>
      </c>
      <c r="C567" s="159" t="s">
        <v>349</v>
      </c>
      <c r="D567" s="160" t="s">
        <v>598</v>
      </c>
      <c r="E567" s="339">
        <v>0.5</v>
      </c>
      <c r="F567" s="161">
        <v>0.1</v>
      </c>
      <c r="G567" s="162">
        <v>15</v>
      </c>
      <c r="H567" s="400">
        <v>0.41666666666666669</v>
      </c>
      <c r="I567" s="164">
        <v>9.31</v>
      </c>
      <c r="J567" s="168"/>
      <c r="K567" s="168"/>
      <c r="L567" s="168"/>
      <c r="M567" s="168"/>
      <c r="N567" s="168">
        <v>8</v>
      </c>
    </row>
    <row r="568" spans="1:14" ht="24" x14ac:dyDescent="0.3">
      <c r="A568" s="158" t="s">
        <v>170</v>
      </c>
      <c r="B568" s="158" t="s">
        <v>710</v>
      </c>
      <c r="C568" s="159" t="s">
        <v>349</v>
      </c>
      <c r="D568" s="160" t="s">
        <v>599</v>
      </c>
      <c r="E568" s="339">
        <v>0.6</v>
      </c>
      <c r="F568" s="161">
        <v>0.1</v>
      </c>
      <c r="G568" s="162">
        <v>15</v>
      </c>
      <c r="H568" s="400">
        <v>0.41666666666666669</v>
      </c>
      <c r="I568" s="164">
        <v>17.25</v>
      </c>
      <c r="J568" s="168"/>
      <c r="K568" s="168"/>
      <c r="L568" s="168"/>
      <c r="M568" s="168"/>
      <c r="N568" s="168">
        <v>10</v>
      </c>
    </row>
    <row r="569" spans="1:14" ht="24" x14ac:dyDescent="0.3">
      <c r="A569" s="158" t="s">
        <v>170</v>
      </c>
      <c r="B569" s="158" t="s">
        <v>711</v>
      </c>
      <c r="C569" s="159" t="s">
        <v>349</v>
      </c>
      <c r="D569" s="160" t="s">
        <v>600</v>
      </c>
      <c r="E569" s="339">
        <v>0.66700000000000004</v>
      </c>
      <c r="F569" s="161">
        <v>0.1</v>
      </c>
      <c r="G569" s="162">
        <v>15</v>
      </c>
      <c r="H569" s="400">
        <v>0.41666666666666669</v>
      </c>
      <c r="I569" s="164">
        <v>22.54</v>
      </c>
      <c r="J569" s="168"/>
      <c r="K569" s="168"/>
      <c r="L569" s="168"/>
      <c r="M569" s="168"/>
      <c r="N569" s="168">
        <v>12</v>
      </c>
    </row>
    <row r="570" spans="1:14" ht="24" x14ac:dyDescent="0.3">
      <c r="A570" s="158" t="s">
        <v>170</v>
      </c>
      <c r="B570" s="158" t="s">
        <v>712</v>
      </c>
      <c r="C570" s="159" t="s">
        <v>349</v>
      </c>
      <c r="D570" s="160" t="s">
        <v>601</v>
      </c>
      <c r="E570" s="339">
        <v>0.71400000000000008</v>
      </c>
      <c r="F570" s="161">
        <v>0.1</v>
      </c>
      <c r="G570" s="162">
        <v>15</v>
      </c>
      <c r="H570" s="400">
        <v>0.41666666666666669</v>
      </c>
      <c r="I570" s="164">
        <v>26.32</v>
      </c>
      <c r="J570" s="168"/>
      <c r="K570" s="168"/>
      <c r="L570" s="168"/>
      <c r="M570" s="168"/>
      <c r="N570" s="168">
        <v>14</v>
      </c>
    </row>
    <row r="571" spans="1:14" ht="24" x14ac:dyDescent="0.3">
      <c r="A571" s="158" t="s">
        <v>170</v>
      </c>
      <c r="B571" s="158" t="s">
        <v>713</v>
      </c>
      <c r="C571" s="159" t="s">
        <v>349</v>
      </c>
      <c r="D571" s="160" t="s">
        <v>602</v>
      </c>
      <c r="E571" s="339">
        <v>0.75</v>
      </c>
      <c r="F571" s="161">
        <v>0.1</v>
      </c>
      <c r="G571" s="162">
        <v>15</v>
      </c>
      <c r="H571" s="400">
        <v>0.41666666666666669</v>
      </c>
      <c r="I571" s="164">
        <v>29.15</v>
      </c>
      <c r="J571" s="168"/>
      <c r="K571" s="168"/>
      <c r="L571" s="168"/>
      <c r="M571" s="168"/>
      <c r="N571" s="168">
        <v>16</v>
      </c>
    </row>
    <row r="572" spans="1:14" x14ac:dyDescent="0.3">
      <c r="A572" s="158" t="s">
        <v>170</v>
      </c>
      <c r="B572" s="158" t="s">
        <v>714</v>
      </c>
      <c r="C572" s="159" t="s">
        <v>349</v>
      </c>
      <c r="D572" s="160" t="s">
        <v>603</v>
      </c>
      <c r="E572" s="339">
        <v>0.6</v>
      </c>
      <c r="F572" s="161">
        <v>0.1</v>
      </c>
      <c r="G572" s="162">
        <v>15</v>
      </c>
      <c r="H572" s="400">
        <v>0.41666666666666669</v>
      </c>
      <c r="I572" s="164">
        <v>24.7</v>
      </c>
      <c r="J572" s="168"/>
      <c r="K572" s="168"/>
      <c r="L572" s="168"/>
      <c r="M572" s="168"/>
      <c r="N572" s="168">
        <v>10</v>
      </c>
    </row>
    <row r="573" spans="1:14" x14ac:dyDescent="0.3">
      <c r="A573" s="158" t="s">
        <v>170</v>
      </c>
      <c r="B573" s="158" t="str">
        <f t="shared" ref="B573" si="16">A573&amp;" - "&amp;D573</f>
        <v>AELI - 3 Couleurs+2 Blancs</v>
      </c>
      <c r="C573" s="159" t="s">
        <v>349</v>
      </c>
      <c r="D573" s="160" t="s">
        <v>604</v>
      </c>
      <c r="E573" s="339">
        <v>0.6</v>
      </c>
      <c r="F573" s="161">
        <v>0.1</v>
      </c>
      <c r="G573" s="162">
        <v>15</v>
      </c>
      <c r="H573" s="400">
        <v>0.41666666666666669</v>
      </c>
      <c r="I573" s="164">
        <v>9.7899999999999991</v>
      </c>
      <c r="J573" s="168"/>
      <c r="K573" s="168"/>
      <c r="L573" s="168"/>
      <c r="M573" s="168"/>
      <c r="N573" s="168">
        <v>10</v>
      </c>
    </row>
    <row r="574" spans="1:14" ht="24" x14ac:dyDescent="0.3">
      <c r="A574" s="158" t="s">
        <v>170</v>
      </c>
      <c r="B574" s="158" t="s">
        <v>715</v>
      </c>
      <c r="C574" s="159" t="s">
        <v>349</v>
      </c>
      <c r="D574" s="160" t="s">
        <v>605</v>
      </c>
      <c r="E574" s="339">
        <v>0.66700000000000004</v>
      </c>
      <c r="F574" s="161">
        <v>0.1</v>
      </c>
      <c r="G574" s="162">
        <v>15</v>
      </c>
      <c r="H574" s="400">
        <v>0.41666666666666669</v>
      </c>
      <c r="I574" s="164">
        <v>16.329999999999998</v>
      </c>
      <c r="J574" s="168"/>
      <c r="K574" s="168"/>
      <c r="L574" s="168"/>
      <c r="M574" s="168"/>
      <c r="N574" s="168">
        <v>12</v>
      </c>
    </row>
    <row r="575" spans="1:14" ht="24" x14ac:dyDescent="0.3">
      <c r="A575" s="158" t="s">
        <v>170</v>
      </c>
      <c r="B575" s="158" t="s">
        <v>716</v>
      </c>
      <c r="C575" s="159" t="s">
        <v>349</v>
      </c>
      <c r="D575" s="160" t="s">
        <v>606</v>
      </c>
      <c r="E575" s="339">
        <v>0.71400000000000008</v>
      </c>
      <c r="F575" s="161">
        <v>0.1</v>
      </c>
      <c r="G575" s="162">
        <v>15</v>
      </c>
      <c r="H575" s="400">
        <v>0.41666666666666669</v>
      </c>
      <c r="I575" s="164">
        <v>20.99</v>
      </c>
      <c r="J575" s="168"/>
      <c r="K575" s="168"/>
      <c r="L575" s="168"/>
      <c r="M575" s="168"/>
      <c r="N575" s="168">
        <v>14</v>
      </c>
    </row>
    <row r="576" spans="1:14" ht="24" x14ac:dyDescent="0.3">
      <c r="A576" s="158" t="s">
        <v>170</v>
      </c>
      <c r="B576" s="158" t="s">
        <v>717</v>
      </c>
      <c r="C576" s="159" t="s">
        <v>349</v>
      </c>
      <c r="D576" s="160" t="s">
        <v>607</v>
      </c>
      <c r="E576" s="339">
        <v>0.75</v>
      </c>
      <c r="F576" s="161">
        <v>0.1</v>
      </c>
      <c r="G576" s="162">
        <v>15</v>
      </c>
      <c r="H576" s="400">
        <v>0.41666666666666669</v>
      </c>
      <c r="I576" s="164">
        <v>24.49</v>
      </c>
      <c r="J576" s="168"/>
      <c r="K576" s="168"/>
      <c r="L576" s="168"/>
      <c r="M576" s="168"/>
      <c r="N576" s="168">
        <v>16</v>
      </c>
    </row>
    <row r="577" spans="1:14" ht="24" x14ac:dyDescent="0.3">
      <c r="A577" s="158" t="s">
        <v>170</v>
      </c>
      <c r="B577" s="158" t="s">
        <v>718</v>
      </c>
      <c r="C577" s="159" t="s">
        <v>349</v>
      </c>
      <c r="D577" s="160" t="s">
        <v>608</v>
      </c>
      <c r="E577" s="339">
        <v>0.77800000000000002</v>
      </c>
      <c r="F577" s="161">
        <v>0.1</v>
      </c>
      <c r="G577" s="162">
        <v>15</v>
      </c>
      <c r="H577" s="400">
        <v>0.41666666666666669</v>
      </c>
      <c r="I577" s="164">
        <v>27.21</v>
      </c>
      <c r="J577" s="168"/>
      <c r="K577" s="168"/>
      <c r="L577" s="168"/>
      <c r="M577" s="168"/>
      <c r="N577" s="168">
        <v>18</v>
      </c>
    </row>
    <row r="578" spans="1:14" x14ac:dyDescent="0.3">
      <c r="A578" s="158" t="s">
        <v>170</v>
      </c>
      <c r="B578" s="158" t="s">
        <v>719</v>
      </c>
      <c r="C578" s="159" t="s">
        <v>349</v>
      </c>
      <c r="D578" s="160" t="s">
        <v>609</v>
      </c>
      <c r="E578" s="339">
        <v>0.66700000000000004</v>
      </c>
      <c r="F578" s="161">
        <v>0.1</v>
      </c>
      <c r="G578" s="162">
        <v>15</v>
      </c>
      <c r="H578" s="400">
        <v>0.41666666666666669</v>
      </c>
      <c r="I578" s="164">
        <v>28.75</v>
      </c>
      <c r="J578" s="168"/>
      <c r="K578" s="168"/>
      <c r="L578" s="168"/>
      <c r="M578" s="168"/>
      <c r="N578" s="168">
        <v>12</v>
      </c>
    </row>
    <row r="579" spans="1:14" x14ac:dyDescent="0.3">
      <c r="A579" s="158" t="s">
        <v>170</v>
      </c>
      <c r="B579" s="158" t="s">
        <v>720</v>
      </c>
      <c r="C579" s="159" t="s">
        <v>349</v>
      </c>
      <c r="D579" s="160" t="s">
        <v>610</v>
      </c>
      <c r="E579" s="339">
        <v>0.71400000000000008</v>
      </c>
      <c r="F579" s="161">
        <v>0.1</v>
      </c>
      <c r="G579" s="162">
        <v>15</v>
      </c>
      <c r="H579" s="400">
        <v>0.41666666666666669</v>
      </c>
      <c r="I579" s="164">
        <v>31.64</v>
      </c>
      <c r="J579" s="168"/>
      <c r="K579" s="168"/>
      <c r="L579" s="168"/>
      <c r="M579" s="168"/>
      <c r="N579" s="168">
        <v>14</v>
      </c>
    </row>
    <row r="580" spans="1:14" x14ac:dyDescent="0.3">
      <c r="A580" s="158" t="s">
        <v>170</v>
      </c>
      <c r="B580" s="158" t="s">
        <v>721</v>
      </c>
      <c r="C580" s="159" t="s">
        <v>349</v>
      </c>
      <c r="D580" s="160" t="s">
        <v>611</v>
      </c>
      <c r="E580" s="339">
        <v>0.33299999999999996</v>
      </c>
      <c r="F580" s="161">
        <v>0.1</v>
      </c>
      <c r="G580" s="162">
        <v>15</v>
      </c>
      <c r="H580" s="400">
        <v>0.41666666666666669</v>
      </c>
      <c r="I580" s="164">
        <v>48.99</v>
      </c>
      <c r="J580" s="168"/>
      <c r="K580" s="168"/>
      <c r="L580" s="168"/>
      <c r="M580" s="168"/>
      <c r="N580" s="168">
        <v>6</v>
      </c>
    </row>
    <row r="581" spans="1:14" x14ac:dyDescent="0.3">
      <c r="A581" s="158" t="s">
        <v>170</v>
      </c>
      <c r="B581" s="158" t="s">
        <v>722</v>
      </c>
      <c r="C581" s="159" t="s">
        <v>349</v>
      </c>
      <c r="D581" s="160" t="s">
        <v>612</v>
      </c>
      <c r="E581" s="339">
        <v>0.6</v>
      </c>
      <c r="F581" s="161">
        <v>0.1</v>
      </c>
      <c r="G581" s="162">
        <v>15</v>
      </c>
      <c r="H581" s="400">
        <v>0.41666666666666669</v>
      </c>
      <c r="I581" s="164">
        <v>16.61</v>
      </c>
      <c r="J581" s="168"/>
      <c r="K581" s="168"/>
      <c r="L581" s="168"/>
      <c r="M581" s="168"/>
      <c r="N581" s="168">
        <v>10</v>
      </c>
    </row>
    <row r="582" spans="1:14" x14ac:dyDescent="0.3">
      <c r="A582" s="158" t="s">
        <v>170</v>
      </c>
      <c r="B582" s="158" t="str">
        <f t="shared" ref="B582:B583" si="17">A582&amp;" - "&amp;D582</f>
        <v>AELI - 4 Couleurs</v>
      </c>
      <c r="C582" s="159" t="s">
        <v>349</v>
      </c>
      <c r="D582" s="160" t="s">
        <v>33</v>
      </c>
      <c r="E582" s="339">
        <v>0.5</v>
      </c>
      <c r="F582" s="161">
        <v>0.1</v>
      </c>
      <c r="G582" s="162">
        <v>15</v>
      </c>
      <c r="H582" s="400">
        <v>0.41666666666666669</v>
      </c>
      <c r="I582" s="164">
        <v>8.52</v>
      </c>
      <c r="J582" s="168"/>
      <c r="K582" s="168"/>
      <c r="L582" s="168"/>
      <c r="M582" s="168"/>
      <c r="N582" s="168">
        <v>8</v>
      </c>
    </row>
    <row r="583" spans="1:14" x14ac:dyDescent="0.3">
      <c r="A583" s="158" t="s">
        <v>170</v>
      </c>
      <c r="B583" s="158" t="str">
        <f t="shared" si="17"/>
        <v>AELI - 4 Couleurs+1 Blanc</v>
      </c>
      <c r="C583" s="159" t="s">
        <v>349</v>
      </c>
      <c r="D583" s="160" t="s">
        <v>613</v>
      </c>
      <c r="E583" s="339">
        <v>0.6</v>
      </c>
      <c r="F583" s="161">
        <v>0.1</v>
      </c>
      <c r="G583" s="162">
        <v>15</v>
      </c>
      <c r="H583" s="400">
        <v>0.41666666666666669</v>
      </c>
      <c r="I583" s="164">
        <v>9.15</v>
      </c>
      <c r="J583" s="168"/>
      <c r="K583" s="168"/>
      <c r="L583" s="168"/>
      <c r="M583" s="168"/>
      <c r="N583" s="168">
        <v>10</v>
      </c>
    </row>
    <row r="584" spans="1:14" ht="24" x14ac:dyDescent="0.3">
      <c r="A584" s="158" t="s">
        <v>170</v>
      </c>
      <c r="B584" s="158" t="s">
        <v>723</v>
      </c>
      <c r="C584" s="159" t="s">
        <v>349</v>
      </c>
      <c r="D584" s="160" t="s">
        <v>614</v>
      </c>
      <c r="E584" s="339">
        <v>0.66700000000000004</v>
      </c>
      <c r="F584" s="161">
        <v>0.1</v>
      </c>
      <c r="G584" s="162">
        <v>15</v>
      </c>
      <c r="H584" s="400">
        <v>0.41666666666666669</v>
      </c>
      <c r="I584" s="164">
        <v>15.79</v>
      </c>
      <c r="J584" s="168"/>
      <c r="K584" s="168"/>
      <c r="L584" s="168"/>
      <c r="M584" s="168"/>
      <c r="N584" s="168">
        <v>12</v>
      </c>
    </row>
    <row r="585" spans="1:14" ht="24" x14ac:dyDescent="0.3">
      <c r="A585" s="158" t="s">
        <v>170</v>
      </c>
      <c r="B585" s="158" t="s">
        <v>724</v>
      </c>
      <c r="C585" s="159" t="s">
        <v>349</v>
      </c>
      <c r="D585" s="160" t="s">
        <v>615</v>
      </c>
      <c r="E585" s="339">
        <v>0.71400000000000008</v>
      </c>
      <c r="F585" s="161">
        <v>0.1</v>
      </c>
      <c r="G585" s="162">
        <v>15</v>
      </c>
      <c r="H585" s="400">
        <v>0.41666666666666669</v>
      </c>
      <c r="I585" s="164">
        <v>20.53</v>
      </c>
      <c r="J585" s="168"/>
      <c r="K585" s="168"/>
      <c r="L585" s="168"/>
      <c r="M585" s="168"/>
      <c r="N585" s="168">
        <v>14</v>
      </c>
    </row>
    <row r="586" spans="1:14" ht="24" x14ac:dyDescent="0.3">
      <c r="A586" s="158" t="s">
        <v>170</v>
      </c>
      <c r="B586" s="158" t="s">
        <v>725</v>
      </c>
      <c r="C586" s="159" t="s">
        <v>349</v>
      </c>
      <c r="D586" s="160" t="s">
        <v>616</v>
      </c>
      <c r="E586" s="339">
        <v>0.75</v>
      </c>
      <c r="F586" s="161">
        <v>0.1</v>
      </c>
      <c r="G586" s="162">
        <v>15</v>
      </c>
      <c r="H586" s="400">
        <v>0.41666666666666669</v>
      </c>
      <c r="I586" s="164">
        <v>24.09</v>
      </c>
      <c r="J586" s="168"/>
      <c r="K586" s="168"/>
      <c r="L586" s="168"/>
      <c r="M586" s="168"/>
      <c r="N586" s="168">
        <v>16</v>
      </c>
    </row>
    <row r="587" spans="1:14" ht="24" x14ac:dyDescent="0.3">
      <c r="A587" s="158" t="s">
        <v>170</v>
      </c>
      <c r="B587" s="158" t="s">
        <v>726</v>
      </c>
      <c r="C587" s="159" t="s">
        <v>349</v>
      </c>
      <c r="D587" s="160" t="s">
        <v>617</v>
      </c>
      <c r="E587" s="339">
        <v>0.77800000000000002</v>
      </c>
      <c r="F587" s="161">
        <v>0.1</v>
      </c>
      <c r="G587" s="162">
        <v>15</v>
      </c>
      <c r="H587" s="400">
        <v>0.41666666666666669</v>
      </c>
      <c r="I587" s="164">
        <v>26.86</v>
      </c>
      <c r="J587" s="168"/>
      <c r="K587" s="168"/>
      <c r="L587" s="168"/>
      <c r="M587" s="168"/>
      <c r="N587" s="168">
        <v>18</v>
      </c>
    </row>
    <row r="588" spans="1:14" x14ac:dyDescent="0.3">
      <c r="A588" s="158" t="s">
        <v>170</v>
      </c>
      <c r="B588" s="158" t="s">
        <v>727</v>
      </c>
      <c r="C588" s="159" t="s">
        <v>349</v>
      </c>
      <c r="D588" s="160" t="s">
        <v>618</v>
      </c>
      <c r="E588" s="339">
        <v>0.66700000000000004</v>
      </c>
      <c r="F588" s="161">
        <v>0.1</v>
      </c>
      <c r="G588" s="162">
        <v>15</v>
      </c>
      <c r="H588" s="400">
        <v>0.41666666666666669</v>
      </c>
      <c r="I588" s="164">
        <v>22.01</v>
      </c>
      <c r="J588" s="168"/>
      <c r="K588" s="168"/>
      <c r="L588" s="168"/>
      <c r="M588" s="168"/>
      <c r="N588" s="168">
        <v>12</v>
      </c>
    </row>
    <row r="589" spans="1:14" x14ac:dyDescent="0.3">
      <c r="A589" s="158" t="s">
        <v>170</v>
      </c>
      <c r="B589" s="158" t="str">
        <f t="shared" ref="B589" si="18">A589&amp;" - "&amp;D589</f>
        <v>AELI - 4 Couleurs+2 Blancs</v>
      </c>
      <c r="C589" s="159" t="s">
        <v>349</v>
      </c>
      <c r="D589" s="160" t="s">
        <v>619</v>
      </c>
      <c r="E589" s="339">
        <v>0.66700000000000004</v>
      </c>
      <c r="F589" s="161">
        <v>0.1</v>
      </c>
      <c r="G589" s="162">
        <v>15</v>
      </c>
      <c r="H589" s="400">
        <v>0.41666666666666669</v>
      </c>
      <c r="I589" s="164">
        <v>9.58</v>
      </c>
      <c r="J589" s="168"/>
      <c r="K589" s="168"/>
      <c r="L589" s="168"/>
      <c r="M589" s="168"/>
      <c r="N589" s="168">
        <v>12</v>
      </c>
    </row>
    <row r="590" spans="1:14" ht="24" x14ac:dyDescent="0.3">
      <c r="A590" s="158" t="s">
        <v>170</v>
      </c>
      <c r="B590" s="158" t="s">
        <v>728</v>
      </c>
      <c r="C590" s="159" t="s">
        <v>349</v>
      </c>
      <c r="D590" s="160" t="s">
        <v>620</v>
      </c>
      <c r="E590" s="339">
        <v>0.71400000000000008</v>
      </c>
      <c r="F590" s="161">
        <v>0.1</v>
      </c>
      <c r="G590" s="162">
        <v>15</v>
      </c>
      <c r="H590" s="400">
        <v>0.41666666666666669</v>
      </c>
      <c r="I590" s="164">
        <v>15.21</v>
      </c>
      <c r="J590" s="168"/>
      <c r="K590" s="168"/>
      <c r="L590" s="168"/>
      <c r="M590" s="168"/>
      <c r="N590" s="168">
        <v>14</v>
      </c>
    </row>
    <row r="591" spans="1:14" ht="24" x14ac:dyDescent="0.3">
      <c r="A591" s="158" t="s">
        <v>170</v>
      </c>
      <c r="B591" s="158" t="s">
        <v>729</v>
      </c>
      <c r="C591" s="159" t="s">
        <v>349</v>
      </c>
      <c r="D591" s="160" t="s">
        <v>621</v>
      </c>
      <c r="E591" s="339">
        <v>0.75</v>
      </c>
      <c r="F591" s="161">
        <v>0.1</v>
      </c>
      <c r="G591" s="162">
        <v>15</v>
      </c>
      <c r="H591" s="400">
        <v>0.41666666666666669</v>
      </c>
      <c r="I591" s="164">
        <v>19.43</v>
      </c>
      <c r="J591" s="168"/>
      <c r="K591" s="168"/>
      <c r="L591" s="168"/>
      <c r="M591" s="168"/>
      <c r="N591" s="168">
        <v>16</v>
      </c>
    </row>
    <row r="592" spans="1:14" ht="24" x14ac:dyDescent="0.3">
      <c r="A592" s="158" t="s">
        <v>170</v>
      </c>
      <c r="B592" s="158" t="s">
        <v>730</v>
      </c>
      <c r="C592" s="159" t="s">
        <v>349</v>
      </c>
      <c r="D592" s="160" t="s">
        <v>622</v>
      </c>
      <c r="E592" s="339">
        <v>0.77800000000000002</v>
      </c>
      <c r="F592" s="161">
        <v>0.1</v>
      </c>
      <c r="G592" s="162">
        <v>15</v>
      </c>
      <c r="H592" s="400">
        <v>0.41666666666666669</v>
      </c>
      <c r="I592" s="164">
        <v>22.72</v>
      </c>
      <c r="J592" s="168"/>
      <c r="K592" s="168"/>
      <c r="L592" s="168"/>
      <c r="M592" s="168"/>
      <c r="N592" s="168">
        <v>18</v>
      </c>
    </row>
    <row r="593" spans="1:14" ht="24" x14ac:dyDescent="0.3">
      <c r="A593" s="158" t="s">
        <v>170</v>
      </c>
      <c r="B593" s="158" t="s">
        <v>731</v>
      </c>
      <c r="C593" s="159" t="s">
        <v>349</v>
      </c>
      <c r="D593" s="160" t="s">
        <v>623</v>
      </c>
      <c r="E593" s="339">
        <v>0.8</v>
      </c>
      <c r="F593" s="161">
        <v>0.1</v>
      </c>
      <c r="G593" s="162">
        <v>15</v>
      </c>
      <c r="H593" s="400">
        <v>0.41666666666666669</v>
      </c>
      <c r="I593" s="164">
        <v>25.34</v>
      </c>
      <c r="J593" s="168"/>
      <c r="K593" s="168"/>
      <c r="L593" s="168"/>
      <c r="M593" s="168"/>
      <c r="N593" s="168">
        <v>20</v>
      </c>
    </row>
    <row r="594" spans="1:14" x14ac:dyDescent="0.3">
      <c r="A594" s="158" t="s">
        <v>170</v>
      </c>
      <c r="B594" s="158" t="s">
        <v>732</v>
      </c>
      <c r="C594" s="159" t="s">
        <v>349</v>
      </c>
      <c r="D594" s="160" t="s">
        <v>624</v>
      </c>
      <c r="E594" s="339">
        <v>0.71400000000000008</v>
      </c>
      <c r="F594" s="161">
        <v>0.1</v>
      </c>
      <c r="G594" s="162">
        <v>15</v>
      </c>
      <c r="H594" s="400">
        <v>0.41666666666666669</v>
      </c>
      <c r="I594" s="164">
        <v>25.86</v>
      </c>
      <c r="J594" s="168"/>
      <c r="K594" s="168"/>
      <c r="L594" s="168"/>
      <c r="M594" s="168"/>
      <c r="N594" s="168">
        <v>14</v>
      </c>
    </row>
    <row r="595" spans="1:14" x14ac:dyDescent="0.3">
      <c r="A595" s="158" t="s">
        <v>170</v>
      </c>
      <c r="B595" s="158" t="s">
        <v>733</v>
      </c>
      <c r="C595" s="159" t="s">
        <v>349</v>
      </c>
      <c r="D595" s="160" t="s">
        <v>625</v>
      </c>
      <c r="E595" s="339">
        <v>0.75</v>
      </c>
      <c r="F595" s="161">
        <v>0.1</v>
      </c>
      <c r="G595" s="162">
        <v>15</v>
      </c>
      <c r="H595" s="400">
        <v>0.41666666666666669</v>
      </c>
      <c r="I595" s="164">
        <v>28.75</v>
      </c>
      <c r="J595" s="168"/>
      <c r="K595" s="168"/>
      <c r="L595" s="168"/>
      <c r="M595" s="168"/>
      <c r="N595" s="168">
        <v>16</v>
      </c>
    </row>
    <row r="596" spans="1:14" x14ac:dyDescent="0.3">
      <c r="A596" s="158" t="s">
        <v>170</v>
      </c>
      <c r="B596" s="158" t="s">
        <v>734</v>
      </c>
      <c r="C596" s="159" t="s">
        <v>349</v>
      </c>
      <c r="D596" s="160" t="s">
        <v>626</v>
      </c>
      <c r="E596" s="339">
        <v>0.5</v>
      </c>
      <c r="F596" s="161">
        <v>0.1</v>
      </c>
      <c r="G596" s="162">
        <v>15</v>
      </c>
      <c r="H596" s="400">
        <v>0.41666666666666669</v>
      </c>
      <c r="I596" s="164">
        <v>48.99</v>
      </c>
      <c r="J596" s="168"/>
      <c r="K596" s="168"/>
      <c r="L596" s="168"/>
      <c r="M596" s="168"/>
      <c r="N596" s="168">
        <v>8</v>
      </c>
    </row>
    <row r="597" spans="1:14" x14ac:dyDescent="0.3">
      <c r="A597" s="158" t="s">
        <v>170</v>
      </c>
      <c r="B597" s="158" t="s">
        <v>735</v>
      </c>
      <c r="C597" s="159" t="s">
        <v>349</v>
      </c>
      <c r="D597" s="160" t="s">
        <v>628</v>
      </c>
      <c r="E597" s="339">
        <v>0.66700000000000004</v>
      </c>
      <c r="F597" s="161">
        <v>0.1</v>
      </c>
      <c r="G597" s="162">
        <v>15</v>
      </c>
      <c r="H597" s="400">
        <v>0.41666666666666669</v>
      </c>
      <c r="I597" s="164">
        <v>15.26</v>
      </c>
      <c r="J597" s="168"/>
      <c r="K597" s="168"/>
      <c r="L597" s="168"/>
      <c r="M597" s="168"/>
      <c r="N597" s="168">
        <v>12</v>
      </c>
    </row>
    <row r="598" spans="1:14" x14ac:dyDescent="0.3">
      <c r="A598" s="158" t="s">
        <v>170</v>
      </c>
      <c r="B598" s="158" t="str">
        <f t="shared" ref="B598:B599" si="19">A598&amp;" - "&amp;D598</f>
        <v>AELI - 5 Couleurs</v>
      </c>
      <c r="C598" s="159" t="s">
        <v>349</v>
      </c>
      <c r="D598" s="160" t="s">
        <v>627</v>
      </c>
      <c r="E598" s="339">
        <v>0.6</v>
      </c>
      <c r="F598" s="161">
        <v>0.1</v>
      </c>
      <c r="G598" s="162">
        <v>15</v>
      </c>
      <c r="H598" s="400">
        <v>0.41666666666666669</v>
      </c>
      <c r="I598" s="164">
        <v>8.52</v>
      </c>
      <c r="J598" s="168"/>
      <c r="K598" s="168"/>
      <c r="L598" s="168"/>
      <c r="M598" s="168"/>
      <c r="N598" s="168">
        <v>10</v>
      </c>
    </row>
    <row r="599" spans="1:14" x14ac:dyDescent="0.3">
      <c r="A599" s="158" t="s">
        <v>170</v>
      </c>
      <c r="B599" s="158" t="str">
        <f t="shared" si="19"/>
        <v>AELI - 5 Couleurs+1 Blanc</v>
      </c>
      <c r="C599" s="159" t="s">
        <v>349</v>
      </c>
      <c r="D599" s="160" t="s">
        <v>629</v>
      </c>
      <c r="E599" s="339">
        <v>0.66700000000000004</v>
      </c>
      <c r="F599" s="161">
        <v>0.1</v>
      </c>
      <c r="G599" s="162">
        <v>15</v>
      </c>
      <c r="H599" s="400">
        <v>0.41666666666666669</v>
      </c>
      <c r="I599" s="164">
        <v>9.0500000000000007</v>
      </c>
      <c r="J599" s="168"/>
      <c r="K599" s="168"/>
      <c r="L599" s="168"/>
      <c r="M599" s="168"/>
      <c r="N599" s="168">
        <v>12</v>
      </c>
    </row>
    <row r="600" spans="1:14" ht="24" x14ac:dyDescent="0.3">
      <c r="A600" s="158" t="s">
        <v>170</v>
      </c>
      <c r="B600" s="158" t="s">
        <v>736</v>
      </c>
      <c r="C600" s="159" t="s">
        <v>349</v>
      </c>
      <c r="D600" s="160" t="s">
        <v>630</v>
      </c>
      <c r="E600" s="339">
        <v>0.71400000000000008</v>
      </c>
      <c r="F600" s="161">
        <v>0.1</v>
      </c>
      <c r="G600" s="162">
        <v>15</v>
      </c>
      <c r="H600" s="400">
        <v>0.41666666666666669</v>
      </c>
      <c r="I600" s="164">
        <v>14.75</v>
      </c>
      <c r="J600" s="168"/>
      <c r="K600" s="168"/>
      <c r="L600" s="168"/>
      <c r="M600" s="168"/>
      <c r="N600" s="168">
        <v>14</v>
      </c>
    </row>
    <row r="601" spans="1:14" ht="24" x14ac:dyDescent="0.3">
      <c r="A601" s="158" t="s">
        <v>170</v>
      </c>
      <c r="B601" s="158" t="s">
        <v>737</v>
      </c>
      <c r="C601" s="159" t="s">
        <v>349</v>
      </c>
      <c r="D601" s="160" t="s">
        <v>631</v>
      </c>
      <c r="E601" s="339">
        <v>0.75</v>
      </c>
      <c r="F601" s="161">
        <v>0.1</v>
      </c>
      <c r="G601" s="162">
        <v>15</v>
      </c>
      <c r="H601" s="400">
        <v>0.41666666666666669</v>
      </c>
      <c r="I601" s="164">
        <v>19.03</v>
      </c>
      <c r="J601" s="168"/>
      <c r="K601" s="168"/>
      <c r="L601" s="168"/>
      <c r="M601" s="168"/>
      <c r="N601" s="168">
        <v>16</v>
      </c>
    </row>
    <row r="602" spans="1:14" ht="24" x14ac:dyDescent="0.3">
      <c r="A602" s="158" t="s">
        <v>170</v>
      </c>
      <c r="B602" s="158" t="s">
        <v>738</v>
      </c>
      <c r="C602" s="159" t="s">
        <v>349</v>
      </c>
      <c r="D602" s="160" t="s">
        <v>632</v>
      </c>
      <c r="E602" s="339">
        <v>0.77800000000000002</v>
      </c>
      <c r="F602" s="161">
        <v>0.1</v>
      </c>
      <c r="G602" s="162">
        <v>15</v>
      </c>
      <c r="H602" s="400">
        <v>0.41666666666666669</v>
      </c>
      <c r="I602" s="164">
        <v>22.36</v>
      </c>
      <c r="J602" s="168"/>
      <c r="K602" s="168"/>
      <c r="L602" s="168"/>
      <c r="M602" s="168"/>
      <c r="N602" s="168">
        <v>18</v>
      </c>
    </row>
    <row r="603" spans="1:14" ht="24" x14ac:dyDescent="0.3">
      <c r="A603" s="158" t="s">
        <v>170</v>
      </c>
      <c r="B603" s="158" t="s">
        <v>739</v>
      </c>
      <c r="C603" s="159" t="s">
        <v>349</v>
      </c>
      <c r="D603" s="160" t="s">
        <v>633</v>
      </c>
      <c r="E603" s="339">
        <v>0.8</v>
      </c>
      <c r="F603" s="161">
        <v>0.1</v>
      </c>
      <c r="G603" s="162">
        <v>15</v>
      </c>
      <c r="H603" s="400">
        <v>0.41666666666666669</v>
      </c>
      <c r="I603" s="164">
        <v>25.02</v>
      </c>
      <c r="J603" s="168"/>
      <c r="K603" s="168"/>
      <c r="L603" s="168"/>
      <c r="M603" s="168"/>
      <c r="N603" s="168">
        <v>20</v>
      </c>
    </row>
    <row r="604" spans="1:14" x14ac:dyDescent="0.3">
      <c r="A604" s="158" t="s">
        <v>170</v>
      </c>
      <c r="B604" s="158" t="s">
        <v>740</v>
      </c>
      <c r="C604" s="159" t="s">
        <v>349</v>
      </c>
      <c r="D604" s="160" t="s">
        <v>634</v>
      </c>
      <c r="E604" s="339">
        <v>0.71400000000000008</v>
      </c>
      <c r="F604" s="161">
        <v>0.1</v>
      </c>
      <c r="G604" s="162">
        <v>15</v>
      </c>
      <c r="H604" s="400">
        <v>0.41666666666666669</v>
      </c>
      <c r="I604" s="164">
        <v>20.079999999999998</v>
      </c>
      <c r="J604" s="168"/>
      <c r="K604" s="168"/>
      <c r="L604" s="168"/>
      <c r="M604" s="168"/>
      <c r="N604" s="168">
        <v>14</v>
      </c>
    </row>
    <row r="605" spans="1:14" x14ac:dyDescent="0.3">
      <c r="A605" s="158" t="s">
        <v>170</v>
      </c>
      <c r="B605" s="158" t="str">
        <f t="shared" ref="B605" si="20">A605&amp;" - "&amp;D605</f>
        <v>AELI - 5 Couleurs+2 Blancs</v>
      </c>
      <c r="C605" s="159" t="s">
        <v>349</v>
      </c>
      <c r="D605" s="160" t="s">
        <v>635</v>
      </c>
      <c r="E605" s="339">
        <v>0.71400000000000008</v>
      </c>
      <c r="F605" s="161">
        <v>0.1</v>
      </c>
      <c r="G605" s="162">
        <v>15</v>
      </c>
      <c r="H605" s="400">
        <v>0.41666666666666669</v>
      </c>
      <c r="I605" s="164">
        <v>9.43</v>
      </c>
      <c r="J605" s="168"/>
      <c r="K605" s="168"/>
      <c r="L605" s="168"/>
      <c r="M605" s="168"/>
      <c r="N605" s="168">
        <v>14</v>
      </c>
    </row>
    <row r="606" spans="1:14" ht="24" x14ac:dyDescent="0.3">
      <c r="A606" s="158" t="s">
        <v>170</v>
      </c>
      <c r="B606" s="158" t="s">
        <v>741</v>
      </c>
      <c r="C606" s="159" t="s">
        <v>349</v>
      </c>
      <c r="D606" s="160" t="s">
        <v>636</v>
      </c>
      <c r="E606" s="339">
        <v>0.75</v>
      </c>
      <c r="F606" s="161">
        <v>0.1</v>
      </c>
      <c r="G606" s="162">
        <v>15</v>
      </c>
      <c r="H606" s="400">
        <v>0.41666666666666669</v>
      </c>
      <c r="I606" s="164">
        <v>14.37</v>
      </c>
      <c r="J606" s="168"/>
      <c r="K606" s="168"/>
      <c r="L606" s="168"/>
      <c r="M606" s="168"/>
      <c r="N606" s="168">
        <v>16</v>
      </c>
    </row>
    <row r="607" spans="1:14" ht="24" x14ac:dyDescent="0.3">
      <c r="A607" s="158" t="s">
        <v>170</v>
      </c>
      <c r="B607" s="158" t="s">
        <v>742</v>
      </c>
      <c r="C607" s="159" t="s">
        <v>349</v>
      </c>
      <c r="D607" s="160" t="s">
        <v>637</v>
      </c>
      <c r="E607" s="339">
        <v>0.77800000000000002</v>
      </c>
      <c r="F607" s="161">
        <v>0.1</v>
      </c>
      <c r="G607" s="162">
        <v>15</v>
      </c>
      <c r="H607" s="400">
        <v>0.41666666666666669</v>
      </c>
      <c r="I607" s="164">
        <v>18.22</v>
      </c>
      <c r="J607" s="168"/>
      <c r="K607" s="168"/>
      <c r="L607" s="168"/>
      <c r="M607" s="168"/>
      <c r="N607" s="168">
        <v>18</v>
      </c>
    </row>
    <row r="608" spans="1:14" ht="24" x14ac:dyDescent="0.3">
      <c r="A608" s="158" t="s">
        <v>170</v>
      </c>
      <c r="B608" s="158" t="s">
        <v>743</v>
      </c>
      <c r="C608" s="159" t="s">
        <v>349</v>
      </c>
      <c r="D608" s="160" t="s">
        <v>638</v>
      </c>
      <c r="E608" s="339">
        <v>0.8</v>
      </c>
      <c r="F608" s="161">
        <v>0.1</v>
      </c>
      <c r="G608" s="162">
        <v>15</v>
      </c>
      <c r="H608" s="400">
        <v>0.41666666666666669</v>
      </c>
      <c r="I608" s="164">
        <v>21.3</v>
      </c>
      <c r="J608" s="168"/>
      <c r="K608" s="168"/>
      <c r="L608" s="168"/>
      <c r="M608" s="168"/>
      <c r="N608" s="168">
        <v>20</v>
      </c>
    </row>
    <row r="609" spans="1:14" x14ac:dyDescent="0.3">
      <c r="A609" s="158" t="s">
        <v>170</v>
      </c>
      <c r="B609" s="158" t="s">
        <v>744</v>
      </c>
      <c r="C609" s="159" t="s">
        <v>349</v>
      </c>
      <c r="D609" s="160" t="s">
        <v>639</v>
      </c>
      <c r="E609" s="339">
        <v>0.75</v>
      </c>
      <c r="F609" s="161">
        <v>0.1</v>
      </c>
      <c r="G609" s="162">
        <v>15</v>
      </c>
      <c r="H609" s="400">
        <v>0.41666666666666669</v>
      </c>
      <c r="I609" s="164">
        <v>23.69</v>
      </c>
      <c r="J609" s="168"/>
      <c r="K609" s="168"/>
      <c r="L609" s="168"/>
      <c r="M609" s="168"/>
      <c r="N609" s="168">
        <v>16</v>
      </c>
    </row>
    <row r="610" spans="1:14" x14ac:dyDescent="0.3">
      <c r="A610" s="158" t="s">
        <v>170</v>
      </c>
      <c r="B610" s="158" t="s">
        <v>745</v>
      </c>
      <c r="C610" s="159" t="s">
        <v>349</v>
      </c>
      <c r="D610" s="160" t="s">
        <v>640</v>
      </c>
      <c r="E610" s="339">
        <v>0.77800000000000002</v>
      </c>
      <c r="F610" s="161">
        <v>0.1</v>
      </c>
      <c r="G610" s="162">
        <v>15</v>
      </c>
      <c r="H610" s="400">
        <v>0.41666666666666669</v>
      </c>
      <c r="I610" s="164">
        <v>26.5</v>
      </c>
      <c r="J610" s="168"/>
      <c r="K610" s="168"/>
      <c r="L610" s="168"/>
      <c r="M610" s="168"/>
      <c r="N610" s="168">
        <v>18</v>
      </c>
    </row>
    <row r="611" spans="1:14" x14ac:dyDescent="0.3">
      <c r="A611" s="158" t="s">
        <v>170</v>
      </c>
      <c r="B611" s="158" t="s">
        <v>746</v>
      </c>
      <c r="C611" s="159" t="s">
        <v>349</v>
      </c>
      <c r="D611" s="160" t="s">
        <v>642</v>
      </c>
      <c r="E611" s="339">
        <v>0.71400000000000008</v>
      </c>
      <c r="F611" s="161">
        <v>0.1</v>
      </c>
      <c r="G611" s="162">
        <v>15</v>
      </c>
      <c r="H611" s="400">
        <v>0.41666666666666669</v>
      </c>
      <c r="I611" s="164">
        <v>14.3</v>
      </c>
      <c r="J611" s="168"/>
      <c r="K611" s="168"/>
      <c r="L611" s="168"/>
      <c r="M611" s="168"/>
      <c r="N611" s="168">
        <v>14</v>
      </c>
    </row>
    <row r="612" spans="1:14" x14ac:dyDescent="0.3">
      <c r="A612" s="158" t="s">
        <v>170</v>
      </c>
      <c r="B612" s="158" t="str">
        <f t="shared" ref="B612:B613" si="21">A612&amp;" - "&amp;D612</f>
        <v>AELI - 6 Couleurs</v>
      </c>
      <c r="C612" s="159" t="s">
        <v>349</v>
      </c>
      <c r="D612" s="160" t="s">
        <v>641</v>
      </c>
      <c r="E612" s="339">
        <v>0.66700000000000004</v>
      </c>
      <c r="F612" s="161">
        <v>0.1</v>
      </c>
      <c r="G612" s="162">
        <v>15</v>
      </c>
      <c r="H612" s="400">
        <v>0.41666666666666669</v>
      </c>
      <c r="I612" s="164">
        <v>8.52</v>
      </c>
      <c r="J612" s="168"/>
      <c r="K612" s="168"/>
      <c r="L612" s="168"/>
      <c r="M612" s="168"/>
      <c r="N612" s="168">
        <v>12</v>
      </c>
    </row>
    <row r="613" spans="1:14" x14ac:dyDescent="0.3">
      <c r="A613" s="158" t="s">
        <v>170</v>
      </c>
      <c r="B613" s="158" t="str">
        <f t="shared" si="21"/>
        <v>AELI - 6 Couleurs+1 Blanc</v>
      </c>
      <c r="C613" s="159" t="s">
        <v>349</v>
      </c>
      <c r="D613" s="160" t="s">
        <v>643</v>
      </c>
      <c r="E613" s="339">
        <v>0.71400000000000008</v>
      </c>
      <c r="F613" s="161">
        <v>0.1</v>
      </c>
      <c r="G613" s="162">
        <v>15</v>
      </c>
      <c r="H613" s="400">
        <v>0.41666666666666669</v>
      </c>
      <c r="I613" s="164">
        <v>8.9700000000000006</v>
      </c>
      <c r="J613" s="168"/>
      <c r="K613" s="168"/>
      <c r="L613" s="168"/>
      <c r="M613" s="168"/>
      <c r="N613" s="168">
        <v>14</v>
      </c>
    </row>
    <row r="614" spans="1:14" ht="24" x14ac:dyDescent="0.3">
      <c r="A614" s="158" t="s">
        <v>170</v>
      </c>
      <c r="B614" s="158" t="s">
        <v>747</v>
      </c>
      <c r="C614" s="159" t="s">
        <v>349</v>
      </c>
      <c r="D614" s="160" t="s">
        <v>644</v>
      </c>
      <c r="E614" s="339">
        <v>0.75</v>
      </c>
      <c r="F614" s="161">
        <v>0.1</v>
      </c>
      <c r="G614" s="162">
        <v>15</v>
      </c>
      <c r="H614" s="400">
        <v>0.41666666666666669</v>
      </c>
      <c r="I614" s="164">
        <v>13.97</v>
      </c>
      <c r="J614" s="168"/>
      <c r="K614" s="168"/>
      <c r="L614" s="168"/>
      <c r="M614" s="168"/>
      <c r="N614" s="168">
        <v>16</v>
      </c>
    </row>
    <row r="615" spans="1:14" ht="24" x14ac:dyDescent="0.3">
      <c r="A615" s="158" t="s">
        <v>170</v>
      </c>
      <c r="B615" s="158" t="s">
        <v>748</v>
      </c>
      <c r="C615" s="159" t="s">
        <v>349</v>
      </c>
      <c r="D615" s="160" t="s">
        <v>645</v>
      </c>
      <c r="E615" s="339">
        <v>0.77800000000000002</v>
      </c>
      <c r="F615" s="161">
        <v>0.1</v>
      </c>
      <c r="G615" s="162">
        <v>15</v>
      </c>
      <c r="H615" s="400">
        <v>0.41666666666666669</v>
      </c>
      <c r="I615" s="164">
        <v>17.86</v>
      </c>
      <c r="J615" s="168"/>
      <c r="K615" s="168"/>
      <c r="L615" s="168"/>
      <c r="M615" s="168"/>
      <c r="N615" s="168">
        <v>18</v>
      </c>
    </row>
    <row r="616" spans="1:14" ht="24" x14ac:dyDescent="0.3">
      <c r="A616" s="158" t="s">
        <v>170</v>
      </c>
      <c r="B616" s="158" t="s">
        <v>749</v>
      </c>
      <c r="C616" s="159" t="s">
        <v>349</v>
      </c>
      <c r="D616" s="160" t="s">
        <v>646</v>
      </c>
      <c r="E616" s="339">
        <v>0.8</v>
      </c>
      <c r="F616" s="161">
        <v>0.1</v>
      </c>
      <c r="G616" s="162">
        <v>15</v>
      </c>
      <c r="H616" s="400">
        <v>0.41666666666666669</v>
      </c>
      <c r="I616" s="164">
        <v>20.98</v>
      </c>
      <c r="J616" s="168"/>
      <c r="K616" s="168"/>
      <c r="L616" s="168"/>
      <c r="M616" s="168"/>
      <c r="N616" s="168">
        <v>20</v>
      </c>
    </row>
    <row r="617" spans="1:14" x14ac:dyDescent="0.3">
      <c r="A617" s="158" t="s">
        <v>170</v>
      </c>
      <c r="B617" s="158" t="s">
        <v>750</v>
      </c>
      <c r="C617" s="159" t="s">
        <v>349</v>
      </c>
      <c r="D617" s="160" t="s">
        <v>647</v>
      </c>
      <c r="E617" s="339">
        <v>0.75</v>
      </c>
      <c r="F617" s="161">
        <v>0.1</v>
      </c>
      <c r="G617" s="162">
        <v>15</v>
      </c>
      <c r="H617" s="400">
        <v>0.41666666666666669</v>
      </c>
      <c r="I617" s="164">
        <v>18.63</v>
      </c>
      <c r="J617" s="168"/>
      <c r="K617" s="168"/>
      <c r="L617" s="168"/>
      <c r="M617" s="168"/>
      <c r="N617" s="168">
        <v>16</v>
      </c>
    </row>
    <row r="618" spans="1:14" x14ac:dyDescent="0.3">
      <c r="A618" s="158" t="s">
        <v>170</v>
      </c>
      <c r="B618" s="158" t="str">
        <f t="shared" ref="B618" si="22">A618&amp;" - "&amp;D618</f>
        <v>AELI - 6 Couleurs+2 Blancs</v>
      </c>
      <c r="C618" s="159" t="s">
        <v>349</v>
      </c>
      <c r="D618" s="160" t="s">
        <v>648</v>
      </c>
      <c r="E618" s="339">
        <v>0.75</v>
      </c>
      <c r="F618" s="161">
        <v>0.1</v>
      </c>
      <c r="G618" s="162">
        <v>15</v>
      </c>
      <c r="H618" s="400">
        <v>0.41666666666666669</v>
      </c>
      <c r="I618" s="164">
        <v>9.31</v>
      </c>
      <c r="J618" s="168"/>
      <c r="K618" s="168"/>
      <c r="L618" s="168"/>
      <c r="M618" s="168"/>
      <c r="N618" s="168">
        <v>16</v>
      </c>
    </row>
    <row r="619" spans="1:14" ht="24" x14ac:dyDescent="0.3">
      <c r="A619" s="158" t="s">
        <v>170</v>
      </c>
      <c r="B619" s="158" t="s">
        <v>751</v>
      </c>
      <c r="C619" s="159" t="s">
        <v>349</v>
      </c>
      <c r="D619" s="160" t="s">
        <v>649</v>
      </c>
      <c r="E619" s="339">
        <v>0.77800000000000002</v>
      </c>
      <c r="F619" s="161">
        <v>0.1</v>
      </c>
      <c r="G619" s="162">
        <v>15</v>
      </c>
      <c r="H619" s="400">
        <v>0.41666666666666669</v>
      </c>
      <c r="I619" s="164">
        <v>13.72</v>
      </c>
      <c r="J619" s="168"/>
      <c r="K619" s="168"/>
      <c r="L619" s="168"/>
      <c r="M619" s="168"/>
      <c r="N619" s="168">
        <v>18</v>
      </c>
    </row>
    <row r="620" spans="1:14" ht="24" x14ac:dyDescent="0.3">
      <c r="A620" s="158" t="s">
        <v>170</v>
      </c>
      <c r="B620" s="158" t="s">
        <v>752</v>
      </c>
      <c r="C620" s="159" t="s">
        <v>349</v>
      </c>
      <c r="D620" s="160" t="s">
        <v>650</v>
      </c>
      <c r="E620" s="339">
        <v>0.8</v>
      </c>
      <c r="F620" s="161">
        <v>0.1</v>
      </c>
      <c r="G620" s="162">
        <v>15</v>
      </c>
      <c r="H620" s="400">
        <v>0.41666666666666669</v>
      </c>
      <c r="I620" s="164">
        <v>17.25</v>
      </c>
      <c r="J620" s="168"/>
      <c r="K620" s="168"/>
      <c r="L620" s="168"/>
      <c r="M620" s="168"/>
      <c r="N620" s="168">
        <v>20</v>
      </c>
    </row>
    <row r="621" spans="1:14" x14ac:dyDescent="0.3">
      <c r="A621" s="158" t="s">
        <v>170</v>
      </c>
      <c r="B621" s="158" t="s">
        <v>753</v>
      </c>
      <c r="C621" s="159" t="s">
        <v>349</v>
      </c>
      <c r="D621" s="160" t="s">
        <v>651</v>
      </c>
      <c r="E621" s="339">
        <v>0.77800000000000002</v>
      </c>
      <c r="F621" s="161">
        <v>0.1</v>
      </c>
      <c r="G621" s="162">
        <v>15</v>
      </c>
      <c r="H621" s="400">
        <v>0.41666666666666669</v>
      </c>
      <c r="I621" s="164">
        <v>22.01</v>
      </c>
      <c r="J621" s="168"/>
      <c r="K621" s="168"/>
      <c r="L621" s="168"/>
      <c r="M621" s="168"/>
      <c r="N621" s="168">
        <v>18</v>
      </c>
    </row>
    <row r="622" spans="1:14" x14ac:dyDescent="0.3">
      <c r="A622" s="158" t="s">
        <v>170</v>
      </c>
      <c r="B622" s="158" t="s">
        <v>754</v>
      </c>
      <c r="C622" s="159" t="s">
        <v>349</v>
      </c>
      <c r="D622" s="160" t="s">
        <v>652</v>
      </c>
      <c r="E622" s="339">
        <v>0.8</v>
      </c>
      <c r="F622" s="161">
        <v>0.1</v>
      </c>
      <c r="G622" s="162">
        <v>15</v>
      </c>
      <c r="H622" s="400">
        <v>0.41666666666666669</v>
      </c>
      <c r="I622" s="164">
        <v>24.7</v>
      </c>
      <c r="J622" s="168"/>
      <c r="K622" s="168"/>
      <c r="L622" s="168"/>
      <c r="M622" s="168"/>
      <c r="N622" s="168">
        <v>20</v>
      </c>
    </row>
    <row r="623" spans="1:14" x14ac:dyDescent="0.3">
      <c r="A623" s="158" t="s">
        <v>170</v>
      </c>
      <c r="B623" s="158" t="s">
        <v>755</v>
      </c>
      <c r="C623" s="159" t="s">
        <v>349</v>
      </c>
      <c r="D623" s="160" t="s">
        <v>654</v>
      </c>
      <c r="E623" s="339">
        <v>0.75</v>
      </c>
      <c r="F623" s="161">
        <v>0.1</v>
      </c>
      <c r="G623" s="162">
        <v>15</v>
      </c>
      <c r="H623" s="400">
        <v>0.41666666666666669</v>
      </c>
      <c r="I623" s="164">
        <v>13.57</v>
      </c>
      <c r="J623" s="168"/>
      <c r="K623" s="168"/>
      <c r="L623" s="168"/>
      <c r="M623" s="168"/>
      <c r="N623" s="168">
        <v>16</v>
      </c>
    </row>
    <row r="624" spans="1:14" x14ac:dyDescent="0.3">
      <c r="A624" s="158" t="s">
        <v>170</v>
      </c>
      <c r="B624" s="158" t="str">
        <f t="shared" ref="B624:B625" si="23">A624&amp;" - "&amp;D624</f>
        <v>AELI - 7 Couleurs</v>
      </c>
      <c r="C624" s="159" t="s">
        <v>349</v>
      </c>
      <c r="D624" s="160" t="s">
        <v>653</v>
      </c>
      <c r="E624" s="339">
        <v>0.71400000000000008</v>
      </c>
      <c r="F624" s="161">
        <v>0.1</v>
      </c>
      <c r="G624" s="162">
        <v>15</v>
      </c>
      <c r="H624" s="400">
        <v>0.41666666666666669</v>
      </c>
      <c r="I624" s="164">
        <v>8.52</v>
      </c>
      <c r="J624" s="168"/>
      <c r="K624" s="168"/>
      <c r="L624" s="168"/>
      <c r="M624" s="168"/>
      <c r="N624" s="168">
        <v>14</v>
      </c>
    </row>
    <row r="625" spans="1:14" x14ac:dyDescent="0.3">
      <c r="A625" s="158" t="s">
        <v>170</v>
      </c>
      <c r="B625" s="158" t="str">
        <f t="shared" si="23"/>
        <v>AELI - 7 Couleurs+1 Blanc</v>
      </c>
      <c r="C625" s="159" t="s">
        <v>349</v>
      </c>
      <c r="D625" s="160" t="s">
        <v>655</v>
      </c>
      <c r="E625" s="339">
        <v>0.75</v>
      </c>
      <c r="F625" s="161">
        <v>0.1</v>
      </c>
      <c r="G625" s="162">
        <v>15</v>
      </c>
      <c r="H625" s="400">
        <v>0.41666666666666669</v>
      </c>
      <c r="I625" s="164">
        <v>8.91</v>
      </c>
      <c r="J625" s="168"/>
      <c r="K625" s="168"/>
      <c r="L625" s="168"/>
      <c r="M625" s="168"/>
      <c r="N625" s="168">
        <v>16</v>
      </c>
    </row>
    <row r="626" spans="1:14" ht="24" x14ac:dyDescent="0.3">
      <c r="A626" s="158" t="s">
        <v>170</v>
      </c>
      <c r="B626" s="158" t="s">
        <v>756</v>
      </c>
      <c r="C626" s="159" t="s">
        <v>349</v>
      </c>
      <c r="D626" s="160" t="s">
        <v>656</v>
      </c>
      <c r="E626" s="339">
        <v>0.77800000000000002</v>
      </c>
      <c r="F626" s="161">
        <v>0.1</v>
      </c>
      <c r="G626" s="162">
        <v>15</v>
      </c>
      <c r="H626" s="400">
        <v>0.41666666666666669</v>
      </c>
      <c r="I626" s="164">
        <v>13.37</v>
      </c>
      <c r="J626" s="168"/>
      <c r="K626" s="168"/>
      <c r="L626" s="168"/>
      <c r="M626" s="168"/>
      <c r="N626" s="168">
        <v>18</v>
      </c>
    </row>
    <row r="627" spans="1:14" ht="24" x14ac:dyDescent="0.3">
      <c r="A627" s="158" t="s">
        <v>170</v>
      </c>
      <c r="B627" s="158" t="s">
        <v>757</v>
      </c>
      <c r="C627" s="159" t="s">
        <v>349</v>
      </c>
      <c r="D627" s="160" t="s">
        <v>657</v>
      </c>
      <c r="E627" s="339">
        <v>0.8</v>
      </c>
      <c r="F627" s="161">
        <v>0.1</v>
      </c>
      <c r="G627" s="162">
        <v>15</v>
      </c>
      <c r="H627" s="400">
        <v>0.41666666666666669</v>
      </c>
      <c r="I627" s="164">
        <v>16.93</v>
      </c>
      <c r="J627" s="168"/>
      <c r="K627" s="168"/>
      <c r="L627" s="168"/>
      <c r="M627" s="168"/>
      <c r="N627" s="168">
        <v>20</v>
      </c>
    </row>
    <row r="628" spans="1:14" x14ac:dyDescent="0.3">
      <c r="A628" s="158" t="s">
        <v>170</v>
      </c>
      <c r="B628" s="158" t="s">
        <v>758</v>
      </c>
      <c r="C628" s="159" t="s">
        <v>349</v>
      </c>
      <c r="D628" s="160" t="s">
        <v>658</v>
      </c>
      <c r="E628" s="339">
        <v>0.77800000000000002</v>
      </c>
      <c r="F628" s="161">
        <v>0.1</v>
      </c>
      <c r="G628" s="162">
        <v>15</v>
      </c>
      <c r="H628" s="400">
        <v>0.41666666666666669</v>
      </c>
      <c r="I628" s="164">
        <v>17.510000000000002</v>
      </c>
      <c r="J628" s="168"/>
      <c r="K628" s="168"/>
      <c r="L628" s="168"/>
      <c r="M628" s="168"/>
      <c r="N628" s="168">
        <v>18</v>
      </c>
    </row>
    <row r="629" spans="1:14" x14ac:dyDescent="0.3">
      <c r="A629" s="158" t="s">
        <v>170</v>
      </c>
      <c r="B629" s="158" t="str">
        <f t="shared" ref="B629" si="24">A629&amp;" - "&amp;D629</f>
        <v>AELI - 7 Couleurs+2 Blancs</v>
      </c>
      <c r="C629" s="159" t="s">
        <v>349</v>
      </c>
      <c r="D629" s="160" t="s">
        <v>659</v>
      </c>
      <c r="E629" s="339">
        <v>0.77800000000000002</v>
      </c>
      <c r="F629" s="161">
        <v>0.1</v>
      </c>
      <c r="G629" s="162">
        <v>15</v>
      </c>
      <c r="H629" s="400">
        <v>0.41666666666666669</v>
      </c>
      <c r="I629" s="164">
        <v>9.23</v>
      </c>
      <c r="J629" s="168"/>
      <c r="K629" s="168"/>
      <c r="L629" s="168"/>
      <c r="M629" s="168"/>
      <c r="N629" s="168">
        <v>18</v>
      </c>
    </row>
    <row r="630" spans="1:14" ht="24" x14ac:dyDescent="0.3">
      <c r="A630" s="158" t="s">
        <v>170</v>
      </c>
      <c r="B630" s="158" t="s">
        <v>759</v>
      </c>
      <c r="C630" s="159" t="s">
        <v>349</v>
      </c>
      <c r="D630" s="160" t="s">
        <v>660</v>
      </c>
      <c r="E630" s="339">
        <v>0.8</v>
      </c>
      <c r="F630" s="161">
        <v>0.1</v>
      </c>
      <c r="G630" s="162">
        <v>15</v>
      </c>
      <c r="H630" s="400">
        <v>0.41666666666666669</v>
      </c>
      <c r="I630" s="164">
        <v>13.2</v>
      </c>
      <c r="J630" s="168"/>
      <c r="K630" s="168"/>
      <c r="L630" s="168"/>
      <c r="M630" s="168"/>
      <c r="N630" s="168">
        <v>20</v>
      </c>
    </row>
    <row r="631" spans="1:14" x14ac:dyDescent="0.3">
      <c r="A631" s="158" t="s">
        <v>170</v>
      </c>
      <c r="B631" s="158" t="s">
        <v>760</v>
      </c>
      <c r="C631" s="159" t="s">
        <v>349</v>
      </c>
      <c r="D631" s="160" t="s">
        <v>661</v>
      </c>
      <c r="E631" s="339">
        <v>0.8</v>
      </c>
      <c r="F631" s="161">
        <v>0.1</v>
      </c>
      <c r="G631" s="162">
        <v>15</v>
      </c>
      <c r="H631" s="400">
        <v>0.41666666666666669</v>
      </c>
      <c r="I631" s="164">
        <v>20.66</v>
      </c>
      <c r="J631" s="168"/>
      <c r="K631" s="168"/>
      <c r="L631" s="168"/>
      <c r="M631" s="168"/>
      <c r="N631" s="168">
        <v>20</v>
      </c>
    </row>
    <row r="632" spans="1:14" x14ac:dyDescent="0.3">
      <c r="A632" s="158" t="s">
        <v>170</v>
      </c>
      <c r="B632" s="158" t="s">
        <v>761</v>
      </c>
      <c r="C632" s="159" t="s">
        <v>349</v>
      </c>
      <c r="D632" s="160" t="s">
        <v>662</v>
      </c>
      <c r="E632" s="339">
        <v>0.77800000000000002</v>
      </c>
      <c r="F632" s="161">
        <v>0.1</v>
      </c>
      <c r="G632" s="162">
        <v>15</v>
      </c>
      <c r="H632" s="400">
        <v>0.41666666666666669</v>
      </c>
      <c r="I632" s="164">
        <v>13.01</v>
      </c>
      <c r="J632" s="168"/>
      <c r="K632" s="168"/>
      <c r="L632" s="168"/>
      <c r="M632" s="168"/>
      <c r="N632" s="168">
        <v>18</v>
      </c>
    </row>
    <row r="633" spans="1:14" x14ac:dyDescent="0.3">
      <c r="A633" s="158" t="s">
        <v>170</v>
      </c>
      <c r="B633" s="158" t="str">
        <f t="shared" ref="B633:B634" si="25">A633&amp;" - "&amp;D633</f>
        <v>AELI - 8 Couleurs</v>
      </c>
      <c r="C633" s="159" t="s">
        <v>349</v>
      </c>
      <c r="D633" s="160" t="s">
        <v>669</v>
      </c>
      <c r="E633" s="339">
        <v>0.75</v>
      </c>
      <c r="F633" s="161">
        <v>0.1</v>
      </c>
      <c r="G633" s="162">
        <v>15</v>
      </c>
      <c r="H633" s="400">
        <v>0.41666666666666669</v>
      </c>
      <c r="I633" s="164">
        <v>8.52</v>
      </c>
      <c r="J633" s="168"/>
      <c r="K633" s="168"/>
      <c r="L633" s="168"/>
      <c r="M633" s="168"/>
      <c r="N633" s="168">
        <v>16</v>
      </c>
    </row>
    <row r="634" spans="1:14" x14ac:dyDescent="0.3">
      <c r="A634" s="158" t="s">
        <v>170</v>
      </c>
      <c r="B634" s="158" t="str">
        <f t="shared" si="25"/>
        <v>AELI - 8 Couleurs+1 Blanc</v>
      </c>
      <c r="C634" s="159" t="s">
        <v>349</v>
      </c>
      <c r="D634" s="160" t="s">
        <v>663</v>
      </c>
      <c r="E634" s="339">
        <v>0.77800000000000002</v>
      </c>
      <c r="F634" s="161">
        <v>0.1</v>
      </c>
      <c r="G634" s="162">
        <v>15</v>
      </c>
      <c r="H634" s="400">
        <v>0.41666666666666669</v>
      </c>
      <c r="I634" s="164">
        <v>8.8699999999999992</v>
      </c>
      <c r="J634" s="168"/>
      <c r="K634" s="168"/>
      <c r="L634" s="168"/>
      <c r="M634" s="168"/>
      <c r="N634" s="168">
        <v>18</v>
      </c>
    </row>
    <row r="635" spans="1:14" ht="24" x14ac:dyDescent="0.3">
      <c r="A635" s="158" t="s">
        <v>170</v>
      </c>
      <c r="B635" s="158" t="s">
        <v>762</v>
      </c>
      <c r="C635" s="159" t="s">
        <v>349</v>
      </c>
      <c r="D635" s="160" t="s">
        <v>664</v>
      </c>
      <c r="E635" s="339">
        <v>0.8</v>
      </c>
      <c r="F635" s="161">
        <v>0.1</v>
      </c>
      <c r="G635" s="162">
        <v>15</v>
      </c>
      <c r="H635" s="400">
        <v>0.41666666666666669</v>
      </c>
      <c r="I635" s="164">
        <v>12.88</v>
      </c>
      <c r="J635" s="168"/>
      <c r="K635" s="168"/>
      <c r="L635" s="168"/>
      <c r="M635" s="168"/>
      <c r="N635" s="168">
        <v>20</v>
      </c>
    </row>
    <row r="636" spans="1:14" x14ac:dyDescent="0.3">
      <c r="A636" s="158" t="s">
        <v>170</v>
      </c>
      <c r="B636" s="158" t="s">
        <v>763</v>
      </c>
      <c r="C636" s="159" t="s">
        <v>349</v>
      </c>
      <c r="D636" s="160" t="s">
        <v>665</v>
      </c>
      <c r="E636" s="339">
        <v>0.8</v>
      </c>
      <c r="F636" s="161">
        <v>0.1</v>
      </c>
      <c r="G636" s="162">
        <v>15</v>
      </c>
      <c r="H636" s="400">
        <v>0.41666666666666669</v>
      </c>
      <c r="I636" s="164">
        <v>16.61</v>
      </c>
      <c r="J636" s="168"/>
      <c r="K636" s="168"/>
      <c r="L636" s="168"/>
      <c r="M636" s="168"/>
      <c r="N636" s="168">
        <v>20</v>
      </c>
    </row>
    <row r="637" spans="1:14" x14ac:dyDescent="0.3">
      <c r="A637" s="158" t="s">
        <v>170</v>
      </c>
      <c r="B637" s="158" t="str">
        <f t="shared" ref="B637:B640" si="26">A637&amp;" - "&amp;D637</f>
        <v>AELI - 8 Couleurs+2 Blancs</v>
      </c>
      <c r="C637" s="159" t="s">
        <v>349</v>
      </c>
      <c r="D637" s="160" t="s">
        <v>666</v>
      </c>
      <c r="E637" s="339">
        <v>0.8</v>
      </c>
      <c r="F637" s="161">
        <v>0.1</v>
      </c>
      <c r="G637" s="162">
        <v>15</v>
      </c>
      <c r="H637" s="400">
        <v>0.41666666666666669</v>
      </c>
      <c r="I637" s="164">
        <v>9.15</v>
      </c>
      <c r="J637" s="168"/>
      <c r="K637" s="168"/>
      <c r="L637" s="168"/>
      <c r="M637" s="168"/>
      <c r="N637" s="168">
        <v>20</v>
      </c>
    </row>
    <row r="638" spans="1:14" x14ac:dyDescent="0.3">
      <c r="A638" s="158" t="s">
        <v>170</v>
      </c>
      <c r="B638" s="158" t="str">
        <f t="shared" si="26"/>
        <v>AELI - 9 Couleurs</v>
      </c>
      <c r="C638" s="159" t="s">
        <v>349</v>
      </c>
      <c r="D638" s="160" t="s">
        <v>670</v>
      </c>
      <c r="E638" s="161">
        <v>0.77800000000000002</v>
      </c>
      <c r="F638" s="161">
        <v>0.1</v>
      </c>
      <c r="G638" s="162">
        <v>15</v>
      </c>
      <c r="H638" s="400">
        <v>0.41666666666666669</v>
      </c>
      <c r="I638" s="164">
        <v>8.52</v>
      </c>
      <c r="J638" s="168"/>
      <c r="K638" s="168"/>
      <c r="L638" s="168"/>
      <c r="M638" s="168"/>
      <c r="N638" s="168">
        <v>18</v>
      </c>
    </row>
    <row r="639" spans="1:14" x14ac:dyDescent="0.3">
      <c r="A639" s="158" t="s">
        <v>170</v>
      </c>
      <c r="B639" s="158" t="str">
        <f t="shared" si="26"/>
        <v>AELI - 9 Couleurs+2 Blancs</v>
      </c>
      <c r="C639" s="159" t="s">
        <v>349</v>
      </c>
      <c r="D639" s="160" t="s">
        <v>673</v>
      </c>
      <c r="E639" s="161">
        <v>0.81799999999999995</v>
      </c>
      <c r="F639" s="161">
        <v>0.1</v>
      </c>
      <c r="G639" s="162">
        <v>15</v>
      </c>
      <c r="H639" s="400">
        <v>0.41666666666666669</v>
      </c>
      <c r="I639" s="164">
        <v>9.1</v>
      </c>
      <c r="J639" s="168"/>
      <c r="K639" s="168"/>
      <c r="L639" s="168"/>
      <c r="M639" s="168"/>
      <c r="N639" s="168">
        <v>22</v>
      </c>
    </row>
    <row r="640" spans="1:14" x14ac:dyDescent="0.3">
      <c r="A640" s="158" t="s">
        <v>170</v>
      </c>
      <c r="B640" s="158" t="str">
        <f t="shared" si="26"/>
        <v>AELI - 9 Couleurs+1 Blanc</v>
      </c>
      <c r="C640" s="159" t="s">
        <v>349</v>
      </c>
      <c r="D640" s="160" t="s">
        <v>671</v>
      </c>
      <c r="E640" s="161">
        <v>0.8</v>
      </c>
      <c r="F640" s="161">
        <v>0.1</v>
      </c>
      <c r="G640" s="162">
        <v>15</v>
      </c>
      <c r="H640" s="400">
        <v>0.41666666666666669</v>
      </c>
      <c r="I640" s="164">
        <v>8.83</v>
      </c>
      <c r="J640" s="168"/>
      <c r="K640" s="168"/>
      <c r="L640" s="168"/>
      <c r="M640" s="168"/>
      <c r="N640" s="168">
        <v>20</v>
      </c>
    </row>
    <row r="641" spans="1:14" x14ac:dyDescent="0.3">
      <c r="A641" s="158" t="s">
        <v>174</v>
      </c>
      <c r="B641" s="158" t="str">
        <f t="shared" ref="B641:B704" si="27">A641&amp;" - "&amp;D641</f>
        <v>AESU - Noir</v>
      </c>
      <c r="C641" s="159" t="s">
        <v>349</v>
      </c>
      <c r="D641" s="160" t="s">
        <v>554</v>
      </c>
      <c r="E641" s="161">
        <v>0</v>
      </c>
      <c r="F641" s="161">
        <v>0.1</v>
      </c>
      <c r="G641" s="162">
        <v>15</v>
      </c>
      <c r="H641" s="400">
        <v>0.41666666666666669</v>
      </c>
      <c r="I641" s="164">
        <v>8.52</v>
      </c>
      <c r="J641" s="168"/>
      <c r="K641" s="168"/>
      <c r="L641" s="168"/>
      <c r="M641" s="168"/>
      <c r="N641" s="168">
        <v>2</v>
      </c>
    </row>
    <row r="642" spans="1:14" x14ac:dyDescent="0.3">
      <c r="A642" s="158" t="s">
        <v>174</v>
      </c>
      <c r="B642" s="158" t="str">
        <f t="shared" si="27"/>
        <v>AESU - Noir+1 Silver</v>
      </c>
      <c r="C642" s="159" t="s">
        <v>349</v>
      </c>
      <c r="D642" s="160" t="s">
        <v>555</v>
      </c>
      <c r="E642" s="339">
        <v>0</v>
      </c>
      <c r="F642" s="161">
        <v>0.1</v>
      </c>
      <c r="G642" s="162">
        <v>15</v>
      </c>
      <c r="H642" s="400">
        <v>0.41666666666666669</v>
      </c>
      <c r="I642" s="164">
        <v>28.75</v>
      </c>
      <c r="J642" s="168"/>
      <c r="K642" s="168"/>
      <c r="L642" s="168"/>
      <c r="M642" s="168"/>
      <c r="N642" s="168">
        <v>4</v>
      </c>
    </row>
    <row r="643" spans="1:14" x14ac:dyDescent="0.3">
      <c r="A643" s="158" t="s">
        <v>174</v>
      </c>
      <c r="B643" s="158" t="str">
        <f t="shared" si="27"/>
        <v>AESU - Noir+1 Blanc</v>
      </c>
      <c r="C643" s="159" t="s">
        <v>349</v>
      </c>
      <c r="D643" s="160" t="s">
        <v>556</v>
      </c>
      <c r="E643" s="339">
        <v>0</v>
      </c>
      <c r="F643" s="161">
        <v>0.1</v>
      </c>
      <c r="G643" s="162">
        <v>15</v>
      </c>
      <c r="H643" s="400">
        <v>0.41666666666666669</v>
      </c>
      <c r="I643" s="164">
        <v>10.11</v>
      </c>
      <c r="J643" s="168"/>
      <c r="K643" s="168"/>
      <c r="L643" s="168"/>
      <c r="M643" s="168"/>
      <c r="N643" s="168">
        <v>4</v>
      </c>
    </row>
    <row r="644" spans="1:14" x14ac:dyDescent="0.3">
      <c r="A644" s="158" t="s">
        <v>174</v>
      </c>
      <c r="B644" s="158" t="str">
        <f t="shared" si="27"/>
        <v>AESU - Noir+1 Blanc+1 Silver</v>
      </c>
      <c r="C644" s="159" t="s">
        <v>349</v>
      </c>
      <c r="D644" s="160" t="s">
        <v>557</v>
      </c>
      <c r="E644" s="339">
        <v>0.33299999999999996</v>
      </c>
      <c r="F644" s="161">
        <v>0.1</v>
      </c>
      <c r="G644" s="162">
        <v>15</v>
      </c>
      <c r="H644" s="400">
        <v>0.41666666666666669</v>
      </c>
      <c r="I644" s="164">
        <v>23.07</v>
      </c>
      <c r="J644" s="168"/>
      <c r="K644" s="168"/>
      <c r="L644" s="168"/>
      <c r="M644" s="168"/>
      <c r="N644" s="168">
        <v>6</v>
      </c>
    </row>
    <row r="645" spans="1:14" x14ac:dyDescent="0.3">
      <c r="A645" s="158" t="s">
        <v>174</v>
      </c>
      <c r="B645" s="158" t="str">
        <f t="shared" si="27"/>
        <v>AESU - Noir+1 Blanc+2 Silvers</v>
      </c>
      <c r="C645" s="159" t="s">
        <v>349</v>
      </c>
      <c r="D645" s="160" t="s">
        <v>558</v>
      </c>
      <c r="E645" s="339">
        <v>0.5</v>
      </c>
      <c r="F645" s="161">
        <v>0.1</v>
      </c>
      <c r="G645" s="162">
        <v>15</v>
      </c>
      <c r="H645" s="400">
        <v>0.41666666666666669</v>
      </c>
      <c r="I645" s="164">
        <v>29.55</v>
      </c>
      <c r="J645" s="168"/>
      <c r="K645" s="168"/>
      <c r="L645" s="168"/>
      <c r="M645" s="168"/>
      <c r="N645" s="168">
        <v>8</v>
      </c>
    </row>
    <row r="646" spans="1:14" x14ac:dyDescent="0.3">
      <c r="A646" s="158" t="s">
        <v>174</v>
      </c>
      <c r="B646" s="158" t="str">
        <f t="shared" si="27"/>
        <v>AESU - Noir+1 Blanc+3 Silvers</v>
      </c>
      <c r="C646" s="159" t="s">
        <v>349</v>
      </c>
      <c r="D646" s="160" t="s">
        <v>559</v>
      </c>
      <c r="E646" s="339">
        <v>0.6</v>
      </c>
      <c r="F646" s="161">
        <v>0.1</v>
      </c>
      <c r="G646" s="162">
        <v>15</v>
      </c>
      <c r="H646" s="400">
        <v>0.41666666666666669</v>
      </c>
      <c r="I646" s="164">
        <v>33.44</v>
      </c>
      <c r="J646" s="168"/>
      <c r="K646" s="168"/>
      <c r="L646" s="168"/>
      <c r="M646" s="168"/>
      <c r="N646" s="168">
        <v>10</v>
      </c>
    </row>
    <row r="647" spans="1:14" x14ac:dyDescent="0.3">
      <c r="A647" s="158" t="s">
        <v>174</v>
      </c>
      <c r="B647" s="158" t="str">
        <f t="shared" si="27"/>
        <v>AESU - Noir+1 Blanc+4 Silvers</v>
      </c>
      <c r="C647" s="159" t="s">
        <v>349</v>
      </c>
      <c r="D647" s="160" t="s">
        <v>560</v>
      </c>
      <c r="E647" s="339">
        <v>0.66700000000000004</v>
      </c>
      <c r="F647" s="161">
        <v>0.1</v>
      </c>
      <c r="G647" s="162">
        <v>15</v>
      </c>
      <c r="H647" s="400">
        <v>0.41666666666666669</v>
      </c>
      <c r="I647" s="164">
        <v>36.03</v>
      </c>
      <c r="J647" s="168"/>
      <c r="K647" s="168"/>
      <c r="L647" s="168"/>
      <c r="M647" s="168"/>
      <c r="N647" s="168">
        <v>12</v>
      </c>
    </row>
    <row r="648" spans="1:14" x14ac:dyDescent="0.3">
      <c r="A648" s="158" t="s">
        <v>174</v>
      </c>
      <c r="B648" s="158" t="str">
        <f t="shared" si="27"/>
        <v>AESU - Noir+2 Silvers</v>
      </c>
      <c r="C648" s="159" t="s">
        <v>349</v>
      </c>
      <c r="D648" s="160" t="s">
        <v>561</v>
      </c>
      <c r="E648" s="339">
        <v>0.33299999999999996</v>
      </c>
      <c r="F648" s="161">
        <v>0.1</v>
      </c>
      <c r="G648" s="162">
        <v>15</v>
      </c>
      <c r="H648" s="400">
        <v>0.41666666666666669</v>
      </c>
      <c r="I648" s="164">
        <v>35.5</v>
      </c>
      <c r="J648" s="168"/>
      <c r="K648" s="168"/>
      <c r="L648" s="168"/>
      <c r="M648" s="168"/>
      <c r="N648" s="168">
        <v>6</v>
      </c>
    </row>
    <row r="649" spans="1:14" x14ac:dyDescent="0.3">
      <c r="A649" s="158" t="s">
        <v>174</v>
      </c>
      <c r="B649" s="158" t="str">
        <f t="shared" si="27"/>
        <v>AESU - Noir+2 Blancs</v>
      </c>
      <c r="C649" s="159" t="s">
        <v>349</v>
      </c>
      <c r="D649" s="160" t="s">
        <v>562</v>
      </c>
      <c r="E649" s="339">
        <v>0.33299999999999996</v>
      </c>
      <c r="F649" s="161">
        <v>0.1</v>
      </c>
      <c r="G649" s="162">
        <v>15</v>
      </c>
      <c r="H649" s="400">
        <v>0.41666666666666669</v>
      </c>
      <c r="I649" s="164">
        <v>10.65</v>
      </c>
      <c r="J649" s="168"/>
      <c r="K649" s="168"/>
      <c r="L649" s="168"/>
      <c r="M649" s="168"/>
      <c r="N649" s="168">
        <v>6</v>
      </c>
    </row>
    <row r="650" spans="1:14" x14ac:dyDescent="0.3">
      <c r="A650" s="158" t="s">
        <v>174</v>
      </c>
      <c r="B650" s="158" t="str">
        <f t="shared" si="27"/>
        <v>AESU - Noir+2 Blancs+1 Silver</v>
      </c>
      <c r="C650" s="159" t="s">
        <v>349</v>
      </c>
      <c r="D650" s="160" t="s">
        <v>563</v>
      </c>
      <c r="E650" s="339">
        <v>0.5</v>
      </c>
      <c r="F650" s="161">
        <v>0.1</v>
      </c>
      <c r="G650" s="162">
        <v>15</v>
      </c>
      <c r="H650" s="400">
        <v>0.41666666666666669</v>
      </c>
      <c r="I650" s="164">
        <v>20.23</v>
      </c>
      <c r="J650" s="168"/>
      <c r="K650" s="168"/>
      <c r="L650" s="168"/>
      <c r="M650" s="168"/>
      <c r="N650" s="168">
        <v>8</v>
      </c>
    </row>
    <row r="651" spans="1:14" x14ac:dyDescent="0.3">
      <c r="A651" s="158" t="s">
        <v>174</v>
      </c>
      <c r="B651" s="158" t="str">
        <f t="shared" si="27"/>
        <v>AESU - Noir+2 Blancs+2 Silvers</v>
      </c>
      <c r="C651" s="159" t="s">
        <v>349</v>
      </c>
      <c r="D651" s="160" t="s">
        <v>564</v>
      </c>
      <c r="E651" s="339">
        <v>0.6</v>
      </c>
      <c r="F651" s="161">
        <v>0.1</v>
      </c>
      <c r="G651" s="162">
        <v>15</v>
      </c>
      <c r="H651" s="400">
        <v>0.41666666666666669</v>
      </c>
      <c r="I651" s="164">
        <v>25.98</v>
      </c>
      <c r="J651" s="168"/>
      <c r="K651" s="168"/>
      <c r="L651" s="168"/>
      <c r="M651" s="168"/>
      <c r="N651" s="168">
        <v>10</v>
      </c>
    </row>
    <row r="652" spans="1:14" x14ac:dyDescent="0.3">
      <c r="A652" s="158" t="s">
        <v>174</v>
      </c>
      <c r="B652" s="158" t="str">
        <f t="shared" si="27"/>
        <v>AESU - Noir+2 Blancs+3 Silvers</v>
      </c>
      <c r="C652" s="159" t="s">
        <v>349</v>
      </c>
      <c r="D652" s="160" t="s">
        <v>565</v>
      </c>
      <c r="E652" s="339">
        <v>0.66700000000000004</v>
      </c>
      <c r="F652" s="161">
        <v>0.1</v>
      </c>
      <c r="G652" s="162">
        <v>15</v>
      </c>
      <c r="H652" s="400">
        <v>0.41666666666666669</v>
      </c>
      <c r="I652" s="164">
        <v>29.82</v>
      </c>
      <c r="J652" s="168"/>
      <c r="K652" s="168"/>
      <c r="L652" s="168"/>
      <c r="M652" s="168"/>
      <c r="N652" s="168">
        <v>12</v>
      </c>
    </row>
    <row r="653" spans="1:14" x14ac:dyDescent="0.3">
      <c r="A653" s="158" t="s">
        <v>174</v>
      </c>
      <c r="B653" s="158" t="str">
        <f t="shared" si="27"/>
        <v>AESU - Noir+2 Blancs+4 Silvers</v>
      </c>
      <c r="C653" s="159" t="s">
        <v>349</v>
      </c>
      <c r="D653" s="160" t="s">
        <v>566</v>
      </c>
      <c r="E653" s="339">
        <v>0.71400000000000008</v>
      </c>
      <c r="F653" s="161">
        <v>0.1</v>
      </c>
      <c r="G653" s="162">
        <v>15</v>
      </c>
      <c r="H653" s="400">
        <v>0.41666666666666669</v>
      </c>
      <c r="I653" s="164">
        <v>32.549999999999997</v>
      </c>
      <c r="J653" s="168"/>
      <c r="K653" s="168"/>
      <c r="L653" s="168"/>
      <c r="M653" s="168"/>
      <c r="N653" s="168">
        <v>14</v>
      </c>
    </row>
    <row r="654" spans="1:14" x14ac:dyDescent="0.3">
      <c r="A654" s="158" t="s">
        <v>174</v>
      </c>
      <c r="B654" s="158" t="str">
        <f t="shared" si="27"/>
        <v>AESU - Noir+3 Silvers</v>
      </c>
      <c r="C654" s="159" t="s">
        <v>349</v>
      </c>
      <c r="D654" s="160" t="s">
        <v>567</v>
      </c>
      <c r="E654" s="339">
        <v>0.5</v>
      </c>
      <c r="F654" s="161">
        <v>0.1</v>
      </c>
      <c r="G654" s="162">
        <v>15</v>
      </c>
      <c r="H654" s="400">
        <v>0.41666666666666669</v>
      </c>
      <c r="I654" s="164">
        <v>38.869999999999997</v>
      </c>
      <c r="J654" s="168"/>
      <c r="K654" s="168"/>
      <c r="L654" s="168"/>
      <c r="M654" s="168"/>
      <c r="N654" s="168">
        <v>8</v>
      </c>
    </row>
    <row r="655" spans="1:14" x14ac:dyDescent="0.3">
      <c r="A655" s="158" t="s">
        <v>174</v>
      </c>
      <c r="B655" s="158" t="str">
        <f t="shared" si="27"/>
        <v>AESU - Noir+4 Silvers</v>
      </c>
      <c r="C655" s="159" t="s">
        <v>349</v>
      </c>
      <c r="D655" s="160" t="s">
        <v>568</v>
      </c>
      <c r="E655" s="339">
        <v>0.6</v>
      </c>
      <c r="F655" s="161">
        <v>0.1</v>
      </c>
      <c r="G655" s="162">
        <v>15</v>
      </c>
      <c r="H655" s="400">
        <v>0.41666666666666669</v>
      </c>
      <c r="I655" s="164">
        <v>40.89</v>
      </c>
      <c r="J655" s="168"/>
      <c r="K655" s="168"/>
      <c r="L655" s="168"/>
      <c r="M655" s="168"/>
      <c r="N655" s="168">
        <v>10</v>
      </c>
    </row>
    <row r="656" spans="1:14" x14ac:dyDescent="0.3">
      <c r="A656" s="158" t="s">
        <v>174</v>
      </c>
      <c r="B656" s="158" t="str">
        <f t="shared" si="27"/>
        <v>AESU - 1 Silver</v>
      </c>
      <c r="C656" s="159" t="s">
        <v>349</v>
      </c>
      <c r="D656" s="160" t="s">
        <v>569</v>
      </c>
      <c r="E656" s="339">
        <v>0</v>
      </c>
      <c r="F656" s="161">
        <v>0.1</v>
      </c>
      <c r="G656" s="162">
        <v>15</v>
      </c>
      <c r="H656" s="400">
        <v>0.41666666666666669</v>
      </c>
      <c r="I656" s="164">
        <v>48.99</v>
      </c>
      <c r="J656" s="168"/>
      <c r="K656" s="168"/>
      <c r="L656" s="168"/>
      <c r="M656" s="168"/>
      <c r="N656" s="168">
        <v>2</v>
      </c>
    </row>
    <row r="657" spans="1:14" x14ac:dyDescent="0.3">
      <c r="A657" s="158" t="s">
        <v>174</v>
      </c>
      <c r="B657" s="158" t="str">
        <f t="shared" si="27"/>
        <v>AESU - 1 Blanc+1 Silver</v>
      </c>
      <c r="C657" s="159" t="s">
        <v>349</v>
      </c>
      <c r="D657" s="160" t="s">
        <v>571</v>
      </c>
      <c r="E657" s="339">
        <v>0</v>
      </c>
      <c r="F657" s="161">
        <v>0.1</v>
      </c>
      <c r="G657" s="162">
        <v>15</v>
      </c>
      <c r="H657" s="400">
        <v>0.41666666666666669</v>
      </c>
      <c r="I657" s="164">
        <v>30.35</v>
      </c>
      <c r="J657" s="168"/>
      <c r="K657" s="168"/>
      <c r="L657" s="168"/>
      <c r="M657" s="168"/>
      <c r="N657" s="168">
        <v>4</v>
      </c>
    </row>
    <row r="658" spans="1:14" x14ac:dyDescent="0.3">
      <c r="A658" s="158" t="s">
        <v>174</v>
      </c>
      <c r="B658" s="158" t="str">
        <f t="shared" si="27"/>
        <v>AESU - 1 Blanc+2 Silvers</v>
      </c>
      <c r="C658" s="159" t="s">
        <v>349</v>
      </c>
      <c r="D658" s="160" t="s">
        <v>572</v>
      </c>
      <c r="E658" s="339">
        <v>0.33299999999999996</v>
      </c>
      <c r="F658" s="161">
        <v>0.1</v>
      </c>
      <c r="G658" s="162">
        <v>15</v>
      </c>
      <c r="H658" s="400">
        <v>0.41666666666666669</v>
      </c>
      <c r="I658" s="164">
        <v>36.56</v>
      </c>
      <c r="J658" s="168"/>
      <c r="K658" s="168"/>
      <c r="L658" s="168"/>
      <c r="M658" s="168"/>
      <c r="N658" s="168">
        <v>6</v>
      </c>
    </row>
    <row r="659" spans="1:14" x14ac:dyDescent="0.3">
      <c r="A659" s="158" t="s">
        <v>174</v>
      </c>
      <c r="B659" s="158" t="str">
        <f t="shared" si="27"/>
        <v>AESU - 1 Blanc+3 Silvers</v>
      </c>
      <c r="C659" s="159" t="s">
        <v>349</v>
      </c>
      <c r="D659" s="160" t="s">
        <v>573</v>
      </c>
      <c r="E659" s="339">
        <v>0.5</v>
      </c>
      <c r="F659" s="161">
        <v>0.1</v>
      </c>
      <c r="G659" s="162">
        <v>15</v>
      </c>
      <c r="H659" s="400">
        <v>0.41666666666666669</v>
      </c>
      <c r="I659" s="164">
        <v>39.67</v>
      </c>
      <c r="J659" s="168"/>
      <c r="K659" s="168"/>
      <c r="L659" s="168"/>
      <c r="M659" s="168"/>
      <c r="N659" s="168">
        <v>8</v>
      </c>
    </row>
    <row r="660" spans="1:14" x14ac:dyDescent="0.3">
      <c r="A660" s="158" t="s">
        <v>174</v>
      </c>
      <c r="B660" s="158" t="str">
        <f t="shared" si="27"/>
        <v>AESU - 1 Blanc+4 Silvers</v>
      </c>
      <c r="C660" s="159" t="s">
        <v>349</v>
      </c>
      <c r="D660" s="160" t="s">
        <v>574</v>
      </c>
      <c r="E660" s="339">
        <v>0.6</v>
      </c>
      <c r="F660" s="161">
        <v>0.1</v>
      </c>
      <c r="G660" s="162">
        <v>15</v>
      </c>
      <c r="H660" s="400">
        <v>0.41666666666666669</v>
      </c>
      <c r="I660" s="164">
        <v>41.53</v>
      </c>
      <c r="J660" s="168"/>
      <c r="K660" s="168"/>
      <c r="L660" s="168"/>
      <c r="M660" s="168"/>
      <c r="N660" s="168">
        <v>10</v>
      </c>
    </row>
    <row r="661" spans="1:14" x14ac:dyDescent="0.3">
      <c r="A661" s="158" t="s">
        <v>174</v>
      </c>
      <c r="B661" s="158" t="str">
        <f t="shared" si="27"/>
        <v>AESU - 2 Couleurs</v>
      </c>
      <c r="C661" s="159" t="s">
        <v>349</v>
      </c>
      <c r="D661" s="160" t="s">
        <v>575</v>
      </c>
      <c r="E661" s="339">
        <v>0</v>
      </c>
      <c r="F661" s="161">
        <v>0.1</v>
      </c>
      <c r="G661" s="162">
        <v>15</v>
      </c>
      <c r="H661" s="400">
        <v>0.41666666666666669</v>
      </c>
      <c r="I661" s="164">
        <v>8.52</v>
      </c>
      <c r="J661" s="168"/>
      <c r="K661" s="168"/>
      <c r="L661" s="168"/>
      <c r="M661" s="168"/>
      <c r="N661" s="168">
        <v>4</v>
      </c>
    </row>
    <row r="662" spans="1:14" x14ac:dyDescent="0.3">
      <c r="A662" s="158" t="s">
        <v>174</v>
      </c>
      <c r="B662" s="158" t="str">
        <f t="shared" si="27"/>
        <v>AESU - 2 Couleurs+1 Silver</v>
      </c>
      <c r="C662" s="159" t="s">
        <v>349</v>
      </c>
      <c r="D662" s="160" t="s">
        <v>576</v>
      </c>
      <c r="E662" s="339">
        <v>0.33299999999999996</v>
      </c>
      <c r="F662" s="161">
        <v>0.1</v>
      </c>
      <c r="G662" s="162">
        <v>15</v>
      </c>
      <c r="H662" s="400">
        <v>0.41666666666666669</v>
      </c>
      <c r="I662" s="164">
        <v>22.01</v>
      </c>
      <c r="J662" s="168"/>
      <c r="K662" s="168"/>
      <c r="L662" s="168"/>
      <c r="M662" s="168"/>
      <c r="N662" s="168">
        <v>6</v>
      </c>
    </row>
    <row r="663" spans="1:14" x14ac:dyDescent="0.3">
      <c r="A663" s="158" t="s">
        <v>174</v>
      </c>
      <c r="B663" s="158" t="str">
        <f t="shared" si="27"/>
        <v>AESU - 2 Couleurs+1 Blanc</v>
      </c>
      <c r="C663" s="159" t="s">
        <v>349</v>
      </c>
      <c r="D663" s="160" t="s">
        <v>577</v>
      </c>
      <c r="E663" s="339">
        <v>0.33299999999999996</v>
      </c>
      <c r="F663" s="161">
        <v>0.1</v>
      </c>
      <c r="G663" s="162">
        <v>15</v>
      </c>
      <c r="H663" s="400">
        <v>0.41666666666666669</v>
      </c>
      <c r="I663" s="164">
        <v>9.58</v>
      </c>
      <c r="J663" s="168"/>
      <c r="K663" s="168"/>
      <c r="L663" s="168"/>
      <c r="M663" s="168"/>
      <c r="N663" s="168">
        <v>6</v>
      </c>
    </row>
    <row r="664" spans="1:14" ht="24" x14ac:dyDescent="0.3">
      <c r="A664" s="158" t="s">
        <v>174</v>
      </c>
      <c r="B664" s="158" t="str">
        <f t="shared" si="27"/>
        <v>AESU - 2 Couleurs+1 Blanc+1 Silver</v>
      </c>
      <c r="C664" s="159" t="s">
        <v>349</v>
      </c>
      <c r="D664" s="160" t="s">
        <v>578</v>
      </c>
      <c r="E664" s="339">
        <v>0.5</v>
      </c>
      <c r="F664" s="161">
        <v>0.1</v>
      </c>
      <c r="G664" s="162">
        <v>15</v>
      </c>
      <c r="H664" s="400">
        <v>0.41666666666666669</v>
      </c>
      <c r="I664" s="164">
        <v>19.43</v>
      </c>
      <c r="J664" s="168"/>
      <c r="K664" s="168"/>
      <c r="L664" s="168"/>
      <c r="M664" s="168"/>
      <c r="N664" s="168">
        <v>8</v>
      </c>
    </row>
    <row r="665" spans="1:14" ht="24" x14ac:dyDescent="0.3">
      <c r="A665" s="158" t="s">
        <v>174</v>
      </c>
      <c r="B665" s="158" t="str">
        <f t="shared" si="27"/>
        <v>AESU - 2 Couleurs+1 Blanc+2 Silvers</v>
      </c>
      <c r="C665" s="159" t="s">
        <v>349</v>
      </c>
      <c r="D665" s="160" t="s">
        <v>579</v>
      </c>
      <c r="E665" s="339">
        <v>0.6</v>
      </c>
      <c r="F665" s="161">
        <v>0.1</v>
      </c>
      <c r="G665" s="162">
        <v>15</v>
      </c>
      <c r="H665" s="400">
        <v>0.41666666666666669</v>
      </c>
      <c r="I665" s="164">
        <v>25.34</v>
      </c>
      <c r="J665" s="168"/>
      <c r="K665" s="168"/>
      <c r="L665" s="168"/>
      <c r="M665" s="168"/>
      <c r="N665" s="168">
        <v>10</v>
      </c>
    </row>
    <row r="666" spans="1:14" ht="24" x14ac:dyDescent="0.3">
      <c r="A666" s="158" t="s">
        <v>174</v>
      </c>
      <c r="B666" s="158" t="str">
        <f t="shared" si="27"/>
        <v>AESU - 2 Couleurs+1 Blanc+3 Silvers</v>
      </c>
      <c r="C666" s="159" t="s">
        <v>349</v>
      </c>
      <c r="D666" s="160" t="s">
        <v>580</v>
      </c>
      <c r="E666" s="339">
        <v>0.66700000000000004</v>
      </c>
      <c r="F666" s="161">
        <v>0.1</v>
      </c>
      <c r="G666" s="162">
        <v>15</v>
      </c>
      <c r="H666" s="400">
        <v>0.41666666666666669</v>
      </c>
      <c r="I666" s="164">
        <v>29.28</v>
      </c>
      <c r="J666" s="168"/>
      <c r="K666" s="168"/>
      <c r="L666" s="168"/>
      <c r="M666" s="168"/>
      <c r="N666" s="168">
        <v>12</v>
      </c>
    </row>
    <row r="667" spans="1:14" ht="24" x14ac:dyDescent="0.3">
      <c r="A667" s="158" t="s">
        <v>174</v>
      </c>
      <c r="B667" s="158" t="str">
        <f t="shared" si="27"/>
        <v>AESU - 2 Couleurs+1 Blanc+4 Silvers</v>
      </c>
      <c r="C667" s="159" t="s">
        <v>349</v>
      </c>
      <c r="D667" s="160" t="s">
        <v>581</v>
      </c>
      <c r="E667" s="339">
        <v>0.71400000000000008</v>
      </c>
      <c r="F667" s="161">
        <v>0.1</v>
      </c>
      <c r="G667" s="162">
        <v>15</v>
      </c>
      <c r="H667" s="400">
        <v>0.41666666666666669</v>
      </c>
      <c r="I667" s="164">
        <v>32.1</v>
      </c>
      <c r="J667" s="168"/>
      <c r="K667" s="168"/>
      <c r="L667" s="168"/>
      <c r="M667" s="168"/>
      <c r="N667" s="168">
        <v>14</v>
      </c>
    </row>
    <row r="668" spans="1:14" x14ac:dyDescent="0.3">
      <c r="A668" s="158" t="s">
        <v>174</v>
      </c>
      <c r="B668" s="158" t="str">
        <f t="shared" si="27"/>
        <v>AESU - 2 Couleurs+2 Silvers</v>
      </c>
      <c r="C668" s="159" t="s">
        <v>349</v>
      </c>
      <c r="D668" s="160" t="s">
        <v>582</v>
      </c>
      <c r="E668" s="339">
        <v>0.5</v>
      </c>
      <c r="F668" s="161">
        <v>0.1</v>
      </c>
      <c r="G668" s="162">
        <v>15</v>
      </c>
      <c r="H668" s="400">
        <v>0.41666666666666669</v>
      </c>
      <c r="I668" s="164">
        <v>28.75</v>
      </c>
      <c r="J668" s="168"/>
      <c r="K668" s="168"/>
      <c r="L668" s="168"/>
      <c r="M668" s="168"/>
      <c r="N668" s="168">
        <v>8</v>
      </c>
    </row>
    <row r="669" spans="1:14" x14ac:dyDescent="0.3">
      <c r="A669" s="158" t="s">
        <v>174</v>
      </c>
      <c r="B669" s="158" t="str">
        <f t="shared" si="27"/>
        <v>AESU - 2 Couleurs+2 Blancs</v>
      </c>
      <c r="C669" s="159" t="s">
        <v>349</v>
      </c>
      <c r="D669" s="160" t="s">
        <v>583</v>
      </c>
      <c r="E669" s="339">
        <v>0.5</v>
      </c>
      <c r="F669" s="161">
        <v>0.1</v>
      </c>
      <c r="G669" s="162">
        <v>15</v>
      </c>
      <c r="H669" s="400">
        <v>0.41666666666666669</v>
      </c>
      <c r="I669" s="164">
        <v>10.11</v>
      </c>
      <c r="J669" s="168"/>
      <c r="K669" s="168"/>
      <c r="L669" s="168"/>
      <c r="M669" s="168"/>
      <c r="N669" s="168">
        <v>8</v>
      </c>
    </row>
    <row r="670" spans="1:14" ht="24" x14ac:dyDescent="0.3">
      <c r="A670" s="158" t="s">
        <v>174</v>
      </c>
      <c r="B670" s="158" t="str">
        <f t="shared" si="27"/>
        <v>AESU - 2 Couleurs+2 Blancs+1 Silver</v>
      </c>
      <c r="C670" s="159" t="s">
        <v>349</v>
      </c>
      <c r="D670" s="160" t="s">
        <v>584</v>
      </c>
      <c r="E670" s="339">
        <v>0.6</v>
      </c>
      <c r="F670" s="161">
        <v>0.1</v>
      </c>
      <c r="G670" s="162">
        <v>15</v>
      </c>
      <c r="H670" s="400">
        <v>0.41666666666666669</v>
      </c>
      <c r="I670" s="164">
        <v>17.89</v>
      </c>
      <c r="J670" s="168"/>
      <c r="K670" s="168"/>
      <c r="L670" s="168"/>
      <c r="M670" s="168"/>
      <c r="N670" s="168">
        <v>10</v>
      </c>
    </row>
    <row r="671" spans="1:14" ht="24" x14ac:dyDescent="0.3">
      <c r="A671" s="158" t="s">
        <v>174</v>
      </c>
      <c r="B671" s="158" t="str">
        <f t="shared" si="27"/>
        <v>AESU - 2 Couleurs+2 Blancs+2 Silvers</v>
      </c>
      <c r="C671" s="159" t="s">
        <v>349</v>
      </c>
      <c r="D671" s="160" t="s">
        <v>585</v>
      </c>
      <c r="E671" s="339">
        <v>0.66700000000000004</v>
      </c>
      <c r="F671" s="161">
        <v>0.1</v>
      </c>
      <c r="G671" s="162">
        <v>15</v>
      </c>
      <c r="H671" s="400">
        <v>0.41666666666666669</v>
      </c>
      <c r="I671" s="164">
        <v>23.07</v>
      </c>
      <c r="J671" s="168"/>
      <c r="K671" s="168"/>
      <c r="L671" s="168"/>
      <c r="M671" s="168"/>
      <c r="N671" s="168">
        <v>12</v>
      </c>
    </row>
    <row r="672" spans="1:14" ht="24" x14ac:dyDescent="0.3">
      <c r="A672" s="158" t="s">
        <v>174</v>
      </c>
      <c r="B672" s="158" t="str">
        <f t="shared" si="27"/>
        <v>AESU - 2 Couleurs+2 Blancs+3 Silvers</v>
      </c>
      <c r="C672" s="159" t="s">
        <v>349</v>
      </c>
      <c r="D672" s="160" t="s">
        <v>586</v>
      </c>
      <c r="E672" s="339">
        <v>0.71400000000000008</v>
      </c>
      <c r="F672" s="161">
        <v>0.1</v>
      </c>
      <c r="G672" s="162">
        <v>15</v>
      </c>
      <c r="H672" s="400">
        <v>0.41666666666666669</v>
      </c>
      <c r="I672" s="164">
        <v>26.77</v>
      </c>
      <c r="J672" s="168"/>
      <c r="K672" s="168"/>
      <c r="L672" s="168"/>
      <c r="M672" s="168"/>
      <c r="N672" s="168">
        <v>14</v>
      </c>
    </row>
    <row r="673" spans="1:14" ht="24" x14ac:dyDescent="0.3">
      <c r="A673" s="158" t="s">
        <v>174</v>
      </c>
      <c r="B673" s="158" t="str">
        <f t="shared" si="27"/>
        <v>AESU - 2 Couleurs+2 Blancs+4 Silvers</v>
      </c>
      <c r="C673" s="159" t="s">
        <v>349</v>
      </c>
      <c r="D673" s="160" t="s">
        <v>587</v>
      </c>
      <c r="E673" s="339">
        <v>0.75</v>
      </c>
      <c r="F673" s="161">
        <v>0.1</v>
      </c>
      <c r="G673" s="162">
        <v>15</v>
      </c>
      <c r="H673" s="400">
        <v>0.41666666666666669</v>
      </c>
      <c r="I673" s="164">
        <v>29.55</v>
      </c>
      <c r="J673" s="168"/>
      <c r="K673" s="168"/>
      <c r="L673" s="168"/>
      <c r="M673" s="168"/>
      <c r="N673" s="168">
        <v>16</v>
      </c>
    </row>
    <row r="674" spans="1:14" x14ac:dyDescent="0.3">
      <c r="A674" s="158" t="s">
        <v>174</v>
      </c>
      <c r="B674" s="158" t="str">
        <f t="shared" si="27"/>
        <v>AESU - 2 Couleurs+3 Silvers</v>
      </c>
      <c r="C674" s="159" t="s">
        <v>349</v>
      </c>
      <c r="D674" s="160" t="s">
        <v>588</v>
      </c>
      <c r="E674" s="339">
        <v>0.6</v>
      </c>
      <c r="F674" s="161">
        <v>0.1</v>
      </c>
      <c r="G674" s="162">
        <v>15</v>
      </c>
      <c r="H674" s="400">
        <v>0.41666666666666669</v>
      </c>
      <c r="I674" s="164">
        <v>32.799999999999997</v>
      </c>
      <c r="J674" s="168"/>
      <c r="K674" s="168"/>
      <c r="L674" s="168"/>
      <c r="M674" s="168"/>
      <c r="N674" s="168">
        <v>10</v>
      </c>
    </row>
    <row r="675" spans="1:14" x14ac:dyDescent="0.3">
      <c r="A675" s="158" t="s">
        <v>174</v>
      </c>
      <c r="B675" s="158" t="str">
        <f t="shared" si="27"/>
        <v>AESU - 2 Couleurs+4 Silvers</v>
      </c>
      <c r="C675" s="159" t="s">
        <v>349</v>
      </c>
      <c r="D675" s="160" t="s">
        <v>589</v>
      </c>
      <c r="E675" s="339">
        <v>0.66700000000000004</v>
      </c>
      <c r="F675" s="161">
        <v>0.1</v>
      </c>
      <c r="G675" s="162">
        <v>15</v>
      </c>
      <c r="H675" s="400">
        <v>0.41666666666666669</v>
      </c>
      <c r="I675" s="164">
        <v>35.5</v>
      </c>
      <c r="J675" s="168"/>
      <c r="K675" s="168"/>
      <c r="L675" s="168"/>
      <c r="M675" s="168"/>
      <c r="N675" s="168">
        <v>12</v>
      </c>
    </row>
    <row r="676" spans="1:14" x14ac:dyDescent="0.3">
      <c r="A676" s="158" t="s">
        <v>174</v>
      </c>
      <c r="B676" s="158" t="str">
        <f t="shared" si="27"/>
        <v>AESU - 2 Silvers</v>
      </c>
      <c r="C676" s="159" t="s">
        <v>349</v>
      </c>
      <c r="D676" s="160" t="s">
        <v>590</v>
      </c>
      <c r="E676" s="339">
        <v>0</v>
      </c>
      <c r="F676" s="161">
        <v>0.1</v>
      </c>
      <c r="G676" s="162">
        <v>15</v>
      </c>
      <c r="H676" s="400">
        <v>0.41666666666666669</v>
      </c>
      <c r="I676" s="164">
        <v>48.99</v>
      </c>
      <c r="J676" s="168"/>
      <c r="K676" s="168"/>
      <c r="L676" s="168"/>
      <c r="M676" s="168"/>
      <c r="N676" s="168">
        <v>4</v>
      </c>
    </row>
    <row r="677" spans="1:14" x14ac:dyDescent="0.3">
      <c r="A677" s="158" t="s">
        <v>174</v>
      </c>
      <c r="B677" s="158" t="str">
        <f t="shared" si="27"/>
        <v>AESU - 2 Blancs</v>
      </c>
      <c r="C677" s="159" t="s">
        <v>349</v>
      </c>
      <c r="D677" s="160" t="s">
        <v>591</v>
      </c>
      <c r="E677" s="339">
        <v>0</v>
      </c>
      <c r="F677" s="161">
        <v>0.1</v>
      </c>
      <c r="G677" s="162">
        <v>15</v>
      </c>
      <c r="H677" s="400">
        <v>0.41666666666666669</v>
      </c>
      <c r="I677" s="164">
        <v>11.71</v>
      </c>
      <c r="J677" s="168"/>
      <c r="K677" s="168"/>
      <c r="L677" s="168"/>
      <c r="M677" s="168"/>
      <c r="N677" s="168">
        <v>4</v>
      </c>
    </row>
    <row r="678" spans="1:14" x14ac:dyDescent="0.3">
      <c r="A678" s="158" t="s">
        <v>174</v>
      </c>
      <c r="B678" s="158" t="str">
        <f t="shared" si="27"/>
        <v>AESU - 2 Blancs+1 Silver</v>
      </c>
      <c r="C678" s="159" t="s">
        <v>349</v>
      </c>
      <c r="D678" s="160" t="s">
        <v>592</v>
      </c>
      <c r="E678" s="339">
        <v>0.33299999999999996</v>
      </c>
      <c r="F678" s="161">
        <v>0.1</v>
      </c>
      <c r="G678" s="162">
        <v>15</v>
      </c>
      <c r="H678" s="400">
        <v>0.41666666666666669</v>
      </c>
      <c r="I678" s="164">
        <v>24.14</v>
      </c>
      <c r="J678" s="168"/>
      <c r="K678" s="168"/>
      <c r="L678" s="168"/>
      <c r="M678" s="168"/>
      <c r="N678" s="168">
        <v>6</v>
      </c>
    </row>
    <row r="679" spans="1:14" x14ac:dyDescent="0.3">
      <c r="A679" s="158" t="s">
        <v>174</v>
      </c>
      <c r="B679" s="158" t="str">
        <f t="shared" si="27"/>
        <v>AESU - 2 Blancs+2 Silvers</v>
      </c>
      <c r="C679" s="159" t="s">
        <v>349</v>
      </c>
      <c r="D679" s="160" t="s">
        <v>593</v>
      </c>
      <c r="E679" s="339">
        <v>0.5</v>
      </c>
      <c r="F679" s="161">
        <v>0.1</v>
      </c>
      <c r="G679" s="162">
        <v>15</v>
      </c>
      <c r="H679" s="400">
        <v>0.41666666666666669</v>
      </c>
      <c r="I679" s="164">
        <v>30.35</v>
      </c>
      <c r="J679" s="168"/>
      <c r="K679" s="168"/>
      <c r="L679" s="168"/>
      <c r="M679" s="168"/>
      <c r="N679" s="168">
        <v>8</v>
      </c>
    </row>
    <row r="680" spans="1:14" x14ac:dyDescent="0.3">
      <c r="A680" s="158" t="s">
        <v>174</v>
      </c>
      <c r="B680" s="158" t="str">
        <f t="shared" si="27"/>
        <v>AESU - 2 Blancs+3 Silvers</v>
      </c>
      <c r="C680" s="159" t="s">
        <v>349</v>
      </c>
      <c r="D680" s="160" t="s">
        <v>594</v>
      </c>
      <c r="E680" s="339">
        <v>0.6</v>
      </c>
      <c r="F680" s="161">
        <v>0.1</v>
      </c>
      <c r="G680" s="162">
        <v>15</v>
      </c>
      <c r="H680" s="400">
        <v>0.41666666666666669</v>
      </c>
      <c r="I680" s="164">
        <v>34.08</v>
      </c>
      <c r="J680" s="168"/>
      <c r="K680" s="168"/>
      <c r="L680" s="168"/>
      <c r="M680" s="168"/>
      <c r="N680" s="168">
        <v>10</v>
      </c>
    </row>
    <row r="681" spans="1:14" x14ac:dyDescent="0.3">
      <c r="A681" s="158" t="s">
        <v>174</v>
      </c>
      <c r="B681" s="158" t="str">
        <f t="shared" si="27"/>
        <v>AESU - 2 Blancs+4 Silvers</v>
      </c>
      <c r="C681" s="159" t="s">
        <v>349</v>
      </c>
      <c r="D681" s="160" t="s">
        <v>595</v>
      </c>
      <c r="E681" s="339">
        <v>0.66700000000000004</v>
      </c>
      <c r="F681" s="161">
        <v>0.1</v>
      </c>
      <c r="G681" s="162">
        <v>15</v>
      </c>
      <c r="H681" s="400">
        <v>0.41666666666666669</v>
      </c>
      <c r="I681" s="164">
        <v>36.56</v>
      </c>
      <c r="J681" s="168"/>
      <c r="K681" s="168"/>
      <c r="L681" s="168"/>
      <c r="M681" s="168"/>
      <c r="N681" s="168">
        <v>12</v>
      </c>
    </row>
    <row r="682" spans="1:14" x14ac:dyDescent="0.3">
      <c r="A682" s="158" t="s">
        <v>174</v>
      </c>
      <c r="B682" s="158" t="str">
        <f t="shared" si="27"/>
        <v>AESU - 3 Couleurs+1 Silver</v>
      </c>
      <c r="C682" s="159" t="s">
        <v>349</v>
      </c>
      <c r="D682" s="160" t="s">
        <v>597</v>
      </c>
      <c r="E682" s="339">
        <v>0.5</v>
      </c>
      <c r="F682" s="161">
        <v>0.1</v>
      </c>
      <c r="G682" s="162">
        <v>15</v>
      </c>
      <c r="H682" s="400">
        <v>0.41666666666666669</v>
      </c>
      <c r="I682" s="164">
        <v>18.63</v>
      </c>
      <c r="J682" s="168"/>
      <c r="K682" s="168"/>
      <c r="L682" s="168"/>
      <c r="M682" s="168"/>
      <c r="N682" s="168">
        <v>8</v>
      </c>
    </row>
    <row r="683" spans="1:14" x14ac:dyDescent="0.3">
      <c r="A683" s="158" t="s">
        <v>174</v>
      </c>
      <c r="B683" s="158" t="str">
        <f t="shared" si="27"/>
        <v>AESU - 3 Couleurs</v>
      </c>
      <c r="C683" s="159" t="s">
        <v>349</v>
      </c>
      <c r="D683" s="160" t="s">
        <v>596</v>
      </c>
      <c r="E683" s="339">
        <v>0.33299999999999996</v>
      </c>
      <c r="F683" s="161">
        <v>0.1</v>
      </c>
      <c r="G683" s="162">
        <v>15</v>
      </c>
      <c r="H683" s="400">
        <v>0.41666666666666669</v>
      </c>
      <c r="I683" s="164">
        <v>8.52</v>
      </c>
      <c r="J683" s="168"/>
      <c r="K683" s="168"/>
      <c r="L683" s="168"/>
      <c r="M683" s="168"/>
      <c r="N683" s="168">
        <v>6</v>
      </c>
    </row>
    <row r="684" spans="1:14" x14ac:dyDescent="0.3">
      <c r="A684" s="158" t="s">
        <v>174</v>
      </c>
      <c r="B684" s="158" t="str">
        <f t="shared" si="27"/>
        <v>AESU - 3 Couleurs+1 Blanc</v>
      </c>
      <c r="C684" s="159" t="s">
        <v>349</v>
      </c>
      <c r="D684" s="160" t="s">
        <v>598</v>
      </c>
      <c r="E684" s="339">
        <v>0.5</v>
      </c>
      <c r="F684" s="161">
        <v>0.1</v>
      </c>
      <c r="G684" s="162">
        <v>15</v>
      </c>
      <c r="H684" s="400">
        <v>0.41666666666666669</v>
      </c>
      <c r="I684" s="164">
        <v>9.31</v>
      </c>
      <c r="J684" s="168"/>
      <c r="K684" s="168"/>
      <c r="L684" s="168"/>
      <c r="M684" s="168"/>
      <c r="N684" s="168">
        <v>8</v>
      </c>
    </row>
    <row r="685" spans="1:14" ht="24" x14ac:dyDescent="0.3">
      <c r="A685" s="158" t="s">
        <v>174</v>
      </c>
      <c r="B685" s="158" t="str">
        <f t="shared" si="27"/>
        <v>AESU - 3 Couleurs+1 Blanc+1 Silver</v>
      </c>
      <c r="C685" s="159" t="s">
        <v>349</v>
      </c>
      <c r="D685" s="160" t="s">
        <v>599</v>
      </c>
      <c r="E685" s="339">
        <v>0.6</v>
      </c>
      <c r="F685" s="161">
        <v>0.1</v>
      </c>
      <c r="G685" s="162">
        <v>15</v>
      </c>
      <c r="H685" s="400">
        <v>0.41666666666666669</v>
      </c>
      <c r="I685" s="164">
        <v>17.25</v>
      </c>
      <c r="J685" s="168"/>
      <c r="K685" s="168"/>
      <c r="L685" s="168"/>
      <c r="M685" s="168"/>
      <c r="N685" s="168">
        <v>10</v>
      </c>
    </row>
    <row r="686" spans="1:14" ht="24" x14ac:dyDescent="0.3">
      <c r="A686" s="158" t="s">
        <v>174</v>
      </c>
      <c r="B686" s="158" t="str">
        <f t="shared" si="27"/>
        <v>AESU - 3 Couleurs+1 Blanc+2 Silvers</v>
      </c>
      <c r="C686" s="159" t="s">
        <v>349</v>
      </c>
      <c r="D686" s="160" t="s">
        <v>600</v>
      </c>
      <c r="E686" s="339">
        <v>0.66700000000000004</v>
      </c>
      <c r="F686" s="161">
        <v>0.1</v>
      </c>
      <c r="G686" s="162">
        <v>15</v>
      </c>
      <c r="H686" s="400">
        <v>0.41666666666666669</v>
      </c>
      <c r="I686" s="164">
        <v>22.54</v>
      </c>
      <c r="J686" s="168"/>
      <c r="K686" s="168"/>
      <c r="L686" s="168"/>
      <c r="M686" s="168"/>
      <c r="N686" s="168">
        <v>12</v>
      </c>
    </row>
    <row r="687" spans="1:14" ht="24" x14ac:dyDescent="0.3">
      <c r="A687" s="158" t="s">
        <v>174</v>
      </c>
      <c r="B687" s="158" t="str">
        <f t="shared" si="27"/>
        <v>AESU - 3 Couleurs+1 Blanc+3 Silvers</v>
      </c>
      <c r="C687" s="159" t="s">
        <v>349</v>
      </c>
      <c r="D687" s="160" t="s">
        <v>601</v>
      </c>
      <c r="E687" s="339">
        <v>0.71400000000000008</v>
      </c>
      <c r="F687" s="161">
        <v>0.1</v>
      </c>
      <c r="G687" s="162">
        <v>15</v>
      </c>
      <c r="H687" s="400">
        <v>0.41666666666666669</v>
      </c>
      <c r="I687" s="164">
        <v>26.32</v>
      </c>
      <c r="J687" s="168"/>
      <c r="K687" s="168"/>
      <c r="L687" s="168"/>
      <c r="M687" s="168"/>
      <c r="N687" s="168">
        <v>14</v>
      </c>
    </row>
    <row r="688" spans="1:14" ht="24" x14ac:dyDescent="0.3">
      <c r="A688" s="158" t="s">
        <v>174</v>
      </c>
      <c r="B688" s="158" t="str">
        <f t="shared" si="27"/>
        <v>AESU - 3 Couleurs+1 Blanc+4 Silvers</v>
      </c>
      <c r="C688" s="159" t="s">
        <v>349</v>
      </c>
      <c r="D688" s="160" t="s">
        <v>602</v>
      </c>
      <c r="E688" s="339">
        <v>0.75</v>
      </c>
      <c r="F688" s="161">
        <v>0.1</v>
      </c>
      <c r="G688" s="162">
        <v>15</v>
      </c>
      <c r="H688" s="400">
        <v>0.41666666666666669</v>
      </c>
      <c r="I688" s="164">
        <v>29.15</v>
      </c>
      <c r="J688" s="168"/>
      <c r="K688" s="168"/>
      <c r="L688" s="168"/>
      <c r="M688" s="168"/>
      <c r="N688" s="168">
        <v>16</v>
      </c>
    </row>
    <row r="689" spans="1:14" x14ac:dyDescent="0.3">
      <c r="A689" s="158" t="s">
        <v>174</v>
      </c>
      <c r="B689" s="158" t="str">
        <f t="shared" si="27"/>
        <v>AESU - 3 Couleurs+2 Silvers</v>
      </c>
      <c r="C689" s="159" t="s">
        <v>349</v>
      </c>
      <c r="D689" s="160" t="s">
        <v>603</v>
      </c>
      <c r="E689" s="339">
        <v>0.6</v>
      </c>
      <c r="F689" s="161">
        <v>0.1</v>
      </c>
      <c r="G689" s="162">
        <v>15</v>
      </c>
      <c r="H689" s="400">
        <v>0.41666666666666669</v>
      </c>
      <c r="I689" s="164">
        <v>24.7</v>
      </c>
      <c r="J689" s="168"/>
      <c r="K689" s="168"/>
      <c r="L689" s="168"/>
      <c r="M689" s="168"/>
      <c r="N689" s="168">
        <v>10</v>
      </c>
    </row>
    <row r="690" spans="1:14" x14ac:dyDescent="0.3">
      <c r="A690" s="158" t="s">
        <v>174</v>
      </c>
      <c r="B690" s="158" t="str">
        <f t="shared" si="27"/>
        <v>AESU - 3 Couleurs+2 Blancs</v>
      </c>
      <c r="C690" s="159" t="s">
        <v>349</v>
      </c>
      <c r="D690" s="160" t="s">
        <v>604</v>
      </c>
      <c r="E690" s="339">
        <v>0.6</v>
      </c>
      <c r="F690" s="161">
        <v>0.1</v>
      </c>
      <c r="G690" s="162">
        <v>15</v>
      </c>
      <c r="H690" s="400">
        <v>0.41666666666666669</v>
      </c>
      <c r="I690" s="164">
        <v>9.7899999999999991</v>
      </c>
      <c r="J690" s="168"/>
      <c r="K690" s="168"/>
      <c r="L690" s="168"/>
      <c r="M690" s="168"/>
      <c r="N690" s="168">
        <v>10</v>
      </c>
    </row>
    <row r="691" spans="1:14" ht="24" x14ac:dyDescent="0.3">
      <c r="A691" s="158" t="s">
        <v>174</v>
      </c>
      <c r="B691" s="158" t="str">
        <f t="shared" si="27"/>
        <v>AESU - 3 Couleurs+2 Blancs+1 Silver</v>
      </c>
      <c r="C691" s="159" t="s">
        <v>349</v>
      </c>
      <c r="D691" s="160" t="s">
        <v>605</v>
      </c>
      <c r="E691" s="339">
        <v>0.66700000000000004</v>
      </c>
      <c r="F691" s="161">
        <v>0.1</v>
      </c>
      <c r="G691" s="162">
        <v>15</v>
      </c>
      <c r="H691" s="400">
        <v>0.41666666666666669</v>
      </c>
      <c r="I691" s="164">
        <v>16.329999999999998</v>
      </c>
      <c r="J691" s="168"/>
      <c r="K691" s="168"/>
      <c r="L691" s="168"/>
      <c r="M691" s="168"/>
      <c r="N691" s="168">
        <v>12</v>
      </c>
    </row>
    <row r="692" spans="1:14" ht="24" x14ac:dyDescent="0.3">
      <c r="A692" s="158" t="s">
        <v>174</v>
      </c>
      <c r="B692" s="158" t="str">
        <f t="shared" si="27"/>
        <v>AESU - 3 Couleurs+2 Blancs+2 Silvers</v>
      </c>
      <c r="C692" s="159" t="s">
        <v>349</v>
      </c>
      <c r="D692" s="160" t="s">
        <v>606</v>
      </c>
      <c r="E692" s="339">
        <v>0.71400000000000008</v>
      </c>
      <c r="F692" s="161">
        <v>0.1</v>
      </c>
      <c r="G692" s="162">
        <v>15</v>
      </c>
      <c r="H692" s="400">
        <v>0.41666666666666669</v>
      </c>
      <c r="I692" s="164">
        <v>20.99</v>
      </c>
      <c r="J692" s="168"/>
      <c r="K692" s="168"/>
      <c r="L692" s="168"/>
      <c r="M692" s="168"/>
      <c r="N692" s="168">
        <v>14</v>
      </c>
    </row>
    <row r="693" spans="1:14" ht="24" x14ac:dyDescent="0.3">
      <c r="A693" s="158" t="s">
        <v>174</v>
      </c>
      <c r="B693" s="158" t="str">
        <f t="shared" si="27"/>
        <v>AESU - 3 Couleurs+2 Blancs+3 Silvers</v>
      </c>
      <c r="C693" s="159" t="s">
        <v>349</v>
      </c>
      <c r="D693" s="160" t="s">
        <v>607</v>
      </c>
      <c r="E693" s="339">
        <v>0.75</v>
      </c>
      <c r="F693" s="161">
        <v>0.1</v>
      </c>
      <c r="G693" s="162">
        <v>15</v>
      </c>
      <c r="H693" s="400">
        <v>0.41666666666666669</v>
      </c>
      <c r="I693" s="164">
        <v>24.49</v>
      </c>
      <c r="J693" s="168"/>
      <c r="K693" s="168"/>
      <c r="L693" s="168"/>
      <c r="M693" s="168"/>
      <c r="N693" s="168">
        <v>16</v>
      </c>
    </row>
    <row r="694" spans="1:14" ht="24" x14ac:dyDescent="0.3">
      <c r="A694" s="158" t="s">
        <v>174</v>
      </c>
      <c r="B694" s="158" t="str">
        <f t="shared" si="27"/>
        <v>AESU - 3 Couleurs+2 Blancs+4 Silvers</v>
      </c>
      <c r="C694" s="159" t="s">
        <v>349</v>
      </c>
      <c r="D694" s="160" t="s">
        <v>608</v>
      </c>
      <c r="E694" s="339">
        <v>0.77800000000000002</v>
      </c>
      <c r="F694" s="161">
        <v>0.1</v>
      </c>
      <c r="G694" s="162">
        <v>15</v>
      </c>
      <c r="H694" s="400">
        <v>0.41666666666666669</v>
      </c>
      <c r="I694" s="164">
        <v>27.21</v>
      </c>
      <c r="J694" s="168"/>
      <c r="K694" s="168"/>
      <c r="L694" s="168"/>
      <c r="M694" s="168"/>
      <c r="N694" s="168">
        <v>18</v>
      </c>
    </row>
    <row r="695" spans="1:14" x14ac:dyDescent="0.3">
      <c r="A695" s="158" t="s">
        <v>174</v>
      </c>
      <c r="B695" s="158" t="str">
        <f t="shared" si="27"/>
        <v>AESU - 3 Couleurs+3 Silvers</v>
      </c>
      <c r="C695" s="159" t="s">
        <v>349</v>
      </c>
      <c r="D695" s="160" t="s">
        <v>609</v>
      </c>
      <c r="E695" s="339">
        <v>0.66700000000000004</v>
      </c>
      <c r="F695" s="161">
        <v>0.1</v>
      </c>
      <c r="G695" s="162">
        <v>15</v>
      </c>
      <c r="H695" s="400">
        <v>0.41666666666666669</v>
      </c>
      <c r="I695" s="164">
        <v>28.75</v>
      </c>
      <c r="J695" s="168"/>
      <c r="K695" s="168"/>
      <c r="L695" s="168"/>
      <c r="M695" s="168"/>
      <c r="N695" s="168">
        <v>12</v>
      </c>
    </row>
    <row r="696" spans="1:14" x14ac:dyDescent="0.3">
      <c r="A696" s="158" t="s">
        <v>174</v>
      </c>
      <c r="B696" s="158" t="str">
        <f t="shared" si="27"/>
        <v>AESU - 3 Couleurs+4 Silvers</v>
      </c>
      <c r="C696" s="159" t="s">
        <v>349</v>
      </c>
      <c r="D696" s="160" t="s">
        <v>610</v>
      </c>
      <c r="E696" s="339">
        <v>0.71400000000000008</v>
      </c>
      <c r="F696" s="161">
        <v>0.1</v>
      </c>
      <c r="G696" s="162">
        <v>15</v>
      </c>
      <c r="H696" s="400">
        <v>0.41666666666666669</v>
      </c>
      <c r="I696" s="164">
        <v>31.64</v>
      </c>
      <c r="J696" s="168"/>
      <c r="K696" s="168"/>
      <c r="L696" s="168"/>
      <c r="M696" s="168"/>
      <c r="N696" s="168">
        <v>14</v>
      </c>
    </row>
    <row r="697" spans="1:14" x14ac:dyDescent="0.3">
      <c r="A697" s="158" t="s">
        <v>174</v>
      </c>
      <c r="B697" s="158" t="str">
        <f t="shared" si="27"/>
        <v>AESU - 3 Silvers</v>
      </c>
      <c r="C697" s="159" t="s">
        <v>349</v>
      </c>
      <c r="D697" s="160" t="s">
        <v>611</v>
      </c>
      <c r="E697" s="339">
        <v>0.33299999999999996</v>
      </c>
      <c r="F697" s="161">
        <v>0.1</v>
      </c>
      <c r="G697" s="162">
        <v>15</v>
      </c>
      <c r="H697" s="400">
        <v>0.41666666666666669</v>
      </c>
      <c r="I697" s="164">
        <v>48.99</v>
      </c>
      <c r="J697" s="168"/>
      <c r="K697" s="168"/>
      <c r="L697" s="168"/>
      <c r="M697" s="168"/>
      <c r="N697" s="168">
        <v>6</v>
      </c>
    </row>
    <row r="698" spans="1:14" x14ac:dyDescent="0.3">
      <c r="A698" s="158" t="s">
        <v>174</v>
      </c>
      <c r="B698" s="158" t="str">
        <f t="shared" si="27"/>
        <v>AESU - 4 Couleurs+1 Silver</v>
      </c>
      <c r="C698" s="159" t="s">
        <v>349</v>
      </c>
      <c r="D698" s="160" t="s">
        <v>612</v>
      </c>
      <c r="E698" s="339">
        <v>0.6</v>
      </c>
      <c r="F698" s="161">
        <v>0.1</v>
      </c>
      <c r="G698" s="162">
        <v>15</v>
      </c>
      <c r="H698" s="400">
        <v>0.41666666666666669</v>
      </c>
      <c r="I698" s="164">
        <v>16.61</v>
      </c>
      <c r="J698" s="168"/>
      <c r="K698" s="168"/>
      <c r="L698" s="168"/>
      <c r="M698" s="168"/>
      <c r="N698" s="168">
        <v>10</v>
      </c>
    </row>
    <row r="699" spans="1:14" x14ac:dyDescent="0.3">
      <c r="A699" s="158" t="s">
        <v>174</v>
      </c>
      <c r="B699" s="158" t="str">
        <f t="shared" si="27"/>
        <v>AESU - 4 Couleurs</v>
      </c>
      <c r="C699" s="159" t="s">
        <v>349</v>
      </c>
      <c r="D699" s="160" t="s">
        <v>33</v>
      </c>
      <c r="E699" s="339">
        <v>0.5</v>
      </c>
      <c r="F699" s="161">
        <v>0.1</v>
      </c>
      <c r="G699" s="162">
        <v>15</v>
      </c>
      <c r="H699" s="400">
        <v>0.41666666666666669</v>
      </c>
      <c r="I699" s="164">
        <v>8.52</v>
      </c>
      <c r="J699" s="168"/>
      <c r="K699" s="168"/>
      <c r="L699" s="168"/>
      <c r="M699" s="168"/>
      <c r="N699" s="168">
        <v>8</v>
      </c>
    </row>
    <row r="700" spans="1:14" x14ac:dyDescent="0.3">
      <c r="A700" s="158" t="s">
        <v>174</v>
      </c>
      <c r="B700" s="158" t="str">
        <f t="shared" si="27"/>
        <v>AESU - 4 Couleurs+1 Blanc</v>
      </c>
      <c r="C700" s="159" t="s">
        <v>349</v>
      </c>
      <c r="D700" s="160" t="s">
        <v>613</v>
      </c>
      <c r="E700" s="339">
        <v>0.6</v>
      </c>
      <c r="F700" s="161">
        <v>0.1</v>
      </c>
      <c r="G700" s="162">
        <v>15</v>
      </c>
      <c r="H700" s="400">
        <v>0.41666666666666669</v>
      </c>
      <c r="I700" s="164">
        <v>9.15</v>
      </c>
      <c r="J700" s="168"/>
      <c r="K700" s="168"/>
      <c r="L700" s="168"/>
      <c r="M700" s="168"/>
      <c r="N700" s="168">
        <v>10</v>
      </c>
    </row>
    <row r="701" spans="1:14" ht="24" x14ac:dyDescent="0.3">
      <c r="A701" s="158" t="s">
        <v>174</v>
      </c>
      <c r="B701" s="158" t="str">
        <f t="shared" si="27"/>
        <v>AESU - 4 Couleurs+1 Blanc+1 Silver</v>
      </c>
      <c r="C701" s="159" t="s">
        <v>349</v>
      </c>
      <c r="D701" s="160" t="s">
        <v>614</v>
      </c>
      <c r="E701" s="339">
        <v>0.66700000000000004</v>
      </c>
      <c r="F701" s="161">
        <v>0.1</v>
      </c>
      <c r="G701" s="162">
        <v>15</v>
      </c>
      <c r="H701" s="400">
        <v>0.41666666666666669</v>
      </c>
      <c r="I701" s="164">
        <v>15.79</v>
      </c>
      <c r="J701" s="168"/>
      <c r="K701" s="168"/>
      <c r="L701" s="168"/>
      <c r="M701" s="168"/>
      <c r="N701" s="168">
        <v>12</v>
      </c>
    </row>
    <row r="702" spans="1:14" ht="24" x14ac:dyDescent="0.3">
      <c r="A702" s="158" t="s">
        <v>174</v>
      </c>
      <c r="B702" s="158" t="str">
        <f t="shared" si="27"/>
        <v>AESU - 4 Couleurs+1 Blanc+2 Silvers</v>
      </c>
      <c r="C702" s="159" t="s">
        <v>349</v>
      </c>
      <c r="D702" s="160" t="s">
        <v>615</v>
      </c>
      <c r="E702" s="339">
        <v>0.71400000000000008</v>
      </c>
      <c r="F702" s="161">
        <v>0.1</v>
      </c>
      <c r="G702" s="162">
        <v>15</v>
      </c>
      <c r="H702" s="400">
        <v>0.41666666666666669</v>
      </c>
      <c r="I702" s="164">
        <v>20.53</v>
      </c>
      <c r="J702" s="168"/>
      <c r="K702" s="168"/>
      <c r="L702" s="168"/>
      <c r="M702" s="168"/>
      <c r="N702" s="168">
        <v>14</v>
      </c>
    </row>
    <row r="703" spans="1:14" ht="24" x14ac:dyDescent="0.3">
      <c r="A703" s="158" t="s">
        <v>174</v>
      </c>
      <c r="B703" s="158" t="str">
        <f t="shared" si="27"/>
        <v>AESU - 4 Couleurs+1 Blanc+3 Silvers</v>
      </c>
      <c r="C703" s="159" t="s">
        <v>349</v>
      </c>
      <c r="D703" s="160" t="s">
        <v>616</v>
      </c>
      <c r="E703" s="339">
        <v>0.75</v>
      </c>
      <c r="F703" s="161">
        <v>0.1</v>
      </c>
      <c r="G703" s="162">
        <v>15</v>
      </c>
      <c r="H703" s="400">
        <v>0.41666666666666669</v>
      </c>
      <c r="I703" s="164">
        <v>24.09</v>
      </c>
      <c r="J703" s="168"/>
      <c r="K703" s="168"/>
      <c r="L703" s="168"/>
      <c r="M703" s="168"/>
      <c r="N703" s="168">
        <v>16</v>
      </c>
    </row>
    <row r="704" spans="1:14" ht="24" x14ac:dyDescent="0.3">
      <c r="A704" s="158" t="s">
        <v>174</v>
      </c>
      <c r="B704" s="158" t="str">
        <f t="shared" si="27"/>
        <v>AESU - 4 Couleurs+1 Blanc+4 Silvers</v>
      </c>
      <c r="C704" s="159" t="s">
        <v>349</v>
      </c>
      <c r="D704" s="160" t="s">
        <v>617</v>
      </c>
      <c r="E704" s="339">
        <v>0.77800000000000002</v>
      </c>
      <c r="F704" s="161">
        <v>0.1</v>
      </c>
      <c r="G704" s="162">
        <v>15</v>
      </c>
      <c r="H704" s="400">
        <v>0.41666666666666669</v>
      </c>
      <c r="I704" s="164">
        <v>26.86</v>
      </c>
      <c r="J704" s="168"/>
      <c r="K704" s="168"/>
      <c r="L704" s="168"/>
      <c r="M704" s="168"/>
      <c r="N704" s="168">
        <v>18</v>
      </c>
    </row>
    <row r="705" spans="1:14" x14ac:dyDescent="0.3">
      <c r="A705" s="158" t="s">
        <v>174</v>
      </c>
      <c r="B705" s="158" t="str">
        <f t="shared" ref="B705:B757" si="28">A705&amp;" - "&amp;D705</f>
        <v>AESU - 4 Couleurs+2 Silvers</v>
      </c>
      <c r="C705" s="159" t="s">
        <v>349</v>
      </c>
      <c r="D705" s="160" t="s">
        <v>618</v>
      </c>
      <c r="E705" s="339">
        <v>0.66700000000000004</v>
      </c>
      <c r="F705" s="161">
        <v>0.1</v>
      </c>
      <c r="G705" s="162">
        <v>15</v>
      </c>
      <c r="H705" s="400">
        <v>0.41666666666666669</v>
      </c>
      <c r="I705" s="164">
        <v>22.01</v>
      </c>
      <c r="J705" s="168"/>
      <c r="K705" s="168"/>
      <c r="L705" s="168"/>
      <c r="M705" s="168"/>
      <c r="N705" s="168">
        <v>12</v>
      </c>
    </row>
    <row r="706" spans="1:14" x14ac:dyDescent="0.3">
      <c r="A706" s="158" t="s">
        <v>174</v>
      </c>
      <c r="B706" s="158" t="str">
        <f t="shared" si="28"/>
        <v>AESU - 4 Couleurs+2 Blancs</v>
      </c>
      <c r="C706" s="159" t="s">
        <v>349</v>
      </c>
      <c r="D706" s="160" t="s">
        <v>619</v>
      </c>
      <c r="E706" s="339">
        <v>0.66700000000000004</v>
      </c>
      <c r="F706" s="161">
        <v>0.1</v>
      </c>
      <c r="G706" s="162">
        <v>15</v>
      </c>
      <c r="H706" s="400">
        <v>0.41666666666666669</v>
      </c>
      <c r="I706" s="164">
        <v>9.58</v>
      </c>
      <c r="J706" s="168"/>
      <c r="K706" s="168"/>
      <c r="L706" s="168"/>
      <c r="M706" s="168"/>
      <c r="N706" s="168">
        <v>12</v>
      </c>
    </row>
    <row r="707" spans="1:14" ht="24" x14ac:dyDescent="0.3">
      <c r="A707" s="158" t="s">
        <v>174</v>
      </c>
      <c r="B707" s="158" t="str">
        <f t="shared" si="28"/>
        <v>AESU - 4 Couleurs+2 Blancs+1 Silver</v>
      </c>
      <c r="C707" s="159" t="s">
        <v>349</v>
      </c>
      <c r="D707" s="160" t="s">
        <v>620</v>
      </c>
      <c r="E707" s="339">
        <v>0.71400000000000008</v>
      </c>
      <c r="F707" s="161">
        <v>0.1</v>
      </c>
      <c r="G707" s="162">
        <v>15</v>
      </c>
      <c r="H707" s="400">
        <v>0.41666666666666669</v>
      </c>
      <c r="I707" s="164">
        <v>15.21</v>
      </c>
      <c r="J707" s="168"/>
      <c r="K707" s="168"/>
      <c r="L707" s="168"/>
      <c r="M707" s="168"/>
      <c r="N707" s="168">
        <v>14</v>
      </c>
    </row>
    <row r="708" spans="1:14" ht="24" x14ac:dyDescent="0.3">
      <c r="A708" s="158" t="s">
        <v>174</v>
      </c>
      <c r="B708" s="158" t="str">
        <f t="shared" si="28"/>
        <v>AESU - 4 Couleurs+2 Blancs+2 Silvers</v>
      </c>
      <c r="C708" s="159" t="s">
        <v>349</v>
      </c>
      <c r="D708" s="160" t="s">
        <v>621</v>
      </c>
      <c r="E708" s="339">
        <v>0.75</v>
      </c>
      <c r="F708" s="161">
        <v>0.1</v>
      </c>
      <c r="G708" s="162">
        <v>15</v>
      </c>
      <c r="H708" s="400">
        <v>0.41666666666666669</v>
      </c>
      <c r="I708" s="164">
        <v>19.43</v>
      </c>
      <c r="J708" s="168"/>
      <c r="K708" s="168"/>
      <c r="L708" s="168"/>
      <c r="M708" s="168"/>
      <c r="N708" s="168">
        <v>16</v>
      </c>
    </row>
    <row r="709" spans="1:14" ht="24" x14ac:dyDescent="0.3">
      <c r="A709" s="158" t="s">
        <v>174</v>
      </c>
      <c r="B709" s="158" t="str">
        <f t="shared" si="28"/>
        <v>AESU - 4 Couleurs+2 Blancs+3 Silvers</v>
      </c>
      <c r="C709" s="159" t="s">
        <v>349</v>
      </c>
      <c r="D709" s="160" t="s">
        <v>622</v>
      </c>
      <c r="E709" s="339">
        <v>0.77800000000000002</v>
      </c>
      <c r="F709" s="161">
        <v>0.1</v>
      </c>
      <c r="G709" s="162">
        <v>15</v>
      </c>
      <c r="H709" s="400">
        <v>0.41666666666666669</v>
      </c>
      <c r="I709" s="164">
        <v>22.72</v>
      </c>
      <c r="J709" s="168"/>
      <c r="K709" s="168"/>
      <c r="L709" s="168"/>
      <c r="M709" s="168"/>
      <c r="N709" s="168">
        <v>18</v>
      </c>
    </row>
    <row r="710" spans="1:14" ht="24" x14ac:dyDescent="0.3">
      <c r="A710" s="158" t="s">
        <v>174</v>
      </c>
      <c r="B710" s="158" t="str">
        <f t="shared" si="28"/>
        <v>AESU - 4 Couleurs+2 Blancs+4 Silvers</v>
      </c>
      <c r="C710" s="159" t="s">
        <v>349</v>
      </c>
      <c r="D710" s="160" t="s">
        <v>623</v>
      </c>
      <c r="E710" s="339">
        <v>0.8</v>
      </c>
      <c r="F710" s="161">
        <v>0.1</v>
      </c>
      <c r="G710" s="162">
        <v>15</v>
      </c>
      <c r="H710" s="400">
        <v>0.41666666666666669</v>
      </c>
      <c r="I710" s="164">
        <v>25.34</v>
      </c>
      <c r="J710" s="168"/>
      <c r="K710" s="168"/>
      <c r="L710" s="168"/>
      <c r="M710" s="168"/>
      <c r="N710" s="168">
        <v>20</v>
      </c>
    </row>
    <row r="711" spans="1:14" x14ac:dyDescent="0.3">
      <c r="A711" s="158" t="s">
        <v>174</v>
      </c>
      <c r="B711" s="158" t="str">
        <f t="shared" si="28"/>
        <v>AESU - 4 Couleurs+3 Silvers</v>
      </c>
      <c r="C711" s="159" t="s">
        <v>349</v>
      </c>
      <c r="D711" s="160" t="s">
        <v>624</v>
      </c>
      <c r="E711" s="339">
        <v>0.71400000000000008</v>
      </c>
      <c r="F711" s="161">
        <v>0.1</v>
      </c>
      <c r="G711" s="162">
        <v>15</v>
      </c>
      <c r="H711" s="400">
        <v>0.41666666666666669</v>
      </c>
      <c r="I711" s="164">
        <v>25.86</v>
      </c>
      <c r="J711" s="168"/>
      <c r="K711" s="168"/>
      <c r="L711" s="168"/>
      <c r="M711" s="168"/>
      <c r="N711" s="168">
        <v>14</v>
      </c>
    </row>
    <row r="712" spans="1:14" x14ac:dyDescent="0.3">
      <c r="A712" s="158" t="s">
        <v>174</v>
      </c>
      <c r="B712" s="158" t="str">
        <f t="shared" si="28"/>
        <v>AESU - 4 Couleurs+4 Silvers</v>
      </c>
      <c r="C712" s="159" t="s">
        <v>349</v>
      </c>
      <c r="D712" s="160" t="s">
        <v>625</v>
      </c>
      <c r="E712" s="339">
        <v>0.75</v>
      </c>
      <c r="F712" s="161">
        <v>0.1</v>
      </c>
      <c r="G712" s="162">
        <v>15</v>
      </c>
      <c r="H712" s="400">
        <v>0.41666666666666669</v>
      </c>
      <c r="I712" s="164">
        <v>28.75</v>
      </c>
      <c r="J712" s="168"/>
      <c r="K712" s="168"/>
      <c r="L712" s="168"/>
      <c r="M712" s="168"/>
      <c r="N712" s="168">
        <v>16</v>
      </c>
    </row>
    <row r="713" spans="1:14" x14ac:dyDescent="0.3">
      <c r="A713" s="158" t="s">
        <v>174</v>
      </c>
      <c r="B713" s="158" t="str">
        <f t="shared" si="28"/>
        <v>AESU - 4 Silvers</v>
      </c>
      <c r="C713" s="159" t="s">
        <v>349</v>
      </c>
      <c r="D713" s="160" t="s">
        <v>626</v>
      </c>
      <c r="E713" s="339">
        <v>0.5</v>
      </c>
      <c r="F713" s="161">
        <v>0.1</v>
      </c>
      <c r="G713" s="162">
        <v>15</v>
      </c>
      <c r="H713" s="400">
        <v>0.41666666666666669</v>
      </c>
      <c r="I713" s="164">
        <v>48.99</v>
      </c>
      <c r="J713" s="168"/>
      <c r="K713" s="168"/>
      <c r="L713" s="168"/>
      <c r="M713" s="168"/>
      <c r="N713" s="168">
        <v>8</v>
      </c>
    </row>
    <row r="714" spans="1:14" x14ac:dyDescent="0.3">
      <c r="A714" s="158" t="s">
        <v>174</v>
      </c>
      <c r="B714" s="158" t="str">
        <f t="shared" si="28"/>
        <v>AESU - 5 Couleurs+1 Silver</v>
      </c>
      <c r="C714" s="159" t="s">
        <v>349</v>
      </c>
      <c r="D714" s="160" t="s">
        <v>628</v>
      </c>
      <c r="E714" s="339">
        <v>0.66700000000000004</v>
      </c>
      <c r="F714" s="161">
        <v>0.1</v>
      </c>
      <c r="G714" s="162">
        <v>15</v>
      </c>
      <c r="H714" s="400">
        <v>0.41666666666666669</v>
      </c>
      <c r="I714" s="164">
        <v>15.26</v>
      </c>
      <c r="J714" s="168"/>
      <c r="K714" s="168"/>
      <c r="L714" s="168"/>
      <c r="M714" s="168"/>
      <c r="N714" s="168">
        <v>12</v>
      </c>
    </row>
    <row r="715" spans="1:14" x14ac:dyDescent="0.3">
      <c r="A715" s="158" t="s">
        <v>174</v>
      </c>
      <c r="B715" s="158" t="str">
        <f t="shared" si="28"/>
        <v>AESU - 5 Couleurs</v>
      </c>
      <c r="C715" s="159" t="s">
        <v>349</v>
      </c>
      <c r="D715" s="160" t="s">
        <v>627</v>
      </c>
      <c r="E715" s="339">
        <v>0.6</v>
      </c>
      <c r="F715" s="161">
        <v>0.1</v>
      </c>
      <c r="G715" s="162">
        <v>15</v>
      </c>
      <c r="H715" s="400">
        <v>0.41666666666666669</v>
      </c>
      <c r="I715" s="164">
        <v>8.52</v>
      </c>
      <c r="J715" s="168"/>
      <c r="K715" s="168"/>
      <c r="L715" s="168"/>
      <c r="M715" s="168"/>
      <c r="N715" s="168">
        <v>10</v>
      </c>
    </row>
    <row r="716" spans="1:14" x14ac:dyDescent="0.3">
      <c r="A716" s="158" t="s">
        <v>174</v>
      </c>
      <c r="B716" s="158" t="str">
        <f t="shared" si="28"/>
        <v>AESU - 5 Couleurs+1 Blanc</v>
      </c>
      <c r="C716" s="159" t="s">
        <v>349</v>
      </c>
      <c r="D716" s="160" t="s">
        <v>629</v>
      </c>
      <c r="E716" s="339">
        <v>0.66700000000000004</v>
      </c>
      <c r="F716" s="161">
        <v>0.1</v>
      </c>
      <c r="G716" s="162">
        <v>15</v>
      </c>
      <c r="H716" s="400">
        <v>0.41666666666666669</v>
      </c>
      <c r="I716" s="164">
        <v>9.0500000000000007</v>
      </c>
      <c r="J716" s="168"/>
      <c r="K716" s="168"/>
      <c r="L716" s="168"/>
      <c r="M716" s="168"/>
      <c r="N716" s="168">
        <v>12</v>
      </c>
    </row>
    <row r="717" spans="1:14" ht="24" x14ac:dyDescent="0.3">
      <c r="A717" s="158" t="s">
        <v>174</v>
      </c>
      <c r="B717" s="158" t="str">
        <f t="shared" si="28"/>
        <v>AESU - 5 Couleurs+1 Blanc+1 Silver</v>
      </c>
      <c r="C717" s="159" t="s">
        <v>349</v>
      </c>
      <c r="D717" s="160" t="s">
        <v>630</v>
      </c>
      <c r="E717" s="339">
        <v>0.71400000000000008</v>
      </c>
      <c r="F717" s="161">
        <v>0.1</v>
      </c>
      <c r="G717" s="162">
        <v>15</v>
      </c>
      <c r="H717" s="400">
        <v>0.41666666666666669</v>
      </c>
      <c r="I717" s="164">
        <v>14.75</v>
      </c>
      <c r="J717" s="168"/>
      <c r="K717" s="168"/>
      <c r="L717" s="168"/>
      <c r="M717" s="168"/>
      <c r="N717" s="168">
        <v>14</v>
      </c>
    </row>
    <row r="718" spans="1:14" ht="24" x14ac:dyDescent="0.3">
      <c r="A718" s="158" t="s">
        <v>174</v>
      </c>
      <c r="B718" s="158" t="str">
        <f t="shared" si="28"/>
        <v>AESU - 5 Couleurs+1 Blanc+2 Silvers</v>
      </c>
      <c r="C718" s="159" t="s">
        <v>349</v>
      </c>
      <c r="D718" s="160" t="s">
        <v>631</v>
      </c>
      <c r="E718" s="339">
        <v>0.75</v>
      </c>
      <c r="F718" s="161">
        <v>0.1</v>
      </c>
      <c r="G718" s="162">
        <v>15</v>
      </c>
      <c r="H718" s="400">
        <v>0.41666666666666669</v>
      </c>
      <c r="I718" s="164">
        <v>19.03</v>
      </c>
      <c r="J718" s="168"/>
      <c r="K718" s="168"/>
      <c r="L718" s="168"/>
      <c r="M718" s="168"/>
      <c r="N718" s="168">
        <v>16</v>
      </c>
    </row>
    <row r="719" spans="1:14" ht="24" x14ac:dyDescent="0.3">
      <c r="A719" s="158" t="s">
        <v>174</v>
      </c>
      <c r="B719" s="158" t="str">
        <f t="shared" si="28"/>
        <v>AESU - 5 Couleurs+1 Blanc+3 Silvers</v>
      </c>
      <c r="C719" s="159" t="s">
        <v>349</v>
      </c>
      <c r="D719" s="160" t="s">
        <v>632</v>
      </c>
      <c r="E719" s="339">
        <v>0.77800000000000002</v>
      </c>
      <c r="F719" s="161">
        <v>0.1</v>
      </c>
      <c r="G719" s="162">
        <v>15</v>
      </c>
      <c r="H719" s="400">
        <v>0.41666666666666669</v>
      </c>
      <c r="I719" s="164">
        <v>22.36</v>
      </c>
      <c r="J719" s="168"/>
      <c r="K719" s="168"/>
      <c r="L719" s="168"/>
      <c r="M719" s="168"/>
      <c r="N719" s="168">
        <v>18</v>
      </c>
    </row>
    <row r="720" spans="1:14" ht="24" x14ac:dyDescent="0.3">
      <c r="A720" s="158" t="s">
        <v>174</v>
      </c>
      <c r="B720" s="158" t="str">
        <f t="shared" si="28"/>
        <v>AESU - 5 Couleurs+1 Blanc+4 Silvers</v>
      </c>
      <c r="C720" s="159" t="s">
        <v>349</v>
      </c>
      <c r="D720" s="160" t="s">
        <v>633</v>
      </c>
      <c r="E720" s="339">
        <v>0.8</v>
      </c>
      <c r="F720" s="161">
        <v>0.1</v>
      </c>
      <c r="G720" s="162">
        <v>15</v>
      </c>
      <c r="H720" s="400">
        <v>0.41666666666666669</v>
      </c>
      <c r="I720" s="164">
        <v>25.02</v>
      </c>
      <c r="J720" s="168"/>
      <c r="K720" s="168"/>
      <c r="L720" s="168"/>
      <c r="M720" s="168"/>
      <c r="N720" s="168">
        <v>20</v>
      </c>
    </row>
    <row r="721" spans="1:14" x14ac:dyDescent="0.3">
      <c r="A721" s="158" t="s">
        <v>174</v>
      </c>
      <c r="B721" s="158" t="str">
        <f t="shared" si="28"/>
        <v>AESU - 5 Couleurs+2 Silvers</v>
      </c>
      <c r="C721" s="159" t="s">
        <v>349</v>
      </c>
      <c r="D721" s="160" t="s">
        <v>634</v>
      </c>
      <c r="E721" s="339">
        <v>0.71400000000000008</v>
      </c>
      <c r="F721" s="161">
        <v>0.1</v>
      </c>
      <c r="G721" s="162">
        <v>15</v>
      </c>
      <c r="H721" s="400">
        <v>0.41666666666666669</v>
      </c>
      <c r="I721" s="164">
        <v>20.079999999999998</v>
      </c>
      <c r="J721" s="168"/>
      <c r="K721" s="168"/>
      <c r="L721" s="168"/>
      <c r="M721" s="168"/>
      <c r="N721" s="168">
        <v>14</v>
      </c>
    </row>
    <row r="722" spans="1:14" x14ac:dyDescent="0.3">
      <c r="A722" s="158" t="s">
        <v>174</v>
      </c>
      <c r="B722" s="158" t="str">
        <f t="shared" si="28"/>
        <v>AESU - 5 Couleurs+2 Blancs</v>
      </c>
      <c r="C722" s="159" t="s">
        <v>349</v>
      </c>
      <c r="D722" s="160" t="s">
        <v>635</v>
      </c>
      <c r="E722" s="339">
        <v>0.71400000000000008</v>
      </c>
      <c r="F722" s="161">
        <v>0.1</v>
      </c>
      <c r="G722" s="162">
        <v>15</v>
      </c>
      <c r="H722" s="400">
        <v>0.41666666666666669</v>
      </c>
      <c r="I722" s="164">
        <v>9.43</v>
      </c>
      <c r="J722" s="168"/>
      <c r="K722" s="168"/>
      <c r="L722" s="168"/>
      <c r="M722" s="168"/>
      <c r="N722" s="168">
        <v>14</v>
      </c>
    </row>
    <row r="723" spans="1:14" ht="24" x14ac:dyDescent="0.3">
      <c r="A723" s="158" t="s">
        <v>174</v>
      </c>
      <c r="B723" s="158" t="str">
        <f t="shared" si="28"/>
        <v>AESU - 5 Couleurs+2 Blancs+1 Silver</v>
      </c>
      <c r="C723" s="159" t="s">
        <v>349</v>
      </c>
      <c r="D723" s="160" t="s">
        <v>636</v>
      </c>
      <c r="E723" s="339">
        <v>0.75</v>
      </c>
      <c r="F723" s="161">
        <v>0.1</v>
      </c>
      <c r="G723" s="162">
        <v>15</v>
      </c>
      <c r="H723" s="400">
        <v>0.41666666666666669</v>
      </c>
      <c r="I723" s="164">
        <v>14.37</v>
      </c>
      <c r="J723" s="168"/>
      <c r="K723" s="168"/>
      <c r="L723" s="168"/>
      <c r="M723" s="168"/>
      <c r="N723" s="168">
        <v>16</v>
      </c>
    </row>
    <row r="724" spans="1:14" ht="24" x14ac:dyDescent="0.3">
      <c r="A724" s="158" t="s">
        <v>174</v>
      </c>
      <c r="B724" s="158" t="str">
        <f t="shared" si="28"/>
        <v>AESU - 5 Couleurs+2 Blancs+2 Silvers</v>
      </c>
      <c r="C724" s="159" t="s">
        <v>349</v>
      </c>
      <c r="D724" s="160" t="s">
        <v>637</v>
      </c>
      <c r="E724" s="339">
        <v>0.77800000000000002</v>
      </c>
      <c r="F724" s="161">
        <v>0.1</v>
      </c>
      <c r="G724" s="162">
        <v>15</v>
      </c>
      <c r="H724" s="400">
        <v>0.41666666666666669</v>
      </c>
      <c r="I724" s="164">
        <v>18.22</v>
      </c>
      <c r="J724" s="168"/>
      <c r="K724" s="168"/>
      <c r="L724" s="168"/>
      <c r="M724" s="168"/>
      <c r="N724" s="168">
        <v>18</v>
      </c>
    </row>
    <row r="725" spans="1:14" ht="24" x14ac:dyDescent="0.3">
      <c r="A725" s="158" t="s">
        <v>174</v>
      </c>
      <c r="B725" s="158" t="str">
        <f t="shared" si="28"/>
        <v>AESU - 5 Couleurs+2 Blancs+3 Silvers</v>
      </c>
      <c r="C725" s="159" t="s">
        <v>349</v>
      </c>
      <c r="D725" s="160" t="s">
        <v>638</v>
      </c>
      <c r="E725" s="339">
        <v>0.8</v>
      </c>
      <c r="F725" s="161">
        <v>0.1</v>
      </c>
      <c r="G725" s="162">
        <v>15</v>
      </c>
      <c r="H725" s="400">
        <v>0.41666666666666669</v>
      </c>
      <c r="I725" s="164">
        <v>21.3</v>
      </c>
      <c r="J725" s="168"/>
      <c r="K725" s="168"/>
      <c r="L725" s="168"/>
      <c r="M725" s="168"/>
      <c r="N725" s="168">
        <v>20</v>
      </c>
    </row>
    <row r="726" spans="1:14" x14ac:dyDescent="0.3">
      <c r="A726" s="158" t="s">
        <v>174</v>
      </c>
      <c r="B726" s="158" t="str">
        <f t="shared" si="28"/>
        <v>AESU - 5 Couleurs+3 Silvers</v>
      </c>
      <c r="C726" s="159" t="s">
        <v>349</v>
      </c>
      <c r="D726" s="160" t="s">
        <v>639</v>
      </c>
      <c r="E726" s="339">
        <v>0.75</v>
      </c>
      <c r="F726" s="161">
        <v>0.1</v>
      </c>
      <c r="G726" s="162">
        <v>15</v>
      </c>
      <c r="H726" s="400">
        <v>0.41666666666666669</v>
      </c>
      <c r="I726" s="164">
        <v>23.69</v>
      </c>
      <c r="J726" s="168"/>
      <c r="K726" s="168"/>
      <c r="L726" s="168"/>
      <c r="M726" s="168"/>
      <c r="N726" s="168">
        <v>16</v>
      </c>
    </row>
    <row r="727" spans="1:14" x14ac:dyDescent="0.3">
      <c r="A727" s="158" t="s">
        <v>174</v>
      </c>
      <c r="B727" s="158" t="str">
        <f t="shared" si="28"/>
        <v>AESU - 5 Couleurs+4 Silvers</v>
      </c>
      <c r="C727" s="159" t="s">
        <v>349</v>
      </c>
      <c r="D727" s="160" t="s">
        <v>640</v>
      </c>
      <c r="E727" s="339">
        <v>0.77800000000000002</v>
      </c>
      <c r="F727" s="161">
        <v>0.1</v>
      </c>
      <c r="G727" s="162">
        <v>15</v>
      </c>
      <c r="H727" s="400">
        <v>0.41666666666666669</v>
      </c>
      <c r="I727" s="164">
        <v>26.5</v>
      </c>
      <c r="J727" s="168"/>
      <c r="K727" s="168"/>
      <c r="L727" s="168"/>
      <c r="M727" s="168"/>
      <c r="N727" s="168">
        <v>18</v>
      </c>
    </row>
    <row r="728" spans="1:14" x14ac:dyDescent="0.3">
      <c r="A728" s="158" t="s">
        <v>174</v>
      </c>
      <c r="B728" s="158" t="str">
        <f t="shared" si="28"/>
        <v>AESU - 6 Couleurs+1 Silver</v>
      </c>
      <c r="C728" s="159" t="s">
        <v>349</v>
      </c>
      <c r="D728" s="160" t="s">
        <v>642</v>
      </c>
      <c r="E728" s="339">
        <v>0.71400000000000008</v>
      </c>
      <c r="F728" s="161">
        <v>0.1</v>
      </c>
      <c r="G728" s="162">
        <v>15</v>
      </c>
      <c r="H728" s="400">
        <v>0.41666666666666669</v>
      </c>
      <c r="I728" s="164">
        <v>14.3</v>
      </c>
      <c r="J728" s="168"/>
      <c r="K728" s="168"/>
      <c r="L728" s="168"/>
      <c r="M728" s="168"/>
      <c r="N728" s="168">
        <v>14</v>
      </c>
    </row>
    <row r="729" spans="1:14" x14ac:dyDescent="0.3">
      <c r="A729" s="158" t="s">
        <v>174</v>
      </c>
      <c r="B729" s="158" t="str">
        <f t="shared" si="28"/>
        <v>AESU - 6 Couleurs</v>
      </c>
      <c r="C729" s="159" t="s">
        <v>349</v>
      </c>
      <c r="D729" s="160" t="s">
        <v>641</v>
      </c>
      <c r="E729" s="339">
        <v>0.66700000000000004</v>
      </c>
      <c r="F729" s="161">
        <v>0.1</v>
      </c>
      <c r="G729" s="162">
        <v>15</v>
      </c>
      <c r="H729" s="400">
        <v>0.41666666666666669</v>
      </c>
      <c r="I729" s="164">
        <v>8.52</v>
      </c>
      <c r="J729" s="168"/>
      <c r="K729" s="168"/>
      <c r="L729" s="168"/>
      <c r="M729" s="168"/>
      <c r="N729" s="168">
        <v>12</v>
      </c>
    </row>
    <row r="730" spans="1:14" x14ac:dyDescent="0.3">
      <c r="A730" s="158" t="s">
        <v>174</v>
      </c>
      <c r="B730" s="158" t="str">
        <f t="shared" si="28"/>
        <v>AESU - 6 Couleurs+1 Blanc</v>
      </c>
      <c r="C730" s="159" t="s">
        <v>349</v>
      </c>
      <c r="D730" s="160" t="s">
        <v>643</v>
      </c>
      <c r="E730" s="339">
        <v>0.71400000000000008</v>
      </c>
      <c r="F730" s="161">
        <v>0.1</v>
      </c>
      <c r="G730" s="162">
        <v>15</v>
      </c>
      <c r="H730" s="400">
        <v>0.41666666666666669</v>
      </c>
      <c r="I730" s="164">
        <v>8.9700000000000006</v>
      </c>
      <c r="J730" s="168"/>
      <c r="K730" s="168"/>
      <c r="L730" s="168"/>
      <c r="M730" s="168"/>
      <c r="N730" s="168">
        <v>14</v>
      </c>
    </row>
    <row r="731" spans="1:14" ht="24" x14ac:dyDescent="0.3">
      <c r="A731" s="158" t="s">
        <v>174</v>
      </c>
      <c r="B731" s="158" t="str">
        <f t="shared" si="28"/>
        <v>AESU - 6 Couleurs+1 Blanc+1 Silver</v>
      </c>
      <c r="C731" s="159" t="s">
        <v>349</v>
      </c>
      <c r="D731" s="160" t="s">
        <v>644</v>
      </c>
      <c r="E731" s="339">
        <v>0.75</v>
      </c>
      <c r="F731" s="161">
        <v>0.1</v>
      </c>
      <c r="G731" s="162">
        <v>15</v>
      </c>
      <c r="H731" s="400">
        <v>0.41666666666666669</v>
      </c>
      <c r="I731" s="164">
        <v>13.97</v>
      </c>
      <c r="J731" s="168"/>
      <c r="K731" s="168"/>
      <c r="L731" s="168"/>
      <c r="M731" s="168"/>
      <c r="N731" s="168">
        <v>16</v>
      </c>
    </row>
    <row r="732" spans="1:14" ht="24" x14ac:dyDescent="0.3">
      <c r="A732" s="158" t="s">
        <v>174</v>
      </c>
      <c r="B732" s="158" t="str">
        <f t="shared" si="28"/>
        <v>AESU - 6 Couleurs+1 Blanc+2 Silvers</v>
      </c>
      <c r="C732" s="159" t="s">
        <v>349</v>
      </c>
      <c r="D732" s="160" t="s">
        <v>645</v>
      </c>
      <c r="E732" s="339">
        <v>0.77800000000000002</v>
      </c>
      <c r="F732" s="161">
        <v>0.1</v>
      </c>
      <c r="G732" s="162">
        <v>15</v>
      </c>
      <c r="H732" s="400">
        <v>0.41666666666666669</v>
      </c>
      <c r="I732" s="164">
        <v>17.86</v>
      </c>
      <c r="J732" s="168"/>
      <c r="K732" s="168"/>
      <c r="L732" s="168"/>
      <c r="M732" s="168"/>
      <c r="N732" s="168">
        <v>18</v>
      </c>
    </row>
    <row r="733" spans="1:14" ht="24" x14ac:dyDescent="0.3">
      <c r="A733" s="158" t="s">
        <v>174</v>
      </c>
      <c r="B733" s="158" t="str">
        <f t="shared" si="28"/>
        <v>AESU - 6 Couleurs+1 Blanc+3 Silvers</v>
      </c>
      <c r="C733" s="159" t="s">
        <v>349</v>
      </c>
      <c r="D733" s="160" t="s">
        <v>646</v>
      </c>
      <c r="E733" s="339">
        <v>0.8</v>
      </c>
      <c r="F733" s="161">
        <v>0.1</v>
      </c>
      <c r="G733" s="162">
        <v>15</v>
      </c>
      <c r="H733" s="400">
        <v>0.41666666666666669</v>
      </c>
      <c r="I733" s="164">
        <v>20.98</v>
      </c>
      <c r="J733" s="168"/>
      <c r="K733" s="168"/>
      <c r="L733" s="168"/>
      <c r="M733" s="168"/>
      <c r="N733" s="168">
        <v>20</v>
      </c>
    </row>
    <row r="734" spans="1:14" x14ac:dyDescent="0.3">
      <c r="A734" s="158" t="s">
        <v>174</v>
      </c>
      <c r="B734" s="158" t="str">
        <f t="shared" si="28"/>
        <v>AESU - 6 Couleurs+2 Silvers</v>
      </c>
      <c r="C734" s="159" t="s">
        <v>349</v>
      </c>
      <c r="D734" s="160" t="s">
        <v>647</v>
      </c>
      <c r="E734" s="339">
        <v>0.75</v>
      </c>
      <c r="F734" s="161">
        <v>0.1</v>
      </c>
      <c r="G734" s="162">
        <v>15</v>
      </c>
      <c r="H734" s="400">
        <v>0.41666666666666669</v>
      </c>
      <c r="I734" s="164">
        <v>18.63</v>
      </c>
      <c r="J734" s="168"/>
      <c r="K734" s="168"/>
      <c r="L734" s="168"/>
      <c r="M734" s="168"/>
      <c r="N734" s="168">
        <v>16</v>
      </c>
    </row>
    <row r="735" spans="1:14" x14ac:dyDescent="0.3">
      <c r="A735" s="158" t="s">
        <v>174</v>
      </c>
      <c r="B735" s="158" t="str">
        <f t="shared" si="28"/>
        <v>AESU - 6 Couleurs+2 Blancs</v>
      </c>
      <c r="C735" s="159" t="s">
        <v>349</v>
      </c>
      <c r="D735" s="160" t="s">
        <v>648</v>
      </c>
      <c r="E735" s="339">
        <v>0.75</v>
      </c>
      <c r="F735" s="161">
        <v>0.1</v>
      </c>
      <c r="G735" s="162">
        <v>15</v>
      </c>
      <c r="H735" s="400">
        <v>0.41666666666666669</v>
      </c>
      <c r="I735" s="164">
        <v>9.31</v>
      </c>
      <c r="J735" s="168"/>
      <c r="K735" s="168"/>
      <c r="L735" s="168"/>
      <c r="M735" s="168"/>
      <c r="N735" s="168">
        <v>16</v>
      </c>
    </row>
    <row r="736" spans="1:14" ht="24" x14ac:dyDescent="0.3">
      <c r="A736" s="158" t="s">
        <v>174</v>
      </c>
      <c r="B736" s="158" t="str">
        <f t="shared" si="28"/>
        <v>AESU - 6 Couleurs+2 Blancs+1 Silver</v>
      </c>
      <c r="C736" s="159" t="s">
        <v>349</v>
      </c>
      <c r="D736" s="160" t="s">
        <v>649</v>
      </c>
      <c r="E736" s="339">
        <v>0.77800000000000002</v>
      </c>
      <c r="F736" s="161">
        <v>0.1</v>
      </c>
      <c r="G736" s="162">
        <v>15</v>
      </c>
      <c r="H736" s="400">
        <v>0.41666666666666669</v>
      </c>
      <c r="I736" s="164">
        <v>13.72</v>
      </c>
      <c r="J736" s="168"/>
      <c r="K736" s="168"/>
      <c r="L736" s="168"/>
      <c r="M736" s="168"/>
      <c r="N736" s="168">
        <v>18</v>
      </c>
    </row>
    <row r="737" spans="1:14" ht="24" x14ac:dyDescent="0.3">
      <c r="A737" s="158" t="s">
        <v>174</v>
      </c>
      <c r="B737" s="158" t="str">
        <f t="shared" si="28"/>
        <v>AESU - 6 Couleurs+2 Blancs+2 Silvers</v>
      </c>
      <c r="C737" s="159" t="s">
        <v>349</v>
      </c>
      <c r="D737" s="160" t="s">
        <v>650</v>
      </c>
      <c r="E737" s="339">
        <v>0.8</v>
      </c>
      <c r="F737" s="161">
        <v>0.1</v>
      </c>
      <c r="G737" s="162">
        <v>15</v>
      </c>
      <c r="H737" s="400">
        <v>0.41666666666666669</v>
      </c>
      <c r="I737" s="164">
        <v>17.25</v>
      </c>
      <c r="J737" s="168"/>
      <c r="K737" s="168"/>
      <c r="L737" s="168"/>
      <c r="M737" s="168"/>
      <c r="N737" s="168">
        <v>20</v>
      </c>
    </row>
    <row r="738" spans="1:14" x14ac:dyDescent="0.3">
      <c r="A738" s="158" t="s">
        <v>174</v>
      </c>
      <c r="B738" s="158" t="str">
        <f t="shared" si="28"/>
        <v>AESU - 6 Couleurs+3 Silvers</v>
      </c>
      <c r="C738" s="159" t="s">
        <v>349</v>
      </c>
      <c r="D738" s="160" t="s">
        <v>651</v>
      </c>
      <c r="E738" s="339">
        <v>0.77800000000000002</v>
      </c>
      <c r="F738" s="161">
        <v>0.1</v>
      </c>
      <c r="G738" s="162">
        <v>15</v>
      </c>
      <c r="H738" s="400">
        <v>0.41666666666666669</v>
      </c>
      <c r="I738" s="164">
        <v>22.01</v>
      </c>
      <c r="J738" s="168"/>
      <c r="K738" s="168"/>
      <c r="L738" s="168"/>
      <c r="M738" s="168"/>
      <c r="N738" s="168">
        <v>18</v>
      </c>
    </row>
    <row r="739" spans="1:14" x14ac:dyDescent="0.3">
      <c r="A739" s="158" t="s">
        <v>174</v>
      </c>
      <c r="B739" s="158" t="str">
        <f t="shared" si="28"/>
        <v>AESU - 6 Couleurs+4 Silvers</v>
      </c>
      <c r="C739" s="159" t="s">
        <v>349</v>
      </c>
      <c r="D739" s="160" t="s">
        <v>652</v>
      </c>
      <c r="E739" s="339">
        <v>0.8</v>
      </c>
      <c r="F739" s="161">
        <v>0.1</v>
      </c>
      <c r="G739" s="162">
        <v>15</v>
      </c>
      <c r="H739" s="400">
        <v>0.41666666666666669</v>
      </c>
      <c r="I739" s="164">
        <v>24.7</v>
      </c>
      <c r="J739" s="168"/>
      <c r="K739" s="168"/>
      <c r="L739" s="168"/>
      <c r="M739" s="168"/>
      <c r="N739" s="168">
        <v>20</v>
      </c>
    </row>
    <row r="740" spans="1:14" x14ac:dyDescent="0.3">
      <c r="A740" s="158" t="s">
        <v>174</v>
      </c>
      <c r="B740" s="158" t="str">
        <f t="shared" si="28"/>
        <v>AESU - 7 Couleurs+1 Silver</v>
      </c>
      <c r="C740" s="159" t="s">
        <v>349</v>
      </c>
      <c r="D740" s="160" t="s">
        <v>654</v>
      </c>
      <c r="E740" s="339">
        <v>0.75</v>
      </c>
      <c r="F740" s="161">
        <v>0.1</v>
      </c>
      <c r="G740" s="162">
        <v>15</v>
      </c>
      <c r="H740" s="400">
        <v>0.41666666666666669</v>
      </c>
      <c r="I740" s="164">
        <v>13.57</v>
      </c>
      <c r="J740" s="168"/>
      <c r="K740" s="168"/>
      <c r="L740" s="168"/>
      <c r="M740" s="168"/>
      <c r="N740" s="168">
        <v>16</v>
      </c>
    </row>
    <row r="741" spans="1:14" x14ac:dyDescent="0.3">
      <c r="A741" s="158" t="s">
        <v>174</v>
      </c>
      <c r="B741" s="158" t="str">
        <f t="shared" si="28"/>
        <v>AESU - 7 Couleurs</v>
      </c>
      <c r="C741" s="159" t="s">
        <v>349</v>
      </c>
      <c r="D741" s="160" t="s">
        <v>653</v>
      </c>
      <c r="E741" s="339">
        <v>0.71400000000000008</v>
      </c>
      <c r="F741" s="161">
        <v>0.1</v>
      </c>
      <c r="G741" s="162">
        <v>15</v>
      </c>
      <c r="H741" s="400">
        <v>0.41666666666666669</v>
      </c>
      <c r="I741" s="164">
        <v>8.52</v>
      </c>
      <c r="J741" s="168"/>
      <c r="K741" s="168"/>
      <c r="L741" s="168"/>
      <c r="M741" s="168"/>
      <c r="N741" s="168">
        <v>14</v>
      </c>
    </row>
    <row r="742" spans="1:14" x14ac:dyDescent="0.3">
      <c r="A742" s="158" t="s">
        <v>174</v>
      </c>
      <c r="B742" s="158" t="str">
        <f t="shared" si="28"/>
        <v>AESU - 7 Couleurs+1 Blanc</v>
      </c>
      <c r="C742" s="159" t="s">
        <v>349</v>
      </c>
      <c r="D742" s="160" t="s">
        <v>655</v>
      </c>
      <c r="E742" s="339">
        <v>0.75</v>
      </c>
      <c r="F742" s="161">
        <v>0.1</v>
      </c>
      <c r="G742" s="162">
        <v>15</v>
      </c>
      <c r="H742" s="400">
        <v>0.41666666666666669</v>
      </c>
      <c r="I742" s="164">
        <v>8.91</v>
      </c>
      <c r="J742" s="168"/>
      <c r="K742" s="168"/>
      <c r="L742" s="168"/>
      <c r="M742" s="168"/>
      <c r="N742" s="168">
        <v>16</v>
      </c>
    </row>
    <row r="743" spans="1:14" ht="24" x14ac:dyDescent="0.3">
      <c r="A743" s="158" t="s">
        <v>174</v>
      </c>
      <c r="B743" s="158" t="str">
        <f t="shared" si="28"/>
        <v>AESU - 7 Couleurs+1 Blanc+1 Silver</v>
      </c>
      <c r="C743" s="159" t="s">
        <v>349</v>
      </c>
      <c r="D743" s="160" t="s">
        <v>656</v>
      </c>
      <c r="E743" s="339">
        <v>0.77800000000000002</v>
      </c>
      <c r="F743" s="161">
        <v>0.1</v>
      </c>
      <c r="G743" s="162">
        <v>15</v>
      </c>
      <c r="H743" s="400">
        <v>0.41666666666666669</v>
      </c>
      <c r="I743" s="164">
        <v>13.37</v>
      </c>
      <c r="J743" s="168"/>
      <c r="K743" s="168"/>
      <c r="L743" s="168"/>
      <c r="M743" s="168"/>
      <c r="N743" s="168">
        <v>18</v>
      </c>
    </row>
    <row r="744" spans="1:14" ht="24" x14ac:dyDescent="0.3">
      <c r="A744" s="158" t="s">
        <v>174</v>
      </c>
      <c r="B744" s="158" t="str">
        <f t="shared" si="28"/>
        <v>AESU - 7 Couleurs+1 Blanc+2 Silvers</v>
      </c>
      <c r="C744" s="159" t="s">
        <v>349</v>
      </c>
      <c r="D744" s="160" t="s">
        <v>657</v>
      </c>
      <c r="E744" s="339">
        <v>0.8</v>
      </c>
      <c r="F744" s="161">
        <v>0.1</v>
      </c>
      <c r="G744" s="162">
        <v>15</v>
      </c>
      <c r="H744" s="400">
        <v>0.41666666666666669</v>
      </c>
      <c r="I744" s="164">
        <v>16.93</v>
      </c>
      <c r="J744" s="168"/>
      <c r="K744" s="168"/>
      <c r="L744" s="168"/>
      <c r="M744" s="168"/>
      <c r="N744" s="168">
        <v>20</v>
      </c>
    </row>
    <row r="745" spans="1:14" x14ac:dyDescent="0.3">
      <c r="A745" s="158" t="s">
        <v>174</v>
      </c>
      <c r="B745" s="158" t="str">
        <f t="shared" si="28"/>
        <v>AESU - 7 Couleurs+2 Silvers</v>
      </c>
      <c r="C745" s="159" t="s">
        <v>349</v>
      </c>
      <c r="D745" s="160" t="s">
        <v>658</v>
      </c>
      <c r="E745" s="339">
        <v>0.77800000000000002</v>
      </c>
      <c r="F745" s="161">
        <v>0.1</v>
      </c>
      <c r="G745" s="162">
        <v>15</v>
      </c>
      <c r="H745" s="400">
        <v>0.41666666666666669</v>
      </c>
      <c r="I745" s="164">
        <v>17.510000000000002</v>
      </c>
      <c r="J745" s="168"/>
      <c r="K745" s="168"/>
      <c r="L745" s="168"/>
      <c r="M745" s="168"/>
      <c r="N745" s="168">
        <v>18</v>
      </c>
    </row>
    <row r="746" spans="1:14" x14ac:dyDescent="0.3">
      <c r="A746" s="158" t="s">
        <v>174</v>
      </c>
      <c r="B746" s="158" t="str">
        <f t="shared" si="28"/>
        <v>AESU - 7 Couleurs+2 Blancs</v>
      </c>
      <c r="C746" s="159" t="s">
        <v>349</v>
      </c>
      <c r="D746" s="160" t="s">
        <v>659</v>
      </c>
      <c r="E746" s="339">
        <v>0.77800000000000002</v>
      </c>
      <c r="F746" s="161">
        <v>0.1</v>
      </c>
      <c r="G746" s="162">
        <v>15</v>
      </c>
      <c r="H746" s="400">
        <v>0.41666666666666669</v>
      </c>
      <c r="I746" s="164">
        <v>9.23</v>
      </c>
      <c r="J746" s="168"/>
      <c r="K746" s="168"/>
      <c r="L746" s="168"/>
      <c r="M746" s="168"/>
      <c r="N746" s="168">
        <v>18</v>
      </c>
    </row>
    <row r="747" spans="1:14" ht="24" x14ac:dyDescent="0.3">
      <c r="A747" s="158" t="s">
        <v>174</v>
      </c>
      <c r="B747" s="158" t="str">
        <f t="shared" si="28"/>
        <v>AESU - 7 Couleurs+2 Blancs+1 Silver</v>
      </c>
      <c r="C747" s="159" t="s">
        <v>349</v>
      </c>
      <c r="D747" s="160" t="s">
        <v>660</v>
      </c>
      <c r="E747" s="339">
        <v>0.8</v>
      </c>
      <c r="F747" s="161">
        <v>0.1</v>
      </c>
      <c r="G747" s="162">
        <v>15</v>
      </c>
      <c r="H747" s="400">
        <v>0.41666666666666669</v>
      </c>
      <c r="I747" s="164">
        <v>13.2</v>
      </c>
      <c r="J747" s="168"/>
      <c r="K747" s="168"/>
      <c r="L747" s="168"/>
      <c r="M747" s="168"/>
      <c r="N747" s="168">
        <v>20</v>
      </c>
    </row>
    <row r="748" spans="1:14" x14ac:dyDescent="0.3">
      <c r="A748" s="158" t="s">
        <v>174</v>
      </c>
      <c r="B748" s="158" t="str">
        <f t="shared" si="28"/>
        <v>AESU - 7 Couleurs+3 Silvers</v>
      </c>
      <c r="C748" s="159" t="s">
        <v>349</v>
      </c>
      <c r="D748" s="160" t="s">
        <v>661</v>
      </c>
      <c r="E748" s="339">
        <v>0.8</v>
      </c>
      <c r="F748" s="161">
        <v>0.1</v>
      </c>
      <c r="G748" s="162">
        <v>15</v>
      </c>
      <c r="H748" s="400">
        <v>0.41666666666666669</v>
      </c>
      <c r="I748" s="164">
        <v>20.66</v>
      </c>
      <c r="J748" s="168"/>
      <c r="K748" s="168"/>
      <c r="L748" s="168"/>
      <c r="M748" s="168"/>
      <c r="N748" s="168">
        <v>20</v>
      </c>
    </row>
    <row r="749" spans="1:14" x14ac:dyDescent="0.3">
      <c r="A749" s="158" t="s">
        <v>174</v>
      </c>
      <c r="B749" s="158" t="str">
        <f t="shared" si="28"/>
        <v>AESU - 8 Couleurs+1 Silver</v>
      </c>
      <c r="C749" s="159" t="s">
        <v>349</v>
      </c>
      <c r="D749" s="160" t="s">
        <v>662</v>
      </c>
      <c r="E749" s="339">
        <v>0.77800000000000002</v>
      </c>
      <c r="F749" s="161">
        <v>0.1</v>
      </c>
      <c r="G749" s="162">
        <v>15</v>
      </c>
      <c r="H749" s="400">
        <v>0.41666666666666669</v>
      </c>
      <c r="I749" s="164">
        <v>13.01</v>
      </c>
      <c r="J749" s="168"/>
      <c r="K749" s="168"/>
      <c r="L749" s="168"/>
      <c r="M749" s="168"/>
      <c r="N749" s="168">
        <v>18</v>
      </c>
    </row>
    <row r="750" spans="1:14" x14ac:dyDescent="0.3">
      <c r="A750" s="158" t="s">
        <v>174</v>
      </c>
      <c r="B750" s="158" t="str">
        <f t="shared" si="28"/>
        <v>AESU - 8 Couleurs</v>
      </c>
      <c r="C750" s="159" t="s">
        <v>349</v>
      </c>
      <c r="D750" s="160" t="s">
        <v>669</v>
      </c>
      <c r="E750" s="339">
        <v>0.75</v>
      </c>
      <c r="F750" s="161">
        <v>0.1</v>
      </c>
      <c r="G750" s="162">
        <v>15</v>
      </c>
      <c r="H750" s="400">
        <v>0.41666666666666669</v>
      </c>
      <c r="I750" s="164">
        <v>8.52</v>
      </c>
      <c r="J750" s="168"/>
      <c r="K750" s="168"/>
      <c r="L750" s="168"/>
      <c r="M750" s="168"/>
      <c r="N750" s="168">
        <v>16</v>
      </c>
    </row>
    <row r="751" spans="1:14" x14ac:dyDescent="0.3">
      <c r="A751" s="158" t="s">
        <v>174</v>
      </c>
      <c r="B751" s="158" t="str">
        <f t="shared" si="28"/>
        <v>AESU - 8 Couleurs+1 Blanc</v>
      </c>
      <c r="C751" s="159" t="s">
        <v>349</v>
      </c>
      <c r="D751" s="160" t="s">
        <v>663</v>
      </c>
      <c r="E751" s="339">
        <v>0.77800000000000002</v>
      </c>
      <c r="F751" s="161">
        <v>0.1</v>
      </c>
      <c r="G751" s="162">
        <v>15</v>
      </c>
      <c r="H751" s="400">
        <v>0.41666666666666669</v>
      </c>
      <c r="I751" s="164">
        <v>8.8699999999999992</v>
      </c>
      <c r="J751" s="168"/>
      <c r="K751" s="168"/>
      <c r="L751" s="168"/>
      <c r="M751" s="168"/>
      <c r="N751" s="168">
        <v>18</v>
      </c>
    </row>
    <row r="752" spans="1:14" ht="24" x14ac:dyDescent="0.3">
      <c r="A752" s="158" t="s">
        <v>174</v>
      </c>
      <c r="B752" s="158" t="str">
        <f t="shared" si="28"/>
        <v>AESU - 8 Couleurs+1 Blanc+1 Silver</v>
      </c>
      <c r="C752" s="159" t="s">
        <v>349</v>
      </c>
      <c r="D752" s="160" t="s">
        <v>664</v>
      </c>
      <c r="E752" s="339">
        <v>0.8</v>
      </c>
      <c r="F752" s="161">
        <v>0.1</v>
      </c>
      <c r="G752" s="162">
        <v>15</v>
      </c>
      <c r="H752" s="400">
        <v>0.41666666666666669</v>
      </c>
      <c r="I752" s="164">
        <v>12.88</v>
      </c>
      <c r="J752" s="168"/>
      <c r="K752" s="168"/>
      <c r="L752" s="168"/>
      <c r="M752" s="168"/>
      <c r="N752" s="168">
        <v>20</v>
      </c>
    </row>
    <row r="753" spans="1:14" x14ac:dyDescent="0.3">
      <c r="A753" s="158" t="s">
        <v>174</v>
      </c>
      <c r="B753" s="158" t="str">
        <f t="shared" si="28"/>
        <v>AESU - 8 Couleurs+2 Silvers</v>
      </c>
      <c r="C753" s="159" t="s">
        <v>349</v>
      </c>
      <c r="D753" s="160" t="s">
        <v>665</v>
      </c>
      <c r="E753" s="339">
        <v>0.8</v>
      </c>
      <c r="F753" s="161">
        <v>0.1</v>
      </c>
      <c r="G753" s="162">
        <v>15</v>
      </c>
      <c r="H753" s="400">
        <v>0.41666666666666669</v>
      </c>
      <c r="I753" s="164">
        <v>16.61</v>
      </c>
      <c r="J753" s="168"/>
      <c r="K753" s="168"/>
      <c r="L753" s="168"/>
      <c r="M753" s="168"/>
      <c r="N753" s="168">
        <v>20</v>
      </c>
    </row>
    <row r="754" spans="1:14" x14ac:dyDescent="0.3">
      <c r="A754" s="158" t="s">
        <v>174</v>
      </c>
      <c r="B754" s="158" t="str">
        <f t="shared" si="28"/>
        <v>AESU - 8 Couleurs+2 Blancs</v>
      </c>
      <c r="C754" s="159" t="s">
        <v>349</v>
      </c>
      <c r="D754" s="160" t="s">
        <v>666</v>
      </c>
      <c r="E754" s="339">
        <v>0.8</v>
      </c>
      <c r="F754" s="161">
        <v>0.1</v>
      </c>
      <c r="G754" s="162">
        <v>15</v>
      </c>
      <c r="H754" s="400">
        <v>0.41666666666666669</v>
      </c>
      <c r="I754" s="164">
        <v>9.15</v>
      </c>
      <c r="J754" s="168"/>
      <c r="K754" s="168"/>
      <c r="L754" s="168"/>
      <c r="M754" s="168"/>
      <c r="N754" s="168">
        <v>20</v>
      </c>
    </row>
    <row r="755" spans="1:14" x14ac:dyDescent="0.3">
      <c r="A755" s="158" t="s">
        <v>174</v>
      </c>
      <c r="B755" s="158" t="str">
        <f t="shared" si="28"/>
        <v>AESU - 9 Couleurs</v>
      </c>
      <c r="C755" s="159" t="s">
        <v>349</v>
      </c>
      <c r="D755" s="160" t="s">
        <v>670</v>
      </c>
      <c r="E755" s="161">
        <v>0.77800000000000002</v>
      </c>
      <c r="F755" s="161">
        <v>0.1</v>
      </c>
      <c r="G755" s="162">
        <v>15</v>
      </c>
      <c r="H755" s="400">
        <v>0.41666666666666669</v>
      </c>
      <c r="I755" s="164">
        <v>8.52</v>
      </c>
      <c r="J755" s="168"/>
      <c r="K755" s="168"/>
      <c r="L755" s="168"/>
      <c r="M755" s="168"/>
      <c r="N755" s="168">
        <v>18</v>
      </c>
    </row>
    <row r="756" spans="1:14" x14ac:dyDescent="0.3">
      <c r="A756" s="158" t="s">
        <v>174</v>
      </c>
      <c r="B756" s="158" t="str">
        <f t="shared" si="28"/>
        <v>AESU - 9 Couleurs+2 Blancs</v>
      </c>
      <c r="C756" s="159" t="s">
        <v>349</v>
      </c>
      <c r="D756" s="160" t="s">
        <v>673</v>
      </c>
      <c r="E756" s="161">
        <v>0.81799999999999995</v>
      </c>
      <c r="F756" s="161">
        <v>0.1</v>
      </c>
      <c r="G756" s="162">
        <v>15</v>
      </c>
      <c r="H756" s="400">
        <v>0.41666666666666669</v>
      </c>
      <c r="I756" s="164">
        <v>9.1</v>
      </c>
      <c r="J756" s="168"/>
      <c r="K756" s="168"/>
      <c r="L756" s="168"/>
      <c r="M756" s="168"/>
      <c r="N756" s="168">
        <v>22</v>
      </c>
    </row>
    <row r="757" spans="1:14" x14ac:dyDescent="0.3">
      <c r="A757" s="158" t="s">
        <v>174</v>
      </c>
      <c r="B757" s="158" t="str">
        <f t="shared" si="28"/>
        <v>AESU - 9 Couleurs+1 Blanc</v>
      </c>
      <c r="C757" s="159" t="s">
        <v>349</v>
      </c>
      <c r="D757" s="160" t="s">
        <v>671</v>
      </c>
      <c r="E757" s="161">
        <v>0.8</v>
      </c>
      <c r="F757" s="161">
        <v>0.1</v>
      </c>
      <c r="G757" s="162">
        <v>15</v>
      </c>
      <c r="H757" s="400">
        <v>0.41666666666666669</v>
      </c>
      <c r="I757" s="164">
        <v>8.83</v>
      </c>
      <c r="J757" s="168"/>
      <c r="K757" s="168"/>
      <c r="L757" s="168"/>
      <c r="M757" s="168"/>
      <c r="N757" s="168">
        <v>20</v>
      </c>
    </row>
    <row r="758" spans="1:14" x14ac:dyDescent="0.3">
      <c r="A758" s="158"/>
      <c r="B758" s="158"/>
      <c r="C758" s="159"/>
      <c r="D758" s="160"/>
      <c r="E758" s="161"/>
      <c r="F758" s="161"/>
      <c r="G758" s="162"/>
      <c r="H758" s="163"/>
      <c r="I758" s="164"/>
      <c r="J758" s="168"/>
      <c r="K758" s="168"/>
      <c r="L758" s="168"/>
      <c r="M758" s="168"/>
      <c r="N758" s="168"/>
    </row>
    <row r="759" spans="1:14" x14ac:dyDescent="0.3">
      <c r="A759" s="158"/>
      <c r="B759" s="158"/>
      <c r="C759" s="159"/>
      <c r="D759" s="160"/>
      <c r="E759" s="161"/>
      <c r="F759" s="161"/>
      <c r="G759" s="162"/>
      <c r="H759" s="163"/>
      <c r="I759" s="164"/>
      <c r="J759" s="168"/>
      <c r="K759" s="168"/>
      <c r="L759" s="168"/>
      <c r="M759" s="168"/>
      <c r="N759" s="168"/>
    </row>
    <row r="760" spans="1:14" x14ac:dyDescent="0.3">
      <c r="A760" s="158"/>
      <c r="B760" s="158"/>
      <c r="C760" s="159"/>
      <c r="D760" s="160"/>
      <c r="E760" s="161"/>
      <c r="F760" s="161"/>
      <c r="G760" s="162"/>
      <c r="H760" s="163"/>
      <c r="I760" s="164"/>
      <c r="J760" s="168"/>
      <c r="K760" s="168"/>
      <c r="L760" s="168"/>
      <c r="M760" s="168"/>
      <c r="N760" s="168"/>
    </row>
    <row r="761" spans="1:14" x14ac:dyDescent="0.3">
      <c r="A761" s="158"/>
      <c r="B761" s="158"/>
      <c r="C761" s="159"/>
      <c r="D761" s="160"/>
      <c r="E761" s="161"/>
      <c r="F761" s="161"/>
      <c r="G761" s="162"/>
      <c r="H761" s="163"/>
      <c r="I761" s="164"/>
      <c r="J761" s="168"/>
      <c r="K761" s="168"/>
      <c r="L761" s="168"/>
      <c r="M761" s="168"/>
      <c r="N761" s="168"/>
    </row>
    <row r="762" spans="1:14" x14ac:dyDescent="0.3">
      <c r="A762" s="158"/>
      <c r="B762" s="158"/>
      <c r="C762" s="159"/>
      <c r="D762" s="160"/>
      <c r="E762" s="161"/>
      <c r="F762" s="161"/>
      <c r="G762" s="162"/>
      <c r="H762" s="163"/>
      <c r="I762" s="164"/>
      <c r="J762" s="168"/>
      <c r="K762" s="168"/>
      <c r="L762" s="168"/>
      <c r="M762" s="168"/>
      <c r="N762" s="168"/>
    </row>
    <row r="763" spans="1:14" x14ac:dyDescent="0.3">
      <c r="A763" s="158"/>
      <c r="B763" s="158"/>
      <c r="C763" s="159"/>
      <c r="D763" s="160"/>
      <c r="E763" s="161"/>
      <c r="F763" s="161"/>
      <c r="G763" s="162"/>
      <c r="H763" s="163"/>
      <c r="I763" s="164"/>
      <c r="J763" s="168"/>
      <c r="K763" s="168"/>
      <c r="L763" s="168"/>
      <c r="M763" s="168"/>
      <c r="N763" s="168"/>
    </row>
    <row r="764" spans="1:14" x14ac:dyDescent="0.3">
      <c r="A764" s="158"/>
      <c r="B764" s="158"/>
      <c r="C764" s="159"/>
      <c r="D764" s="160"/>
      <c r="E764" s="161"/>
      <c r="F764" s="161"/>
      <c r="G764" s="162"/>
      <c r="H764" s="163"/>
      <c r="I764" s="164"/>
      <c r="J764" s="168"/>
      <c r="K764" s="168"/>
      <c r="L764" s="168"/>
      <c r="M764" s="168"/>
      <c r="N764" s="168"/>
    </row>
    <row r="765" spans="1:14" x14ac:dyDescent="0.3">
      <c r="A765" s="158"/>
      <c r="B765" s="158"/>
      <c r="C765" s="159"/>
      <c r="D765" s="160"/>
      <c r="E765" s="161"/>
      <c r="F765" s="161"/>
      <c r="G765" s="162"/>
      <c r="H765" s="163"/>
      <c r="I765" s="164"/>
      <c r="J765" s="168"/>
      <c r="K765" s="168"/>
      <c r="L765" s="168"/>
      <c r="M765" s="168"/>
      <c r="N765" s="168"/>
    </row>
    <row r="766" spans="1:14" x14ac:dyDescent="0.3">
      <c r="A766" s="158"/>
      <c r="B766" s="158"/>
      <c r="C766" s="159"/>
      <c r="D766" s="160"/>
      <c r="E766" s="161"/>
      <c r="F766" s="161"/>
      <c r="G766" s="162"/>
      <c r="H766" s="163"/>
      <c r="I766" s="164"/>
      <c r="J766" s="168"/>
      <c r="K766" s="168"/>
      <c r="L766" s="168"/>
      <c r="M766" s="168"/>
      <c r="N766" s="168"/>
    </row>
    <row r="767" spans="1:14" x14ac:dyDescent="0.3">
      <c r="A767" s="158"/>
      <c r="B767" s="158"/>
      <c r="C767" s="159"/>
      <c r="D767" s="160"/>
      <c r="E767" s="161"/>
      <c r="F767" s="161"/>
      <c r="G767" s="162"/>
      <c r="H767" s="163"/>
      <c r="I767" s="164"/>
      <c r="J767" s="168"/>
      <c r="K767" s="168"/>
      <c r="L767" s="168"/>
      <c r="M767" s="168"/>
      <c r="N767" s="168"/>
    </row>
    <row r="768" spans="1:14" x14ac:dyDescent="0.3">
      <c r="A768" s="158"/>
      <c r="B768" s="158"/>
      <c r="C768" s="159"/>
      <c r="D768" s="160"/>
      <c r="E768" s="161"/>
      <c r="F768" s="161"/>
      <c r="G768" s="162"/>
      <c r="H768" s="163"/>
      <c r="I768" s="164"/>
      <c r="J768" s="168"/>
      <c r="K768" s="168"/>
      <c r="L768" s="168"/>
      <c r="M768" s="168"/>
      <c r="N768" s="168"/>
    </row>
    <row r="769" spans="1:14" x14ac:dyDescent="0.3">
      <c r="A769" s="158"/>
      <c r="B769" s="158"/>
      <c r="C769" s="159"/>
      <c r="D769" s="160"/>
      <c r="E769" s="161"/>
      <c r="F769" s="161"/>
      <c r="G769" s="162"/>
      <c r="H769" s="163"/>
      <c r="I769" s="164"/>
      <c r="J769" s="168"/>
      <c r="K769" s="168"/>
      <c r="L769" s="168"/>
      <c r="M769" s="168"/>
      <c r="N769" s="168"/>
    </row>
    <row r="770" spans="1:14" x14ac:dyDescent="0.3">
      <c r="A770" s="158"/>
      <c r="B770" s="158"/>
      <c r="C770" s="159"/>
      <c r="D770" s="160"/>
      <c r="E770" s="161"/>
      <c r="F770" s="161"/>
      <c r="G770" s="162"/>
      <c r="H770" s="163"/>
      <c r="I770" s="164"/>
      <c r="J770" s="168"/>
      <c r="K770" s="168"/>
      <c r="L770" s="168"/>
      <c r="M770" s="168"/>
      <c r="N770" s="168"/>
    </row>
    <row r="771" spans="1:14" x14ac:dyDescent="0.3">
      <c r="A771" s="158"/>
      <c r="B771" s="158"/>
      <c r="C771" s="159"/>
      <c r="D771" s="160"/>
      <c r="E771" s="161"/>
      <c r="F771" s="161"/>
      <c r="G771" s="162"/>
      <c r="H771" s="163"/>
      <c r="I771" s="164"/>
      <c r="J771" s="168"/>
      <c r="K771" s="168"/>
      <c r="L771" s="168"/>
      <c r="M771" s="168"/>
      <c r="N771" s="168"/>
    </row>
    <row r="772" spans="1:14" x14ac:dyDescent="0.3">
      <c r="A772" s="158"/>
      <c r="B772" s="158"/>
      <c r="C772" s="159"/>
      <c r="D772" s="160"/>
      <c r="E772" s="161"/>
      <c r="F772" s="161"/>
      <c r="G772" s="162"/>
      <c r="H772" s="163"/>
      <c r="I772" s="164"/>
      <c r="J772" s="168"/>
      <c r="K772" s="168"/>
      <c r="L772" s="168"/>
      <c r="M772" s="168"/>
      <c r="N772" s="168"/>
    </row>
    <row r="773" spans="1:14" x14ac:dyDescent="0.3">
      <c r="A773" s="158"/>
      <c r="B773" s="158"/>
      <c r="C773" s="159"/>
      <c r="D773" s="160"/>
      <c r="E773" s="161"/>
      <c r="F773" s="161"/>
      <c r="G773" s="162"/>
      <c r="H773" s="163"/>
      <c r="I773" s="164"/>
      <c r="J773" s="168"/>
      <c r="K773" s="168"/>
      <c r="L773" s="168"/>
      <c r="M773" s="168"/>
      <c r="N773" s="168"/>
    </row>
    <row r="774" spans="1:14" x14ac:dyDescent="0.3">
      <c r="A774" s="158"/>
      <c r="B774" s="158"/>
      <c r="C774" s="159"/>
      <c r="D774" s="160"/>
      <c r="E774" s="161"/>
      <c r="F774" s="161"/>
      <c r="G774" s="162"/>
      <c r="H774" s="163"/>
      <c r="I774" s="164"/>
      <c r="J774" s="168"/>
      <c r="K774" s="168"/>
      <c r="L774" s="168"/>
      <c r="M774" s="168"/>
      <c r="N774" s="168"/>
    </row>
    <row r="775" spans="1:14" x14ac:dyDescent="0.3">
      <c r="A775" s="158"/>
      <c r="B775" s="158"/>
      <c r="C775" s="159"/>
      <c r="D775" s="160"/>
      <c r="E775" s="161"/>
      <c r="F775" s="161"/>
      <c r="G775" s="162"/>
      <c r="H775" s="163"/>
      <c r="I775" s="164"/>
      <c r="J775" s="168"/>
      <c r="K775" s="168"/>
      <c r="L775" s="168"/>
      <c r="M775" s="168"/>
      <c r="N775" s="168"/>
    </row>
    <row r="776" spans="1:14" x14ac:dyDescent="0.3">
      <c r="A776" s="158"/>
      <c r="B776" s="158"/>
      <c r="C776" s="159"/>
      <c r="D776" s="160"/>
      <c r="E776" s="161"/>
      <c r="F776" s="161"/>
      <c r="G776" s="162"/>
      <c r="H776" s="163"/>
      <c r="I776" s="164"/>
      <c r="J776" s="168"/>
      <c r="K776" s="168"/>
      <c r="L776" s="168"/>
      <c r="M776" s="168"/>
      <c r="N776" s="168"/>
    </row>
    <row r="777" spans="1:14" x14ac:dyDescent="0.3">
      <c r="A777" s="158"/>
      <c r="B777" s="158"/>
      <c r="C777" s="159"/>
      <c r="D777" s="160"/>
      <c r="E777" s="161"/>
      <c r="F777" s="161"/>
      <c r="G777" s="162"/>
      <c r="H777" s="163"/>
      <c r="I777" s="164"/>
      <c r="J777" s="168"/>
      <c r="K777" s="168"/>
      <c r="L777" s="168"/>
      <c r="M777" s="168"/>
      <c r="N777" s="168"/>
    </row>
    <row r="778" spans="1:14" x14ac:dyDescent="0.3">
      <c r="A778" s="158"/>
      <c r="B778" s="158"/>
      <c r="C778" s="159"/>
      <c r="D778" s="160"/>
      <c r="E778" s="161"/>
      <c r="F778" s="161"/>
      <c r="G778" s="162"/>
      <c r="H778" s="163"/>
      <c r="I778" s="164"/>
      <c r="J778" s="168"/>
      <c r="K778" s="168"/>
      <c r="L778" s="168"/>
      <c r="M778" s="168"/>
      <c r="N778" s="168"/>
    </row>
    <row r="779" spans="1:14" x14ac:dyDescent="0.3">
      <c r="A779" s="158"/>
      <c r="B779" s="158"/>
      <c r="C779" s="159"/>
      <c r="D779" s="160"/>
      <c r="E779" s="161"/>
      <c r="F779" s="161"/>
      <c r="G779" s="162"/>
      <c r="H779" s="163"/>
      <c r="I779" s="164"/>
      <c r="J779" s="168"/>
      <c r="K779" s="168"/>
      <c r="L779" s="168"/>
      <c r="M779" s="168"/>
      <c r="N779" s="168"/>
    </row>
    <row r="780" spans="1:14" x14ac:dyDescent="0.3">
      <c r="A780" s="158"/>
      <c r="B780" s="158"/>
      <c r="C780" s="159"/>
      <c r="D780" s="160"/>
      <c r="E780" s="161"/>
      <c r="F780" s="161"/>
      <c r="G780" s="162"/>
      <c r="H780" s="163"/>
      <c r="I780" s="164"/>
      <c r="J780" s="168"/>
      <c r="K780" s="168"/>
      <c r="L780" s="168"/>
      <c r="M780" s="168"/>
      <c r="N780" s="168"/>
    </row>
    <row r="781" spans="1:14" x14ac:dyDescent="0.3">
      <c r="A781" s="158"/>
      <c r="B781" s="158"/>
      <c r="C781" s="159"/>
      <c r="D781" s="160"/>
      <c r="E781" s="161"/>
      <c r="F781" s="161"/>
      <c r="G781" s="162"/>
      <c r="H781" s="163"/>
      <c r="I781" s="164"/>
      <c r="J781" s="168"/>
      <c r="K781" s="168"/>
      <c r="L781" s="168"/>
      <c r="M781" s="168"/>
      <c r="N781" s="168"/>
    </row>
    <row r="782" spans="1:14" x14ac:dyDescent="0.3">
      <c r="A782" s="158"/>
      <c r="B782" s="158"/>
      <c r="C782" s="159"/>
      <c r="D782" s="160"/>
      <c r="E782" s="161"/>
      <c r="F782" s="161"/>
      <c r="G782" s="162"/>
      <c r="H782" s="163"/>
      <c r="I782" s="164"/>
      <c r="J782" s="168"/>
      <c r="K782" s="168"/>
      <c r="L782" s="168"/>
      <c r="M782" s="168"/>
      <c r="N782" s="168"/>
    </row>
    <row r="783" spans="1:14" x14ac:dyDescent="0.3">
      <c r="A783" s="158"/>
      <c r="B783" s="158"/>
      <c r="C783" s="159"/>
      <c r="D783" s="160"/>
      <c r="E783" s="161"/>
      <c r="F783" s="161"/>
      <c r="G783" s="162"/>
      <c r="H783" s="163"/>
      <c r="I783" s="164"/>
      <c r="J783" s="168"/>
      <c r="K783" s="168"/>
      <c r="L783" s="168"/>
      <c r="M783" s="168"/>
      <c r="N783" s="168"/>
    </row>
    <row r="784" spans="1:14" x14ac:dyDescent="0.3">
      <c r="A784" s="158"/>
      <c r="B784" s="158"/>
      <c r="C784" s="159"/>
      <c r="D784" s="160"/>
      <c r="E784" s="161"/>
      <c r="F784" s="161"/>
      <c r="G784" s="162"/>
      <c r="H784" s="163"/>
      <c r="I784" s="164"/>
      <c r="J784" s="168"/>
      <c r="K784" s="168"/>
      <c r="L784" s="168"/>
      <c r="M784" s="168"/>
      <c r="N784" s="168"/>
    </row>
    <row r="785" spans="1:14" x14ac:dyDescent="0.3">
      <c r="A785" s="158"/>
      <c r="B785" s="158"/>
      <c r="C785" s="159"/>
      <c r="D785" s="160"/>
      <c r="E785" s="161"/>
      <c r="F785" s="161"/>
      <c r="G785" s="162"/>
      <c r="H785" s="163"/>
      <c r="I785" s="164"/>
      <c r="J785" s="168"/>
      <c r="K785" s="168"/>
      <c r="L785" s="168"/>
      <c r="M785" s="168"/>
      <c r="N785" s="168"/>
    </row>
    <row r="786" spans="1:14" x14ac:dyDescent="0.3">
      <c r="A786" s="158"/>
      <c r="B786" s="158"/>
      <c r="C786" s="159"/>
      <c r="D786" s="160"/>
      <c r="E786" s="161"/>
      <c r="F786" s="161"/>
      <c r="G786" s="162"/>
      <c r="H786" s="163"/>
      <c r="I786" s="164"/>
      <c r="J786" s="168"/>
      <c r="K786" s="168"/>
      <c r="L786" s="168"/>
      <c r="M786" s="168"/>
      <c r="N786" s="168"/>
    </row>
    <row r="787" spans="1:14" x14ac:dyDescent="0.3">
      <c r="A787" s="158"/>
      <c r="B787" s="158"/>
      <c r="C787" s="159"/>
      <c r="D787" s="160"/>
      <c r="E787" s="161"/>
      <c r="F787" s="161"/>
      <c r="G787" s="162"/>
      <c r="H787" s="163"/>
      <c r="I787" s="164"/>
      <c r="J787" s="168"/>
      <c r="K787" s="168"/>
      <c r="L787" s="168"/>
      <c r="M787" s="168"/>
      <c r="N787" s="168"/>
    </row>
    <row r="788" spans="1:14" x14ac:dyDescent="0.3">
      <c r="A788" s="158"/>
      <c r="B788" s="158"/>
      <c r="C788" s="159"/>
      <c r="D788" s="160"/>
      <c r="E788" s="161"/>
      <c r="F788" s="161"/>
      <c r="G788" s="162"/>
      <c r="H788" s="163"/>
      <c r="I788" s="164"/>
      <c r="J788" s="168"/>
      <c r="K788" s="168"/>
      <c r="L788" s="168"/>
      <c r="M788" s="168"/>
      <c r="N788" s="168"/>
    </row>
    <row r="789" spans="1:14" x14ac:dyDescent="0.3">
      <c r="A789" s="158"/>
      <c r="B789" s="158"/>
      <c r="C789" s="159"/>
      <c r="D789" s="160"/>
      <c r="E789" s="161"/>
      <c r="F789" s="161"/>
      <c r="G789" s="162"/>
      <c r="H789" s="163"/>
      <c r="I789" s="164"/>
      <c r="J789" s="168"/>
      <c r="K789" s="168"/>
      <c r="L789" s="168"/>
      <c r="M789" s="168"/>
      <c r="N789" s="168"/>
    </row>
    <row r="790" spans="1:14" x14ac:dyDescent="0.3">
      <c r="A790" s="158"/>
      <c r="B790" s="158"/>
      <c r="C790" s="159"/>
      <c r="D790" s="160"/>
      <c r="E790" s="161"/>
      <c r="F790" s="161"/>
      <c r="G790" s="162"/>
      <c r="H790" s="163"/>
      <c r="I790" s="164"/>
      <c r="J790" s="168"/>
      <c r="K790" s="168"/>
      <c r="L790" s="168"/>
      <c r="M790" s="168"/>
      <c r="N790" s="168"/>
    </row>
    <row r="791" spans="1:14" x14ac:dyDescent="0.3">
      <c r="A791" s="158"/>
      <c r="B791" s="158"/>
      <c r="C791" s="159"/>
      <c r="D791" s="160"/>
      <c r="E791" s="161"/>
      <c r="F791" s="161"/>
      <c r="G791" s="162"/>
      <c r="H791" s="163"/>
      <c r="I791" s="164"/>
      <c r="J791" s="168"/>
      <c r="K791" s="168"/>
      <c r="L791" s="168"/>
      <c r="M791" s="168"/>
      <c r="N791" s="168"/>
    </row>
    <row r="792" spans="1:14" x14ac:dyDescent="0.3">
      <c r="A792" s="158"/>
      <c r="B792" s="158"/>
      <c r="C792" s="159"/>
      <c r="D792" s="160"/>
      <c r="E792" s="161"/>
      <c r="F792" s="161"/>
      <c r="G792" s="162"/>
      <c r="H792" s="163"/>
      <c r="I792" s="164"/>
      <c r="J792" s="168"/>
      <c r="K792" s="168"/>
      <c r="L792" s="168"/>
      <c r="M792" s="168"/>
      <c r="N792" s="168"/>
    </row>
    <row r="793" spans="1:14" x14ac:dyDescent="0.3">
      <c r="A793" s="158"/>
      <c r="B793" s="158"/>
      <c r="C793" s="159"/>
      <c r="D793" s="160"/>
      <c r="E793" s="161"/>
      <c r="F793" s="161"/>
      <c r="G793" s="162"/>
      <c r="H793" s="163"/>
      <c r="I793" s="164"/>
      <c r="J793" s="168"/>
      <c r="K793" s="168"/>
      <c r="L793" s="168"/>
      <c r="M793" s="168"/>
      <c r="N793" s="168"/>
    </row>
    <row r="794" spans="1:14" x14ac:dyDescent="0.3">
      <c r="A794" s="158"/>
      <c r="B794" s="158"/>
      <c r="C794" s="159"/>
      <c r="D794" s="160"/>
      <c r="E794" s="161"/>
      <c r="F794" s="161"/>
      <c r="G794" s="162"/>
      <c r="H794" s="163"/>
      <c r="I794" s="164"/>
      <c r="J794" s="168"/>
      <c r="K794" s="168"/>
      <c r="L794" s="168"/>
      <c r="M794" s="168"/>
      <c r="N794" s="168"/>
    </row>
    <row r="795" spans="1:14" x14ac:dyDescent="0.3">
      <c r="A795" s="158"/>
      <c r="B795" s="158"/>
      <c r="C795" s="159"/>
      <c r="D795" s="160"/>
      <c r="E795" s="161"/>
      <c r="F795" s="161"/>
      <c r="G795" s="162"/>
      <c r="H795" s="163"/>
      <c r="I795" s="164"/>
      <c r="J795" s="168"/>
      <c r="K795" s="168"/>
      <c r="L795" s="168"/>
      <c r="M795" s="168"/>
      <c r="N795" s="168"/>
    </row>
    <row r="796" spans="1:14" x14ac:dyDescent="0.3">
      <c r="A796" s="158"/>
      <c r="B796" s="158"/>
      <c r="C796" s="159"/>
      <c r="D796" s="160"/>
      <c r="E796" s="161"/>
      <c r="F796" s="161"/>
      <c r="G796" s="162"/>
      <c r="H796" s="163"/>
      <c r="I796" s="164"/>
      <c r="J796" s="168"/>
      <c r="K796" s="168"/>
      <c r="L796" s="168"/>
      <c r="M796" s="168"/>
      <c r="N796" s="168"/>
    </row>
    <row r="797" spans="1:14" x14ac:dyDescent="0.3">
      <c r="A797" s="158"/>
      <c r="B797" s="158"/>
      <c r="C797" s="159"/>
      <c r="D797" s="160"/>
      <c r="E797" s="161"/>
      <c r="F797" s="161"/>
      <c r="G797" s="162"/>
      <c r="H797" s="163"/>
      <c r="I797" s="164"/>
      <c r="J797" s="168"/>
      <c r="K797" s="168"/>
      <c r="L797" s="168"/>
      <c r="M797" s="168"/>
      <c r="N797" s="168"/>
    </row>
    <row r="798" spans="1:14" x14ac:dyDescent="0.3">
      <c r="A798" s="158"/>
      <c r="B798" s="158"/>
      <c r="C798" s="159"/>
      <c r="D798" s="160"/>
      <c r="E798" s="161"/>
      <c r="F798" s="161"/>
      <c r="G798" s="162"/>
      <c r="H798" s="163"/>
      <c r="I798" s="164"/>
      <c r="J798" s="168"/>
      <c r="K798" s="168"/>
      <c r="L798" s="168"/>
      <c r="M798" s="168"/>
      <c r="N798" s="168"/>
    </row>
    <row r="799" spans="1:14" x14ac:dyDescent="0.3">
      <c r="A799" s="158"/>
      <c r="B799" s="158"/>
      <c r="C799" s="159"/>
      <c r="D799" s="160"/>
      <c r="E799" s="161"/>
      <c r="F799" s="161"/>
      <c r="G799" s="162"/>
      <c r="H799" s="163"/>
      <c r="I799" s="164"/>
      <c r="J799" s="168"/>
      <c r="K799" s="168"/>
      <c r="L799" s="168"/>
      <c r="M799" s="168"/>
      <c r="N799" s="168"/>
    </row>
    <row r="800" spans="1:14" x14ac:dyDescent="0.3">
      <c r="A800" s="158"/>
      <c r="B800" s="158"/>
      <c r="C800" s="159"/>
      <c r="D800" s="160"/>
      <c r="E800" s="161"/>
      <c r="F800" s="161"/>
      <c r="G800" s="162"/>
      <c r="H800" s="163"/>
      <c r="I800" s="164"/>
      <c r="J800" s="168"/>
      <c r="K800" s="168"/>
      <c r="L800" s="168"/>
      <c r="M800" s="168"/>
      <c r="N800" s="168"/>
    </row>
    <row r="801" spans="1:14" x14ac:dyDescent="0.3">
      <c r="A801" s="158"/>
      <c r="B801" s="158"/>
      <c r="C801" s="159"/>
      <c r="D801" s="160"/>
      <c r="E801" s="161"/>
      <c r="F801" s="161"/>
      <c r="G801" s="162"/>
      <c r="H801" s="163"/>
      <c r="I801" s="164"/>
      <c r="J801" s="168"/>
      <c r="K801" s="168"/>
      <c r="L801" s="168"/>
      <c r="M801" s="168"/>
      <c r="N801" s="168"/>
    </row>
    <row r="802" spans="1:14" x14ac:dyDescent="0.3">
      <c r="A802" s="158"/>
      <c r="B802" s="158"/>
      <c r="C802" s="159"/>
      <c r="D802" s="160"/>
      <c r="E802" s="161"/>
      <c r="F802" s="161"/>
      <c r="G802" s="162"/>
      <c r="H802" s="163"/>
      <c r="I802" s="164"/>
      <c r="J802" s="168"/>
      <c r="K802" s="168"/>
      <c r="L802" s="168"/>
      <c r="M802" s="168"/>
      <c r="N802" s="168"/>
    </row>
    <row r="803" spans="1:14" x14ac:dyDescent="0.3">
      <c r="A803" s="158"/>
      <c r="B803" s="158"/>
      <c r="C803" s="159"/>
      <c r="D803" s="160"/>
      <c r="E803" s="161"/>
      <c r="F803" s="161"/>
      <c r="G803" s="162"/>
      <c r="H803" s="163"/>
      <c r="I803" s="164"/>
      <c r="J803" s="168"/>
      <c r="K803" s="168"/>
      <c r="L803" s="168"/>
      <c r="M803" s="168"/>
      <c r="N803" s="168"/>
    </row>
    <row r="804" spans="1:14" x14ac:dyDescent="0.3">
      <c r="A804" s="158"/>
      <c r="B804" s="158"/>
      <c r="C804" s="159"/>
      <c r="D804" s="160"/>
      <c r="E804" s="161"/>
      <c r="F804" s="161"/>
      <c r="G804" s="162"/>
      <c r="H804" s="163"/>
      <c r="I804" s="164"/>
      <c r="J804" s="168"/>
      <c r="K804" s="168"/>
      <c r="L804" s="168"/>
      <c r="M804" s="168"/>
      <c r="N804" s="168"/>
    </row>
    <row r="805" spans="1:14" x14ac:dyDescent="0.3">
      <c r="A805" s="158"/>
      <c r="B805" s="158"/>
      <c r="C805" s="159"/>
      <c r="D805" s="160"/>
      <c r="E805" s="161"/>
      <c r="F805" s="161"/>
      <c r="G805" s="162"/>
      <c r="H805" s="163"/>
      <c r="I805" s="164"/>
      <c r="J805" s="168"/>
      <c r="K805" s="168"/>
      <c r="L805" s="168"/>
      <c r="M805" s="168"/>
      <c r="N805" s="168"/>
    </row>
    <row r="806" spans="1:14" x14ac:dyDescent="0.3">
      <c r="A806" s="158"/>
      <c r="B806" s="158"/>
      <c r="C806" s="159"/>
      <c r="D806" s="160"/>
      <c r="E806" s="161"/>
      <c r="F806" s="161"/>
      <c r="G806" s="162"/>
      <c r="H806" s="163"/>
      <c r="I806" s="164"/>
      <c r="J806" s="168"/>
      <c r="K806" s="168"/>
      <c r="L806" s="168"/>
      <c r="M806" s="168"/>
      <c r="N806" s="168"/>
    </row>
    <row r="807" spans="1:14" x14ac:dyDescent="0.3">
      <c r="A807" s="158"/>
      <c r="B807" s="158"/>
      <c r="C807" s="159"/>
      <c r="D807" s="160"/>
      <c r="E807" s="161"/>
      <c r="F807" s="161"/>
      <c r="G807" s="162"/>
      <c r="H807" s="163"/>
      <c r="I807" s="164"/>
      <c r="J807" s="168"/>
      <c r="K807" s="168"/>
      <c r="L807" s="168"/>
      <c r="M807" s="168"/>
      <c r="N807" s="168"/>
    </row>
    <row r="808" spans="1:14" x14ac:dyDescent="0.3">
      <c r="A808" s="158"/>
      <c r="B808" s="158"/>
      <c r="C808" s="159"/>
      <c r="D808" s="160"/>
      <c r="E808" s="161"/>
      <c r="F808" s="161"/>
      <c r="G808" s="162"/>
      <c r="H808" s="163"/>
      <c r="I808" s="164"/>
      <c r="J808" s="168"/>
      <c r="K808" s="168"/>
      <c r="L808" s="168"/>
      <c r="M808" s="168"/>
      <c r="N808" s="168"/>
    </row>
    <row r="809" spans="1:14" x14ac:dyDescent="0.3">
      <c r="A809" s="158"/>
      <c r="B809" s="158"/>
      <c r="C809" s="159"/>
      <c r="D809" s="160"/>
      <c r="E809" s="161"/>
      <c r="F809" s="161"/>
      <c r="G809" s="162"/>
      <c r="H809" s="163"/>
      <c r="I809" s="164"/>
      <c r="J809" s="168"/>
      <c r="K809" s="168"/>
      <c r="L809" s="168"/>
      <c r="M809" s="168"/>
      <c r="N809" s="168"/>
    </row>
    <row r="810" spans="1:14" x14ac:dyDescent="0.3">
      <c r="A810" s="158"/>
      <c r="B810" s="158"/>
      <c r="C810" s="159"/>
      <c r="D810" s="160"/>
      <c r="E810" s="161"/>
      <c r="F810" s="161"/>
      <c r="G810" s="162"/>
      <c r="H810" s="163"/>
      <c r="I810" s="164"/>
      <c r="J810" s="168"/>
      <c r="K810" s="168"/>
      <c r="L810" s="168"/>
      <c r="M810" s="168"/>
      <c r="N810" s="168"/>
    </row>
    <row r="811" spans="1:14" x14ac:dyDescent="0.3">
      <c r="A811" s="158"/>
      <c r="B811" s="158"/>
      <c r="C811" s="159"/>
      <c r="D811" s="160"/>
      <c r="E811" s="161"/>
      <c r="F811" s="161"/>
      <c r="G811" s="162"/>
      <c r="H811" s="163"/>
      <c r="I811" s="164"/>
      <c r="J811" s="168"/>
      <c r="K811" s="168"/>
      <c r="L811" s="168"/>
      <c r="M811" s="168"/>
      <c r="N811" s="168"/>
    </row>
    <row r="812" spans="1:14" x14ac:dyDescent="0.3">
      <c r="A812" s="158"/>
      <c r="B812" s="158"/>
      <c r="C812" s="159"/>
      <c r="D812" s="160"/>
      <c r="E812" s="161"/>
      <c r="F812" s="161"/>
      <c r="G812" s="162"/>
      <c r="H812" s="163"/>
      <c r="I812" s="164"/>
      <c r="J812" s="168"/>
      <c r="K812" s="168"/>
      <c r="L812" s="168"/>
      <c r="M812" s="168"/>
      <c r="N812" s="168"/>
    </row>
    <row r="813" spans="1:14" x14ac:dyDescent="0.3">
      <c r="A813" s="158"/>
      <c r="B813" s="158"/>
      <c r="C813" s="159"/>
      <c r="D813" s="160"/>
      <c r="E813" s="161"/>
      <c r="F813" s="161"/>
      <c r="G813" s="162"/>
      <c r="H813" s="163"/>
      <c r="I813" s="164"/>
      <c r="J813" s="168"/>
      <c r="K813" s="168"/>
      <c r="L813" s="168"/>
      <c r="M813" s="168"/>
      <c r="N813" s="168"/>
    </row>
    <row r="814" spans="1:14" x14ac:dyDescent="0.3">
      <c r="A814" s="158"/>
      <c r="B814" s="158"/>
      <c r="C814" s="159"/>
      <c r="D814" s="160"/>
      <c r="E814" s="161"/>
      <c r="F814" s="161"/>
      <c r="G814" s="162"/>
      <c r="H814" s="163"/>
      <c r="I814" s="164"/>
      <c r="J814" s="168"/>
      <c r="K814" s="168"/>
      <c r="L814" s="168"/>
      <c r="M814" s="168"/>
      <c r="N814" s="168"/>
    </row>
    <row r="815" spans="1:14" x14ac:dyDescent="0.3">
      <c r="A815" s="158"/>
      <c r="B815" s="158"/>
      <c r="C815" s="159"/>
      <c r="D815" s="160"/>
      <c r="E815" s="161"/>
      <c r="F815" s="161"/>
      <c r="G815" s="162"/>
      <c r="H815" s="163"/>
      <c r="I815" s="164"/>
      <c r="J815" s="168"/>
      <c r="K815" s="168"/>
      <c r="L815" s="168"/>
      <c r="M815" s="168"/>
      <c r="N815" s="168"/>
    </row>
    <row r="816" spans="1:14" x14ac:dyDescent="0.3">
      <c r="A816" s="158"/>
      <c r="B816" s="158"/>
      <c r="C816" s="159"/>
      <c r="D816" s="160"/>
      <c r="E816" s="161"/>
      <c r="F816" s="161"/>
      <c r="G816" s="162"/>
      <c r="H816" s="163"/>
      <c r="I816" s="164"/>
      <c r="J816" s="168"/>
      <c r="K816" s="168"/>
      <c r="L816" s="168"/>
      <c r="M816" s="168"/>
      <c r="N816" s="168"/>
    </row>
    <row r="817" spans="1:17" x14ac:dyDescent="0.3">
      <c r="A817" s="205" t="s">
        <v>147</v>
      </c>
      <c r="B817" s="342" t="str">
        <f t="shared" ref="B817" si="29">A817&amp;"-"&amp;C817&amp;"-"&amp;O817</f>
        <v>AEBO-Cartes-Ni couleur ni vernis</v>
      </c>
      <c r="C817" s="206" t="s">
        <v>764</v>
      </c>
      <c r="D817" s="207" t="s">
        <v>765</v>
      </c>
      <c r="E817" s="301">
        <v>0</v>
      </c>
      <c r="F817" s="208">
        <v>0.05</v>
      </c>
      <c r="G817" s="391">
        <v>60</v>
      </c>
      <c r="H817" s="392">
        <f>15/60</f>
        <v>0.25</v>
      </c>
      <c r="I817" s="211"/>
      <c r="J817" s="212"/>
      <c r="K817" s="212"/>
      <c r="L817" s="212"/>
      <c r="M817" s="212"/>
      <c r="N817" s="212"/>
      <c r="O817" t="s">
        <v>765</v>
      </c>
    </row>
    <row r="818" spans="1:17" x14ac:dyDescent="0.3">
      <c r="A818" s="205" t="s">
        <v>147</v>
      </c>
      <c r="B818" s="342" t="str">
        <f>A818&amp;"-"&amp;C818&amp;"-"&amp;O818</f>
        <v>AEBO-Cartes-1 Couleur Sérigraphie</v>
      </c>
      <c r="C818" s="206" t="s">
        <v>764</v>
      </c>
      <c r="D818" s="207" t="s">
        <v>766</v>
      </c>
      <c r="E818" s="301">
        <v>0.8</v>
      </c>
      <c r="F818" s="208">
        <v>0.05</v>
      </c>
      <c r="G818" s="209">
        <v>160</v>
      </c>
      <c r="H818" s="210">
        <f>45/60</f>
        <v>0.75</v>
      </c>
      <c r="I818" s="211"/>
      <c r="J818" s="212"/>
      <c r="K818" s="212">
        <v>1</v>
      </c>
      <c r="L818" s="212"/>
      <c r="M818" s="212"/>
      <c r="N818" s="212">
        <f>SUM(J818:M818)</f>
        <v>1</v>
      </c>
      <c r="O818" t="s">
        <v>767</v>
      </c>
      <c r="Q818" s="114"/>
    </row>
    <row r="819" spans="1:17" x14ac:dyDescent="0.3">
      <c r="A819" s="205" t="s">
        <v>147</v>
      </c>
      <c r="B819" s="342" t="str">
        <f t="shared" ref="B819:B887" si="30">A819&amp;"-"&amp;C819&amp;"-"&amp;O819</f>
        <v xml:space="preserve">AEBO-Cartes-1 Couleur Sérigraphie + 1 Vernis Sérigraphie </v>
      </c>
      <c r="C819" s="206" t="s">
        <v>764</v>
      </c>
      <c r="D819" s="207" t="s">
        <v>768</v>
      </c>
      <c r="E819" s="301">
        <v>0.8</v>
      </c>
      <c r="F819" s="208">
        <v>0.05</v>
      </c>
      <c r="G819" s="209">
        <v>260</v>
      </c>
      <c r="H819" s="210">
        <f>75/60</f>
        <v>1.25</v>
      </c>
      <c r="I819" s="211"/>
      <c r="J819" s="212"/>
      <c r="K819" s="212">
        <v>1</v>
      </c>
      <c r="L819" s="212"/>
      <c r="M819" s="212">
        <v>1</v>
      </c>
      <c r="N819" s="212">
        <f t="shared" ref="N819:N828" si="31">SUM(J819:M819)</f>
        <v>2</v>
      </c>
      <c r="O819" t="s">
        <v>269</v>
      </c>
      <c r="Q819" s="114"/>
    </row>
    <row r="820" spans="1:17" x14ac:dyDescent="0.3">
      <c r="A820" s="205" t="s">
        <v>147</v>
      </c>
      <c r="B820" s="342" t="str">
        <f t="shared" si="30"/>
        <v>AEBO-Cartes-1 Couleur Flexo</v>
      </c>
      <c r="C820" s="206" t="s">
        <v>764</v>
      </c>
      <c r="D820" s="207" t="s">
        <v>769</v>
      </c>
      <c r="E820" s="301">
        <v>0</v>
      </c>
      <c r="F820" s="208">
        <v>0.05</v>
      </c>
      <c r="G820" s="209">
        <v>160</v>
      </c>
      <c r="H820" s="210">
        <f>75/60</f>
        <v>1.25</v>
      </c>
      <c r="I820" s="211"/>
      <c r="J820" s="212">
        <v>1</v>
      </c>
      <c r="K820" s="212"/>
      <c r="L820" s="212"/>
      <c r="M820" s="212"/>
      <c r="N820" s="212">
        <f t="shared" si="31"/>
        <v>1</v>
      </c>
      <c r="O820" t="s">
        <v>770</v>
      </c>
      <c r="Q820" s="114"/>
    </row>
    <row r="821" spans="1:17" x14ac:dyDescent="0.3">
      <c r="A821" s="205" t="s">
        <v>147</v>
      </c>
      <c r="B821" s="342" t="str">
        <f t="shared" si="30"/>
        <v>AEBO-Cartes-1 Couleur Flexo + 1 Couleur Sérigraphie</v>
      </c>
      <c r="C821" s="206" t="s">
        <v>764</v>
      </c>
      <c r="D821" s="207" t="s">
        <v>771</v>
      </c>
      <c r="E821" s="301">
        <v>0.8</v>
      </c>
      <c r="F821" s="208">
        <v>0.05</v>
      </c>
      <c r="G821" s="209">
        <v>260</v>
      </c>
      <c r="H821" s="210">
        <f>(60+45)/60</f>
        <v>1.75</v>
      </c>
      <c r="I821" s="211"/>
      <c r="J821" s="212">
        <v>1</v>
      </c>
      <c r="K821" s="212">
        <v>1</v>
      </c>
      <c r="L821" s="212"/>
      <c r="M821" s="212"/>
      <c r="N821" s="212">
        <f t="shared" si="31"/>
        <v>2</v>
      </c>
      <c r="O821" t="s">
        <v>772</v>
      </c>
    </row>
    <row r="822" spans="1:17" x14ac:dyDescent="0.3">
      <c r="A822" s="205" t="s">
        <v>147</v>
      </c>
      <c r="B822" s="342" t="str">
        <f t="shared" si="30"/>
        <v>AEBO-Cartes-1 Couleur Flexo + 1 Vernis Flexo</v>
      </c>
      <c r="C822" s="206" t="s">
        <v>764</v>
      </c>
      <c r="D822" s="207" t="s">
        <v>773</v>
      </c>
      <c r="E822" s="301">
        <v>0</v>
      </c>
      <c r="F822" s="208">
        <v>0.05</v>
      </c>
      <c r="G822" s="209">
        <v>260</v>
      </c>
      <c r="H822" s="210">
        <v>1.5</v>
      </c>
      <c r="I822" s="211"/>
      <c r="J822" s="212">
        <v>1</v>
      </c>
      <c r="K822" s="212"/>
      <c r="L822" s="212">
        <v>1</v>
      </c>
      <c r="M822" s="212"/>
      <c r="N822" s="212">
        <f t="shared" si="31"/>
        <v>2</v>
      </c>
      <c r="O822" t="s">
        <v>201</v>
      </c>
    </row>
    <row r="823" spans="1:17" x14ac:dyDescent="0.3">
      <c r="A823" s="205" t="s">
        <v>147</v>
      </c>
      <c r="B823" s="342" t="str">
        <f t="shared" si="30"/>
        <v xml:space="preserve">AEBO-Cartes-1 Couleur Flexo + 1 Vernis Sérigraphie </v>
      </c>
      <c r="C823" s="206" t="s">
        <v>764</v>
      </c>
      <c r="D823" s="207" t="s">
        <v>774</v>
      </c>
      <c r="E823" s="301">
        <v>0.8</v>
      </c>
      <c r="F823" s="208">
        <v>0.05</v>
      </c>
      <c r="G823" s="209">
        <v>260</v>
      </c>
      <c r="H823" s="210">
        <v>1.75</v>
      </c>
      <c r="I823" s="211"/>
      <c r="J823" s="212">
        <v>1</v>
      </c>
      <c r="K823" s="212"/>
      <c r="L823" s="212"/>
      <c r="M823" s="212">
        <v>1</v>
      </c>
      <c r="N823" s="212">
        <f t="shared" si="31"/>
        <v>2</v>
      </c>
      <c r="O823" t="s">
        <v>230</v>
      </c>
    </row>
    <row r="824" spans="1:17" x14ac:dyDescent="0.3">
      <c r="A824" s="205" t="s">
        <v>147</v>
      </c>
      <c r="B824" s="342" t="str">
        <f t="shared" si="30"/>
        <v>AEBO-Cartes-1 Vernis Flexo</v>
      </c>
      <c r="C824" s="206" t="s">
        <v>764</v>
      </c>
      <c r="D824" s="207" t="s">
        <v>775</v>
      </c>
      <c r="E824" s="301">
        <v>0</v>
      </c>
      <c r="F824" s="208">
        <v>0.05</v>
      </c>
      <c r="G824" s="209">
        <v>160</v>
      </c>
      <c r="H824" s="210">
        <v>0.5</v>
      </c>
      <c r="I824" s="211"/>
      <c r="J824" s="212"/>
      <c r="K824" s="212"/>
      <c r="L824" s="212">
        <v>1</v>
      </c>
      <c r="M824" s="212"/>
      <c r="N824" s="212">
        <f t="shared" si="31"/>
        <v>1</v>
      </c>
      <c r="O824" t="s">
        <v>38</v>
      </c>
    </row>
    <row r="825" spans="1:17" x14ac:dyDescent="0.3">
      <c r="A825" s="205" t="s">
        <v>147</v>
      </c>
      <c r="B825" s="342" t="str">
        <f t="shared" si="30"/>
        <v>AEBO-Cartes-1 Couleur Sérigraphie + 1 Vernis Flexo</v>
      </c>
      <c r="C825" s="206" t="s">
        <v>764</v>
      </c>
      <c r="D825" s="207" t="s">
        <v>776</v>
      </c>
      <c r="E825" s="301">
        <v>0.8</v>
      </c>
      <c r="F825" s="208">
        <v>0.05</v>
      </c>
      <c r="G825" s="209">
        <v>260</v>
      </c>
      <c r="H825" s="210">
        <v>1</v>
      </c>
      <c r="I825" s="211"/>
      <c r="J825" s="212"/>
      <c r="K825" s="212">
        <v>1</v>
      </c>
      <c r="L825" s="212">
        <v>1</v>
      </c>
      <c r="M825" s="212"/>
      <c r="N825" s="212">
        <f t="shared" si="31"/>
        <v>2</v>
      </c>
      <c r="O825" t="s">
        <v>244</v>
      </c>
    </row>
    <row r="826" spans="1:17" x14ac:dyDescent="0.3">
      <c r="A826" s="205" t="s">
        <v>147</v>
      </c>
      <c r="B826" s="342" t="str">
        <f t="shared" si="30"/>
        <v xml:space="preserve">AEBO-Cartes-1 Vernis Flexo + 1 Vernis Sérigraphie </v>
      </c>
      <c r="C826" s="206" t="s">
        <v>764</v>
      </c>
      <c r="D826" s="207" t="s">
        <v>777</v>
      </c>
      <c r="E826" s="301">
        <v>0.8</v>
      </c>
      <c r="F826" s="208">
        <v>0.05</v>
      </c>
      <c r="G826" s="209">
        <v>260</v>
      </c>
      <c r="H826" s="210">
        <v>1</v>
      </c>
      <c r="I826" s="211"/>
      <c r="J826" s="212"/>
      <c r="K826" s="212"/>
      <c r="L826" s="212">
        <v>1</v>
      </c>
      <c r="M826" s="212">
        <v>1</v>
      </c>
      <c r="N826" s="212">
        <f t="shared" si="31"/>
        <v>2</v>
      </c>
      <c r="O826" t="s">
        <v>303</v>
      </c>
    </row>
    <row r="827" spans="1:17" x14ac:dyDescent="0.3">
      <c r="A827" s="205" t="s">
        <v>147</v>
      </c>
      <c r="B827" s="342" t="str">
        <f t="shared" si="30"/>
        <v xml:space="preserve">AEBO-Cartes-1 Vernis Sérigraphie </v>
      </c>
      <c r="C827" s="206" t="s">
        <v>764</v>
      </c>
      <c r="D827" s="207" t="s">
        <v>778</v>
      </c>
      <c r="E827" s="301">
        <v>0.8</v>
      </c>
      <c r="F827" s="208">
        <v>0.05</v>
      </c>
      <c r="G827" s="209">
        <v>160</v>
      </c>
      <c r="H827" s="210">
        <f>45/60</f>
        <v>0.75</v>
      </c>
      <c r="I827" s="211"/>
      <c r="J827" s="212"/>
      <c r="K827" s="212"/>
      <c r="L827" s="212"/>
      <c r="M827" s="212">
        <v>1</v>
      </c>
      <c r="N827" s="212">
        <f t="shared" si="31"/>
        <v>1</v>
      </c>
      <c r="O827" t="s">
        <v>307</v>
      </c>
    </row>
    <row r="828" spans="1:17" x14ac:dyDescent="0.3">
      <c r="A828" s="205" t="s">
        <v>147</v>
      </c>
      <c r="B828" s="342" t="str">
        <f t="shared" ref="B828" si="32">A828&amp;"-"&amp;C828&amp;"-"&amp;O828</f>
        <v>AEBO-Cartes-2 Couleurs Flexo</v>
      </c>
      <c r="C828" s="206" t="s">
        <v>764</v>
      </c>
      <c r="D828" s="207" t="s">
        <v>779</v>
      </c>
      <c r="E828" s="301">
        <v>0</v>
      </c>
      <c r="F828" s="208">
        <v>0.05</v>
      </c>
      <c r="G828" s="209">
        <v>260</v>
      </c>
      <c r="H828" s="210">
        <f>(60+60+15)/60</f>
        <v>2.25</v>
      </c>
      <c r="I828" s="211"/>
      <c r="J828" s="212">
        <v>2</v>
      </c>
      <c r="K828" s="212"/>
      <c r="L828" s="212"/>
      <c r="M828" s="212"/>
      <c r="N828" s="212">
        <f t="shared" si="31"/>
        <v>2</v>
      </c>
      <c r="O828" t="s">
        <v>780</v>
      </c>
    </row>
    <row r="829" spans="1:17" x14ac:dyDescent="0.3">
      <c r="A829" s="158" t="s">
        <v>11</v>
      </c>
      <c r="B829" s="343" t="str">
        <f t="shared" ref="B829" si="33">A829&amp;"-"&amp;C829&amp;"-"&amp;O829</f>
        <v>AEME-Cartes-Ni couleur ni vernis</v>
      </c>
      <c r="C829" s="159" t="s">
        <v>764</v>
      </c>
      <c r="D829" s="165" t="s">
        <v>765</v>
      </c>
      <c r="E829" s="301">
        <v>1</v>
      </c>
      <c r="F829" s="161">
        <v>0.05</v>
      </c>
      <c r="G829" s="391">
        <v>60</v>
      </c>
      <c r="H829" s="392">
        <f>15/60</f>
        <v>0.25</v>
      </c>
      <c r="I829" s="164"/>
      <c r="J829" s="168"/>
      <c r="K829" s="168"/>
      <c r="L829" s="168"/>
      <c r="M829" s="168"/>
      <c r="N829" s="168"/>
      <c r="O829" t="s">
        <v>765</v>
      </c>
    </row>
    <row r="830" spans="1:17" x14ac:dyDescent="0.3">
      <c r="A830" s="158" t="s">
        <v>11</v>
      </c>
      <c r="B830" s="343" t="str">
        <f t="shared" si="30"/>
        <v>AEME-Cartes-1 Couleur Sérigraphie</v>
      </c>
      <c r="C830" s="159" t="s">
        <v>764</v>
      </c>
      <c r="D830" s="165" t="s">
        <v>766</v>
      </c>
      <c r="E830" s="301">
        <v>0.8</v>
      </c>
      <c r="F830" s="161">
        <v>0.05</v>
      </c>
      <c r="G830" s="166">
        <v>160</v>
      </c>
      <c r="H830" s="167">
        <f>45/60</f>
        <v>0.75</v>
      </c>
      <c r="I830" s="164"/>
      <c r="J830" s="168"/>
      <c r="K830" s="168">
        <v>1</v>
      </c>
      <c r="L830" s="168"/>
      <c r="M830" s="168"/>
      <c r="N830" s="168">
        <f>SUM(J830:M830)</f>
        <v>1</v>
      </c>
      <c r="O830" t="s">
        <v>767</v>
      </c>
      <c r="Q830" s="114"/>
    </row>
    <row r="831" spans="1:17" x14ac:dyDescent="0.3">
      <c r="A831" s="158" t="s">
        <v>11</v>
      </c>
      <c r="B831" s="343" t="str">
        <f t="shared" si="30"/>
        <v>AEME-Cartes-1 Couleur Flexo</v>
      </c>
      <c r="C831" s="159" t="s">
        <v>764</v>
      </c>
      <c r="D831" s="165" t="s">
        <v>769</v>
      </c>
      <c r="E831" s="301">
        <v>0</v>
      </c>
      <c r="F831" s="161">
        <v>0.05</v>
      </c>
      <c r="G831" s="166">
        <v>160</v>
      </c>
      <c r="H831" s="167">
        <f>(60+15)/60</f>
        <v>1.25</v>
      </c>
      <c r="I831" s="164"/>
      <c r="J831" s="168">
        <v>1</v>
      </c>
      <c r="K831" s="168"/>
      <c r="L831" s="168"/>
      <c r="M831" s="168"/>
      <c r="N831" s="168">
        <f t="shared" ref="N831:N839" si="34">SUM(J831:M831)</f>
        <v>1</v>
      </c>
      <c r="O831" t="s">
        <v>770</v>
      </c>
      <c r="Q831" s="114"/>
    </row>
    <row r="832" spans="1:17" x14ac:dyDescent="0.3">
      <c r="A832" s="158" t="s">
        <v>11</v>
      </c>
      <c r="B832" s="343" t="str">
        <f t="shared" si="30"/>
        <v>AEME-Cartes-1 Couleur Flexo + 1 Couleur Sérigraphie</v>
      </c>
      <c r="C832" s="159" t="s">
        <v>764</v>
      </c>
      <c r="D832" s="165" t="s">
        <v>771</v>
      </c>
      <c r="E832" s="301">
        <v>0.8</v>
      </c>
      <c r="F832" s="161">
        <v>0.05</v>
      </c>
      <c r="G832" s="166">
        <v>260</v>
      </c>
      <c r="H832" s="167">
        <f>(60+45)/60</f>
        <v>1.75</v>
      </c>
      <c r="I832" s="164"/>
      <c r="J832" s="168">
        <v>1</v>
      </c>
      <c r="K832" s="168">
        <v>1</v>
      </c>
      <c r="L832" s="168"/>
      <c r="M832" s="168"/>
      <c r="N832" s="168">
        <f t="shared" si="34"/>
        <v>2</v>
      </c>
      <c r="O832" t="s">
        <v>772</v>
      </c>
      <c r="Q832" s="114"/>
    </row>
    <row r="833" spans="1:15" x14ac:dyDescent="0.3">
      <c r="A833" s="158" t="s">
        <v>11</v>
      </c>
      <c r="B833" s="343" t="str">
        <f t="shared" si="30"/>
        <v xml:space="preserve">AEME-Cartes-1 Couleur Flexo + 1 Vernis Sérigraphie </v>
      </c>
      <c r="C833" s="159" t="s">
        <v>764</v>
      </c>
      <c r="D833" s="165" t="s">
        <v>774</v>
      </c>
      <c r="E833" s="301">
        <v>0.8</v>
      </c>
      <c r="F833" s="161">
        <v>0.05</v>
      </c>
      <c r="G833" s="166">
        <v>260</v>
      </c>
      <c r="H833" s="167">
        <f>(60+45)/60</f>
        <v>1.75</v>
      </c>
      <c r="I833" s="164"/>
      <c r="J833" s="168">
        <v>1</v>
      </c>
      <c r="K833" s="168"/>
      <c r="L833" s="168"/>
      <c r="M833" s="168">
        <v>1</v>
      </c>
      <c r="N833" s="168">
        <f t="shared" si="34"/>
        <v>2</v>
      </c>
      <c r="O833" t="s">
        <v>230</v>
      </c>
    </row>
    <row r="834" spans="1:15" x14ac:dyDescent="0.3">
      <c r="A834" s="158" t="s">
        <v>11</v>
      </c>
      <c r="B834" s="343" t="str">
        <f t="shared" si="30"/>
        <v>AEME-Cartes-1 Vernis Flexo</v>
      </c>
      <c r="C834" s="159" t="s">
        <v>764</v>
      </c>
      <c r="D834" s="165" t="s">
        <v>775</v>
      </c>
      <c r="E834" s="301">
        <v>0</v>
      </c>
      <c r="F834" s="161">
        <v>0.05</v>
      </c>
      <c r="G834" s="166">
        <v>160</v>
      </c>
      <c r="H834" s="167">
        <f>45/60</f>
        <v>0.75</v>
      </c>
      <c r="I834" s="164"/>
      <c r="J834" s="168"/>
      <c r="K834" s="168"/>
      <c r="L834" s="168">
        <v>1</v>
      </c>
      <c r="M834" s="168"/>
      <c r="N834" s="168">
        <f t="shared" si="34"/>
        <v>1</v>
      </c>
      <c r="O834" t="s">
        <v>38</v>
      </c>
    </row>
    <row r="835" spans="1:15" x14ac:dyDescent="0.3">
      <c r="A835" s="158" t="s">
        <v>11</v>
      </c>
      <c r="B835" s="343" t="str">
        <f t="shared" si="30"/>
        <v xml:space="preserve">AEME-Cartes-1 Vernis Flexo + 1 Vernis Sérigraphie </v>
      </c>
      <c r="C835" s="159" t="s">
        <v>764</v>
      </c>
      <c r="D835" s="165" t="s">
        <v>777</v>
      </c>
      <c r="E835" s="301">
        <v>0.8</v>
      </c>
      <c r="F835" s="161">
        <v>0.05</v>
      </c>
      <c r="G835" s="166">
        <v>260</v>
      </c>
      <c r="H835" s="167">
        <f>(60+15)/60</f>
        <v>1.25</v>
      </c>
      <c r="I835" s="164"/>
      <c r="J835" s="168">
        <v>0</v>
      </c>
      <c r="K835" s="168">
        <v>0</v>
      </c>
      <c r="L835" s="168">
        <v>1</v>
      </c>
      <c r="M835" s="168">
        <v>1</v>
      </c>
      <c r="N835" s="168">
        <f t="shared" si="34"/>
        <v>2</v>
      </c>
      <c r="O835" t="s">
        <v>303</v>
      </c>
    </row>
    <row r="836" spans="1:15" x14ac:dyDescent="0.3">
      <c r="A836" s="158" t="s">
        <v>11</v>
      </c>
      <c r="B836" s="343" t="str">
        <f t="shared" si="30"/>
        <v xml:space="preserve">AEME-Cartes-1 Vernis Sérigraphie </v>
      </c>
      <c r="C836" s="159" t="s">
        <v>764</v>
      </c>
      <c r="D836" s="165" t="s">
        <v>778</v>
      </c>
      <c r="E836" s="301">
        <v>0.8</v>
      </c>
      <c r="F836" s="161">
        <v>0.05</v>
      </c>
      <c r="G836" s="166">
        <v>160</v>
      </c>
      <c r="H836" s="167">
        <f>45/60</f>
        <v>0.75</v>
      </c>
      <c r="I836" s="164"/>
      <c r="J836" s="168"/>
      <c r="K836" s="168"/>
      <c r="L836" s="168"/>
      <c r="M836" s="168">
        <v>1</v>
      </c>
      <c r="N836" s="168">
        <f t="shared" si="34"/>
        <v>1</v>
      </c>
      <c r="O836" t="s">
        <v>307</v>
      </c>
    </row>
    <row r="837" spans="1:15" x14ac:dyDescent="0.3">
      <c r="A837" s="158" t="s">
        <v>11</v>
      </c>
      <c r="B837" s="343" t="str">
        <f t="shared" si="30"/>
        <v>AEME-Cartes-1 Couleur Sérigraphie + 1 Vernis Flexo</v>
      </c>
      <c r="C837" s="159" t="s">
        <v>764</v>
      </c>
      <c r="D837" s="165" t="s">
        <v>781</v>
      </c>
      <c r="E837" s="301">
        <v>0.8</v>
      </c>
      <c r="F837" s="161">
        <v>0.05</v>
      </c>
      <c r="G837" s="166">
        <v>260</v>
      </c>
      <c r="H837" s="167">
        <f>45/60</f>
        <v>0.75</v>
      </c>
      <c r="I837" s="164"/>
      <c r="J837" s="168"/>
      <c r="K837" s="168">
        <v>1</v>
      </c>
      <c r="L837" s="168">
        <v>1</v>
      </c>
      <c r="M837" s="168"/>
      <c r="N837" s="168">
        <f t="shared" si="34"/>
        <v>2</v>
      </c>
      <c r="O837" t="s">
        <v>244</v>
      </c>
    </row>
    <row r="838" spans="1:15" x14ac:dyDescent="0.3">
      <c r="A838" s="158" t="s">
        <v>11</v>
      </c>
      <c r="B838" s="343" t="str">
        <f t="shared" si="30"/>
        <v>AEME-Cartes-1 Couleur Sérigraphie + 2 Vernis Flexo</v>
      </c>
      <c r="C838" s="159" t="s">
        <v>764</v>
      </c>
      <c r="D838" s="165" t="s">
        <v>782</v>
      </c>
      <c r="E838" s="301">
        <v>0.8</v>
      </c>
      <c r="F838" s="161">
        <v>0.05</v>
      </c>
      <c r="G838" s="166">
        <v>360</v>
      </c>
      <c r="H838" s="167">
        <f>75/60</f>
        <v>1.25</v>
      </c>
      <c r="I838" s="164"/>
      <c r="J838" s="168"/>
      <c r="K838" s="168">
        <v>1</v>
      </c>
      <c r="L838" s="168">
        <v>2</v>
      </c>
      <c r="M838" s="168"/>
      <c r="N838" s="168">
        <f t="shared" si="34"/>
        <v>3</v>
      </c>
      <c r="O838" t="s">
        <v>279</v>
      </c>
    </row>
    <row r="839" spans="1:15" x14ac:dyDescent="0.3">
      <c r="A839" s="158" t="s">
        <v>11</v>
      </c>
      <c r="B839" s="343" t="str">
        <f t="shared" si="30"/>
        <v>AEME-Cartes-2 Vernis Flexo</v>
      </c>
      <c r="C839" s="159" t="s">
        <v>764</v>
      </c>
      <c r="D839" s="165" t="s">
        <v>783</v>
      </c>
      <c r="E839" s="301">
        <v>0</v>
      </c>
      <c r="F839" s="161">
        <v>0.05</v>
      </c>
      <c r="G839" s="166">
        <v>260</v>
      </c>
      <c r="H839" s="167">
        <f>60/60</f>
        <v>1</v>
      </c>
      <c r="I839" s="164"/>
      <c r="J839" s="168"/>
      <c r="K839" s="168"/>
      <c r="L839" s="168">
        <v>2</v>
      </c>
      <c r="M839" s="168"/>
      <c r="N839" s="168">
        <f t="shared" si="34"/>
        <v>2</v>
      </c>
      <c r="O839" t="s">
        <v>309</v>
      </c>
    </row>
    <row r="840" spans="1:15" x14ac:dyDescent="0.3">
      <c r="A840" s="205" t="s">
        <v>139</v>
      </c>
      <c r="B840" s="342" t="str">
        <f t="shared" ref="B840" si="35">A840&amp;"-"&amp;C840&amp;"-"&amp;O840</f>
        <v>AEEP-Cartes-Ni couleur ni vernis</v>
      </c>
      <c r="C840" s="206" t="s">
        <v>764</v>
      </c>
      <c r="D840" s="207" t="s">
        <v>765</v>
      </c>
      <c r="E840" s="301">
        <v>0</v>
      </c>
      <c r="F840" s="208">
        <v>0.05</v>
      </c>
      <c r="G840" s="391">
        <v>60</v>
      </c>
      <c r="H840" s="392">
        <f>15/60</f>
        <v>0.25</v>
      </c>
      <c r="I840" s="211"/>
      <c r="J840" s="212"/>
      <c r="K840" s="212"/>
      <c r="L840" s="212"/>
      <c r="M840" s="212"/>
      <c r="N840" s="212"/>
      <c r="O840" t="s">
        <v>765</v>
      </c>
    </row>
    <row r="841" spans="1:15" x14ac:dyDescent="0.3">
      <c r="A841" s="205" t="s">
        <v>139</v>
      </c>
      <c r="B841" s="342" t="str">
        <f t="shared" si="30"/>
        <v>AEEP-Cartes-1 Couleur Sérigraphie</v>
      </c>
      <c r="C841" s="206" t="s">
        <v>764</v>
      </c>
      <c r="D841" s="207" t="s">
        <v>766</v>
      </c>
      <c r="E841" s="301">
        <v>0.8</v>
      </c>
      <c r="F841" s="208">
        <v>0.05</v>
      </c>
      <c r="G841" s="209">
        <v>160</v>
      </c>
      <c r="H841" s="210">
        <f>45/60</f>
        <v>0.75</v>
      </c>
      <c r="I841" s="211"/>
      <c r="J841" s="212"/>
      <c r="K841" s="212">
        <v>1</v>
      </c>
      <c r="L841" s="212"/>
      <c r="M841" s="212"/>
      <c r="N841" s="212">
        <f>SUM(J841:M841)</f>
        <v>1</v>
      </c>
      <c r="O841" t="s">
        <v>767</v>
      </c>
    </row>
    <row r="842" spans="1:15" x14ac:dyDescent="0.3">
      <c r="A842" s="205" t="s">
        <v>139</v>
      </c>
      <c r="B842" s="342" t="str">
        <f t="shared" si="30"/>
        <v>AEEP-Cartes-1 Couleur Sérigraphie + 1 Vernis Flexo</v>
      </c>
      <c r="C842" s="206" t="s">
        <v>764</v>
      </c>
      <c r="D842" s="207" t="s">
        <v>781</v>
      </c>
      <c r="E842" s="301">
        <v>0.8</v>
      </c>
      <c r="F842" s="208">
        <v>0.05</v>
      </c>
      <c r="G842" s="209">
        <v>260</v>
      </c>
      <c r="H842" s="210">
        <f>75/60</f>
        <v>1.25</v>
      </c>
      <c r="I842" s="211"/>
      <c r="J842" s="212"/>
      <c r="K842" s="212">
        <v>1</v>
      </c>
      <c r="L842" s="212">
        <v>1</v>
      </c>
      <c r="M842" s="212"/>
      <c r="N842" s="212">
        <f t="shared" ref="N842:N850" si="36">SUM(J842:M842)</f>
        <v>2</v>
      </c>
      <c r="O842" t="s">
        <v>244</v>
      </c>
    </row>
    <row r="843" spans="1:15" x14ac:dyDescent="0.3">
      <c r="A843" s="205" t="s">
        <v>139</v>
      </c>
      <c r="B843" s="342" t="str">
        <f t="shared" si="30"/>
        <v>AEEP-Cartes-1 Couleur Sérigraphie + 2 Vernis Flexo</v>
      </c>
      <c r="C843" s="206" t="s">
        <v>764</v>
      </c>
      <c r="D843" s="207" t="s">
        <v>782</v>
      </c>
      <c r="E843" s="301">
        <v>0.8</v>
      </c>
      <c r="F843" s="208">
        <v>0.05</v>
      </c>
      <c r="G843" s="209">
        <v>360</v>
      </c>
      <c r="H843" s="210">
        <f>1+45/60</f>
        <v>1.75</v>
      </c>
      <c r="I843" s="211"/>
      <c r="J843" s="212"/>
      <c r="K843" s="212">
        <v>1</v>
      </c>
      <c r="L843" s="212">
        <v>2</v>
      </c>
      <c r="M843" s="212"/>
      <c r="N843" s="212">
        <f t="shared" si="36"/>
        <v>3</v>
      </c>
      <c r="O843" t="s">
        <v>279</v>
      </c>
    </row>
    <row r="844" spans="1:15" x14ac:dyDescent="0.3">
      <c r="A844" s="205" t="s">
        <v>139</v>
      </c>
      <c r="B844" s="342" t="str">
        <f t="shared" si="30"/>
        <v>AEEP-Cartes-1 Couleur Flexo</v>
      </c>
      <c r="C844" s="206" t="s">
        <v>764</v>
      </c>
      <c r="D844" s="207" t="s">
        <v>769</v>
      </c>
      <c r="E844" s="301">
        <v>0</v>
      </c>
      <c r="F844" s="208">
        <v>0.05</v>
      </c>
      <c r="G844" s="209">
        <v>160</v>
      </c>
      <c r="H844" s="210">
        <f>1+15/60</f>
        <v>1.25</v>
      </c>
      <c r="I844" s="211"/>
      <c r="J844" s="212">
        <v>1</v>
      </c>
      <c r="K844" s="212"/>
      <c r="L844" s="212"/>
      <c r="M844" s="212"/>
      <c r="N844" s="212">
        <f t="shared" si="36"/>
        <v>1</v>
      </c>
      <c r="O844" t="s">
        <v>770</v>
      </c>
    </row>
    <row r="845" spans="1:15" x14ac:dyDescent="0.3">
      <c r="A845" s="205" t="s">
        <v>139</v>
      </c>
      <c r="B845" s="342" t="str">
        <f t="shared" si="30"/>
        <v>AEEP-Cartes-1 Couleur Flexo + 1 Couleur Sérigraphie</v>
      </c>
      <c r="C845" s="206" t="s">
        <v>764</v>
      </c>
      <c r="D845" s="207" t="s">
        <v>771</v>
      </c>
      <c r="E845" s="301">
        <v>0.8</v>
      </c>
      <c r="F845" s="208">
        <v>0.05</v>
      </c>
      <c r="G845" s="209">
        <v>260</v>
      </c>
      <c r="H845" s="210">
        <f>1+45/60</f>
        <v>1.75</v>
      </c>
      <c r="I845" s="211"/>
      <c r="J845" s="212">
        <v>1</v>
      </c>
      <c r="K845" s="212">
        <v>1</v>
      </c>
      <c r="L845" s="212"/>
      <c r="M845" s="212"/>
      <c r="N845" s="212">
        <f t="shared" si="36"/>
        <v>2</v>
      </c>
      <c r="O845" t="s">
        <v>772</v>
      </c>
    </row>
    <row r="846" spans="1:15" x14ac:dyDescent="0.3">
      <c r="A846" s="205" t="s">
        <v>139</v>
      </c>
      <c r="B846" s="342" t="str">
        <f t="shared" si="30"/>
        <v xml:space="preserve">AEEP-Cartes-1 Couleur Flexo + 1 Vernis Sérigraphie </v>
      </c>
      <c r="C846" s="206" t="s">
        <v>764</v>
      </c>
      <c r="D846" s="207" t="s">
        <v>774</v>
      </c>
      <c r="E846" s="301">
        <v>0.8</v>
      </c>
      <c r="F846" s="208">
        <v>0.05</v>
      </c>
      <c r="G846" s="209">
        <v>260</v>
      </c>
      <c r="H846" s="210">
        <f>1+45/60</f>
        <v>1.75</v>
      </c>
      <c r="I846" s="211"/>
      <c r="J846" s="212">
        <v>1</v>
      </c>
      <c r="K846" s="212"/>
      <c r="L846" s="212"/>
      <c r="M846" s="212">
        <v>1</v>
      </c>
      <c r="N846" s="212">
        <f t="shared" si="36"/>
        <v>2</v>
      </c>
      <c r="O846" t="s">
        <v>230</v>
      </c>
    </row>
    <row r="847" spans="1:15" x14ac:dyDescent="0.3">
      <c r="A847" s="205" t="s">
        <v>139</v>
      </c>
      <c r="B847" s="342" t="str">
        <f t="shared" si="30"/>
        <v>AEEP-Cartes-1 Vernis Flexo</v>
      </c>
      <c r="C847" s="206" t="s">
        <v>764</v>
      </c>
      <c r="D847" s="207" t="s">
        <v>775</v>
      </c>
      <c r="E847" s="301">
        <v>0</v>
      </c>
      <c r="F847" s="208">
        <v>0.05</v>
      </c>
      <c r="G847" s="209">
        <v>160</v>
      </c>
      <c r="H847" s="210">
        <v>0.5</v>
      </c>
      <c r="I847" s="211"/>
      <c r="J847" s="212"/>
      <c r="K847" s="212"/>
      <c r="L847" s="212">
        <v>1</v>
      </c>
      <c r="M847" s="212"/>
      <c r="N847" s="212">
        <f t="shared" si="36"/>
        <v>1</v>
      </c>
      <c r="O847" t="s">
        <v>38</v>
      </c>
    </row>
    <row r="848" spans="1:15" x14ac:dyDescent="0.3">
      <c r="A848" s="205" t="s">
        <v>139</v>
      </c>
      <c r="B848" s="342" t="str">
        <f t="shared" si="30"/>
        <v xml:space="preserve">AEEP-Cartes-1 Vernis Flexo + 1 Vernis Sérigraphie </v>
      </c>
      <c r="C848" s="206" t="s">
        <v>764</v>
      </c>
      <c r="D848" s="207" t="s">
        <v>777</v>
      </c>
      <c r="E848" s="301">
        <v>0.8</v>
      </c>
      <c r="F848" s="208">
        <v>0.05</v>
      </c>
      <c r="G848" s="209">
        <v>260</v>
      </c>
      <c r="H848" s="210">
        <v>1</v>
      </c>
      <c r="I848" s="211"/>
      <c r="J848" s="212"/>
      <c r="K848" s="212"/>
      <c r="L848" s="212">
        <v>1</v>
      </c>
      <c r="M848" s="212">
        <v>1</v>
      </c>
      <c r="N848" s="212">
        <f t="shared" si="36"/>
        <v>2</v>
      </c>
      <c r="O848" t="s">
        <v>303</v>
      </c>
    </row>
    <row r="849" spans="1:15" x14ac:dyDescent="0.3">
      <c r="A849" s="205" t="s">
        <v>139</v>
      </c>
      <c r="B849" s="342" t="str">
        <f t="shared" si="30"/>
        <v xml:space="preserve">AEEP-Cartes-1 Vernis Sérigraphie </v>
      </c>
      <c r="C849" s="206" t="s">
        <v>764</v>
      </c>
      <c r="D849" s="207" t="s">
        <v>778</v>
      </c>
      <c r="E849" s="301">
        <v>0.8</v>
      </c>
      <c r="F849" s="208">
        <v>0.05</v>
      </c>
      <c r="G849" s="209">
        <v>160</v>
      </c>
      <c r="H849" s="210">
        <f>45/60</f>
        <v>0.75</v>
      </c>
      <c r="I849" s="211"/>
      <c r="J849" s="212"/>
      <c r="K849" s="212"/>
      <c r="L849" s="212"/>
      <c r="M849" s="212">
        <v>1</v>
      </c>
      <c r="N849" s="212">
        <f t="shared" si="36"/>
        <v>1</v>
      </c>
      <c r="O849" t="s">
        <v>307</v>
      </c>
    </row>
    <row r="850" spans="1:15" x14ac:dyDescent="0.3">
      <c r="A850" s="205" t="s">
        <v>139</v>
      </c>
      <c r="B850" s="342" t="str">
        <f t="shared" si="30"/>
        <v>AEEP-Cartes-2 Vernis Flexo</v>
      </c>
      <c r="C850" s="206" t="s">
        <v>764</v>
      </c>
      <c r="D850" s="207" t="s">
        <v>783</v>
      </c>
      <c r="E850" s="301">
        <v>0</v>
      </c>
      <c r="F850" s="208">
        <v>0.05</v>
      </c>
      <c r="G850" s="209">
        <v>260</v>
      </c>
      <c r="H850" s="210">
        <v>1</v>
      </c>
      <c r="I850" s="211"/>
      <c r="J850" s="212"/>
      <c r="K850" s="212"/>
      <c r="L850" s="212">
        <v>2</v>
      </c>
      <c r="M850" s="212"/>
      <c r="N850" s="212">
        <f t="shared" si="36"/>
        <v>2</v>
      </c>
      <c r="O850" t="s">
        <v>309</v>
      </c>
    </row>
    <row r="851" spans="1:15" x14ac:dyDescent="0.3">
      <c r="A851" s="158" t="s">
        <v>141</v>
      </c>
      <c r="B851" s="343" t="str">
        <f t="shared" ref="B851" si="37">A851&amp;"-"&amp;C851&amp;"-"&amp;O851</f>
        <v>AEAT-Galaxie-Ni couleur ni vernis</v>
      </c>
      <c r="C851" s="159" t="s">
        <v>784</v>
      </c>
      <c r="D851" s="165" t="s">
        <v>765</v>
      </c>
      <c r="E851" s="301">
        <v>0</v>
      </c>
      <c r="F851" s="301">
        <v>0.05</v>
      </c>
      <c r="G851" s="391">
        <v>60</v>
      </c>
      <c r="H851" s="392">
        <f>15/60</f>
        <v>0.25</v>
      </c>
      <c r="I851" s="164"/>
      <c r="J851" s="168"/>
      <c r="K851" s="168"/>
      <c r="L851" s="168"/>
      <c r="M851" s="168"/>
      <c r="N851" s="168">
        <v>0</v>
      </c>
      <c r="O851" t="s">
        <v>765</v>
      </c>
    </row>
    <row r="852" spans="1:15" x14ac:dyDescent="0.3">
      <c r="A852" s="158" t="s">
        <v>141</v>
      </c>
      <c r="B852" s="343" t="str">
        <f t="shared" si="30"/>
        <v>AEAT-Galaxie-1 Couleur Sérigraphie</v>
      </c>
      <c r="C852" s="159" t="s">
        <v>784</v>
      </c>
      <c r="D852" s="165" t="s">
        <v>766</v>
      </c>
      <c r="E852" s="301">
        <v>0</v>
      </c>
      <c r="F852" s="301">
        <v>0.05</v>
      </c>
      <c r="G852" s="389">
        <v>160</v>
      </c>
      <c r="H852" s="390">
        <v>0.75</v>
      </c>
      <c r="I852" s="164"/>
      <c r="J852" s="168"/>
      <c r="K852" s="168">
        <v>1</v>
      </c>
      <c r="L852" s="168"/>
      <c r="M852" s="168"/>
      <c r="N852" s="168">
        <v>1</v>
      </c>
      <c r="O852" t="s">
        <v>767</v>
      </c>
    </row>
    <row r="853" spans="1:15" x14ac:dyDescent="0.3">
      <c r="A853" s="158" t="s">
        <v>141</v>
      </c>
      <c r="B853" s="343" t="str">
        <f t="shared" si="30"/>
        <v xml:space="preserve">AEAT-Galaxie-1 Couleur Sérigraphie + 1 Vernis Sérigraphie </v>
      </c>
      <c r="C853" s="159" t="s">
        <v>784</v>
      </c>
      <c r="D853" s="165" t="s">
        <v>768</v>
      </c>
      <c r="E853" s="301">
        <v>0</v>
      </c>
      <c r="F853" s="301">
        <v>0.05</v>
      </c>
      <c r="G853" s="389">
        <v>260</v>
      </c>
      <c r="H853" s="390">
        <v>1.25</v>
      </c>
      <c r="I853" s="164"/>
      <c r="J853" s="168"/>
      <c r="K853" s="168">
        <v>1</v>
      </c>
      <c r="L853" s="168"/>
      <c r="M853" s="168"/>
      <c r="N853" s="168">
        <v>1</v>
      </c>
      <c r="O853" t="s">
        <v>269</v>
      </c>
    </row>
    <row r="854" spans="1:15" x14ac:dyDescent="0.3">
      <c r="A854" s="158" t="s">
        <v>141</v>
      </c>
      <c r="B854" s="343" t="str">
        <f t="shared" si="30"/>
        <v>AEAT-Galaxie-1 Couleur Flexo</v>
      </c>
      <c r="C854" s="159" t="s">
        <v>784</v>
      </c>
      <c r="D854" s="165" t="s">
        <v>769</v>
      </c>
      <c r="E854" s="301">
        <v>0</v>
      </c>
      <c r="F854" s="301">
        <v>0.05</v>
      </c>
      <c r="G854" s="389">
        <v>160</v>
      </c>
      <c r="H854" s="390">
        <v>1.25</v>
      </c>
      <c r="I854" s="164"/>
      <c r="J854" s="168">
        <v>1</v>
      </c>
      <c r="K854" s="168"/>
      <c r="L854" s="168"/>
      <c r="M854" s="168"/>
      <c r="N854" s="168">
        <v>1</v>
      </c>
      <c r="O854" t="s">
        <v>770</v>
      </c>
    </row>
    <row r="855" spans="1:15" x14ac:dyDescent="0.3">
      <c r="A855" s="158" t="s">
        <v>141</v>
      </c>
      <c r="B855" s="343" t="str">
        <f t="shared" si="30"/>
        <v>AEAT-Galaxie-1 Couleur Flexo + 1 Couleur Sérigraphie</v>
      </c>
      <c r="C855" s="159" t="s">
        <v>784</v>
      </c>
      <c r="D855" s="165" t="s">
        <v>771</v>
      </c>
      <c r="E855" s="301">
        <v>0</v>
      </c>
      <c r="F855" s="301">
        <v>0.05</v>
      </c>
      <c r="G855" s="389">
        <v>260</v>
      </c>
      <c r="H855" s="390">
        <v>1.75</v>
      </c>
      <c r="I855" s="164"/>
      <c r="J855" s="168">
        <v>1</v>
      </c>
      <c r="K855" s="168">
        <v>1</v>
      </c>
      <c r="L855" s="168"/>
      <c r="M855" s="168"/>
      <c r="N855" s="168">
        <v>2</v>
      </c>
      <c r="O855" t="s">
        <v>772</v>
      </c>
    </row>
    <row r="856" spans="1:15" ht="24.6" x14ac:dyDescent="0.3">
      <c r="A856" s="158" t="s">
        <v>141</v>
      </c>
      <c r="B856" s="343" t="str">
        <f t="shared" si="30"/>
        <v xml:space="preserve">AEAT-Galaxie-1 Couleur Flexo + 1 Couleur Sérigraphie + 1 Vernis Sérigraphie </v>
      </c>
      <c r="C856" s="159" t="s">
        <v>784</v>
      </c>
      <c r="D856" s="165" t="s">
        <v>785</v>
      </c>
      <c r="E856" s="301">
        <v>0</v>
      </c>
      <c r="F856" s="301">
        <v>0.05</v>
      </c>
      <c r="G856" s="389">
        <v>360</v>
      </c>
      <c r="H856" s="390">
        <v>2.25</v>
      </c>
      <c r="I856" s="164"/>
      <c r="J856" s="168">
        <v>1</v>
      </c>
      <c r="K856" s="168">
        <v>1</v>
      </c>
      <c r="L856" s="168"/>
      <c r="M856" s="168">
        <v>1</v>
      </c>
      <c r="N856" s="168">
        <v>3</v>
      </c>
      <c r="O856" t="s">
        <v>187</v>
      </c>
    </row>
    <row r="857" spans="1:15" x14ac:dyDescent="0.3">
      <c r="A857" s="158" t="s">
        <v>141</v>
      </c>
      <c r="B857" s="343" t="str">
        <f t="shared" si="30"/>
        <v>AEAT-Galaxie-1 Couleur Flexo + 1 Vernis Flexo</v>
      </c>
      <c r="C857" s="159" t="s">
        <v>784</v>
      </c>
      <c r="D857" s="165" t="s">
        <v>773</v>
      </c>
      <c r="E857" s="301">
        <v>0</v>
      </c>
      <c r="F857" s="301">
        <v>0.05</v>
      </c>
      <c r="G857" s="389">
        <v>260</v>
      </c>
      <c r="H857" s="390">
        <v>1.5</v>
      </c>
      <c r="I857" s="164"/>
      <c r="J857" s="168">
        <v>1</v>
      </c>
      <c r="K857" s="168"/>
      <c r="L857" s="168">
        <v>1</v>
      </c>
      <c r="M857" s="168"/>
      <c r="N857" s="168">
        <v>2</v>
      </c>
      <c r="O857" t="s">
        <v>201</v>
      </c>
    </row>
    <row r="858" spans="1:15" ht="24.6" x14ac:dyDescent="0.3">
      <c r="A858" s="158" t="s">
        <v>141</v>
      </c>
      <c r="B858" s="343" t="str">
        <f t="shared" si="30"/>
        <v xml:space="preserve">AEAT-Galaxie-1 Couleur Flexo + 1 Couleur Sérigraphie + 1 Vernis Flexo </v>
      </c>
      <c r="C858" s="159" t="s">
        <v>784</v>
      </c>
      <c r="D858" s="165" t="s">
        <v>786</v>
      </c>
      <c r="E858" s="301">
        <v>0</v>
      </c>
      <c r="F858" s="301">
        <v>0.05</v>
      </c>
      <c r="G858" s="389">
        <v>360</v>
      </c>
      <c r="H858" s="390">
        <v>2</v>
      </c>
      <c r="I858" s="164"/>
      <c r="J858" s="168">
        <v>1</v>
      </c>
      <c r="K858" s="168">
        <v>1</v>
      </c>
      <c r="L858" s="168">
        <v>1</v>
      </c>
      <c r="M858" s="168"/>
      <c r="N858" s="168">
        <v>3</v>
      </c>
      <c r="O858" t="s">
        <v>145</v>
      </c>
    </row>
    <row r="859" spans="1:15" ht="24.6" x14ac:dyDescent="0.3">
      <c r="A859" s="158" t="s">
        <v>141</v>
      </c>
      <c r="B859" s="343" t="str">
        <f t="shared" si="30"/>
        <v xml:space="preserve">AEAT-Galaxie-1 Couleur Flexo + 1 Couleur Sérigraphie + 1 Vernis Flexo + 1 Vernis Sérigraphie </v>
      </c>
      <c r="C859" s="159" t="s">
        <v>784</v>
      </c>
      <c r="D859" s="165" t="s">
        <v>787</v>
      </c>
      <c r="E859" s="301">
        <v>0</v>
      </c>
      <c r="F859" s="301">
        <v>0.05</v>
      </c>
      <c r="G859" s="389">
        <v>460</v>
      </c>
      <c r="H859" s="390">
        <v>2.5</v>
      </c>
      <c r="I859" s="164"/>
      <c r="J859" s="168">
        <v>1</v>
      </c>
      <c r="K859" s="168">
        <v>1</v>
      </c>
      <c r="L859" s="168">
        <v>1</v>
      </c>
      <c r="M859" s="168">
        <v>1</v>
      </c>
      <c r="N859" s="168">
        <v>4</v>
      </c>
      <c r="O859" t="s">
        <v>169</v>
      </c>
    </row>
    <row r="860" spans="1:15" ht="24.6" x14ac:dyDescent="0.3">
      <c r="A860" s="158" t="s">
        <v>141</v>
      </c>
      <c r="B860" s="343" t="str">
        <f t="shared" si="30"/>
        <v xml:space="preserve">AEAT-Galaxie-1 Couleur Flexo + 1 Vernis Flexo + 1 Vernis Sérigraphie </v>
      </c>
      <c r="C860" s="159" t="s">
        <v>784</v>
      </c>
      <c r="D860" s="165" t="s">
        <v>788</v>
      </c>
      <c r="E860" s="301">
        <v>0</v>
      </c>
      <c r="F860" s="301">
        <v>0.05</v>
      </c>
      <c r="G860" s="389">
        <v>360</v>
      </c>
      <c r="H860" s="390">
        <v>2</v>
      </c>
      <c r="I860" s="164"/>
      <c r="J860" s="168">
        <v>1</v>
      </c>
      <c r="K860" s="168"/>
      <c r="L860" s="168">
        <v>1</v>
      </c>
      <c r="M860" s="168">
        <v>1</v>
      </c>
      <c r="N860" s="168">
        <v>3</v>
      </c>
      <c r="O860" t="s">
        <v>216</v>
      </c>
    </row>
    <row r="861" spans="1:15" x14ac:dyDescent="0.3">
      <c r="A861" s="158" t="s">
        <v>141</v>
      </c>
      <c r="B861" s="343" t="str">
        <f t="shared" si="30"/>
        <v xml:space="preserve">AEAT-Galaxie-1 Couleur Flexo + 1 Vernis Sérigraphie </v>
      </c>
      <c r="C861" s="159" t="s">
        <v>784</v>
      </c>
      <c r="D861" s="165" t="s">
        <v>774</v>
      </c>
      <c r="E861" s="301">
        <v>0</v>
      </c>
      <c r="F861" s="301">
        <v>0.05</v>
      </c>
      <c r="G861" s="389">
        <v>260</v>
      </c>
      <c r="H861" s="390">
        <v>1.75</v>
      </c>
      <c r="I861" s="164"/>
      <c r="J861" s="168">
        <v>1</v>
      </c>
      <c r="K861" s="168"/>
      <c r="L861" s="168"/>
      <c r="M861" s="168">
        <v>1</v>
      </c>
      <c r="N861" s="168">
        <v>2</v>
      </c>
      <c r="O861" t="s">
        <v>230</v>
      </c>
    </row>
    <row r="862" spans="1:15" x14ac:dyDescent="0.3">
      <c r="A862" s="158" t="s">
        <v>141</v>
      </c>
      <c r="B862" s="343" t="str">
        <f t="shared" si="30"/>
        <v>AEAT-Galaxie-1 Vernis Flexo</v>
      </c>
      <c r="C862" s="159" t="s">
        <v>784</v>
      </c>
      <c r="D862" s="165" t="s">
        <v>775</v>
      </c>
      <c r="E862" s="301">
        <v>0</v>
      </c>
      <c r="F862" s="301">
        <v>0.05</v>
      </c>
      <c r="G862" s="389">
        <v>160</v>
      </c>
      <c r="H862" s="390">
        <v>0.5</v>
      </c>
      <c r="I862" s="164"/>
      <c r="J862" s="168"/>
      <c r="K862" s="168"/>
      <c r="L862" s="168">
        <v>1</v>
      </c>
      <c r="M862" s="168"/>
      <c r="N862" s="168">
        <v>1</v>
      </c>
      <c r="O862" t="s">
        <v>38</v>
      </c>
    </row>
    <row r="863" spans="1:15" x14ac:dyDescent="0.3">
      <c r="A863" s="158" t="s">
        <v>141</v>
      </c>
      <c r="B863" s="343" t="str">
        <f t="shared" si="30"/>
        <v>AEAT-Galaxie-1 Couleur Sérigraphie + 1 Vernis Flexo</v>
      </c>
      <c r="C863" s="159" t="s">
        <v>784</v>
      </c>
      <c r="D863" s="165" t="s">
        <v>776</v>
      </c>
      <c r="E863" s="301">
        <v>0</v>
      </c>
      <c r="F863" s="301">
        <v>0.05</v>
      </c>
      <c r="G863" s="389">
        <v>260</v>
      </c>
      <c r="H863" s="390">
        <v>1</v>
      </c>
      <c r="I863" s="164"/>
      <c r="J863" s="168"/>
      <c r="K863" s="168">
        <v>1</v>
      </c>
      <c r="L863" s="168">
        <v>1</v>
      </c>
      <c r="M863" s="168"/>
      <c r="N863" s="168">
        <v>2</v>
      </c>
      <c r="O863" t="s">
        <v>244</v>
      </c>
    </row>
    <row r="864" spans="1:15" ht="24.6" x14ac:dyDescent="0.3">
      <c r="A864" s="158" t="s">
        <v>141</v>
      </c>
      <c r="B864" s="343" t="str">
        <f t="shared" si="30"/>
        <v xml:space="preserve">AEAT-Galaxie-1 Couleur Sérigraphie + 1 Vernis Flexo + 1 Vernis Sérigraphie </v>
      </c>
      <c r="C864" s="159" t="s">
        <v>784</v>
      </c>
      <c r="D864" s="165" t="s">
        <v>789</v>
      </c>
      <c r="E864" s="301">
        <v>0</v>
      </c>
      <c r="F864" s="301">
        <v>0.05</v>
      </c>
      <c r="G864" s="389">
        <v>360</v>
      </c>
      <c r="H864" s="390">
        <v>1.5</v>
      </c>
      <c r="I864" s="164"/>
      <c r="J864" s="168"/>
      <c r="K864" s="168">
        <v>1</v>
      </c>
      <c r="L864" s="168">
        <v>1</v>
      </c>
      <c r="M864" s="168">
        <v>1</v>
      </c>
      <c r="N864" s="168">
        <v>3</v>
      </c>
      <c r="O864" t="s">
        <v>256</v>
      </c>
    </row>
    <row r="865" spans="1:15" x14ac:dyDescent="0.3">
      <c r="A865" s="158" t="s">
        <v>141</v>
      </c>
      <c r="B865" s="343" t="str">
        <f t="shared" si="30"/>
        <v xml:space="preserve">AEAT-Galaxie-1 Vernis Flexo + 1 Vernis Sérigraphie </v>
      </c>
      <c r="C865" s="159" t="s">
        <v>784</v>
      </c>
      <c r="D865" s="165" t="s">
        <v>777</v>
      </c>
      <c r="E865" s="301">
        <v>0</v>
      </c>
      <c r="F865" s="301">
        <v>0.05</v>
      </c>
      <c r="G865" s="389">
        <v>260</v>
      </c>
      <c r="H865" s="390">
        <v>1</v>
      </c>
      <c r="I865" s="164"/>
      <c r="J865" s="168"/>
      <c r="K865" s="168"/>
      <c r="L865" s="168">
        <v>1</v>
      </c>
      <c r="M865" s="168">
        <v>1</v>
      </c>
      <c r="N865" s="168">
        <v>2</v>
      </c>
      <c r="O865" t="s">
        <v>303</v>
      </c>
    </row>
    <row r="866" spans="1:15" x14ac:dyDescent="0.3">
      <c r="A866" s="158" t="s">
        <v>141</v>
      </c>
      <c r="B866" s="343" t="str">
        <f t="shared" si="30"/>
        <v xml:space="preserve">AEAT-Galaxie-1 Vernis Sérigraphie </v>
      </c>
      <c r="C866" s="159" t="s">
        <v>784</v>
      </c>
      <c r="D866" s="165" t="s">
        <v>778</v>
      </c>
      <c r="E866" s="301">
        <v>0</v>
      </c>
      <c r="F866" s="301">
        <v>0.05</v>
      </c>
      <c r="G866" s="389">
        <v>160</v>
      </c>
      <c r="H866" s="390">
        <v>0.75</v>
      </c>
      <c r="I866" s="164"/>
      <c r="J866" s="168"/>
      <c r="K866" s="168"/>
      <c r="L866" s="168"/>
      <c r="M866" s="168">
        <v>1</v>
      </c>
      <c r="N866" s="168">
        <v>1</v>
      </c>
      <c r="O866" t="s">
        <v>307</v>
      </c>
    </row>
    <row r="867" spans="1:15" x14ac:dyDescent="0.3">
      <c r="A867" s="158" t="s">
        <v>141</v>
      </c>
      <c r="B867" s="343" t="str">
        <f t="shared" si="30"/>
        <v>AEAT-Galaxie-2 Couleurs Flexo</v>
      </c>
      <c r="C867" s="159" t="s">
        <v>784</v>
      </c>
      <c r="D867" s="165" t="s">
        <v>779</v>
      </c>
      <c r="E867" s="301">
        <v>0</v>
      </c>
      <c r="F867" s="301">
        <v>0.05</v>
      </c>
      <c r="G867" s="389">
        <v>260</v>
      </c>
      <c r="H867" s="390">
        <v>2.25</v>
      </c>
      <c r="I867" s="164"/>
      <c r="J867" s="168">
        <v>2</v>
      </c>
      <c r="K867" s="168"/>
      <c r="L867" s="168"/>
      <c r="M867" s="168"/>
      <c r="N867" s="168">
        <v>2</v>
      </c>
      <c r="O867" t="s">
        <v>780</v>
      </c>
    </row>
    <row r="868" spans="1:15" x14ac:dyDescent="0.3">
      <c r="A868" s="158" t="s">
        <v>141</v>
      </c>
      <c r="B868" s="343" t="str">
        <f t="shared" si="30"/>
        <v>AEAT-Galaxie-2 Couleurs Flexo + 1 Couleur Sérigraphie</v>
      </c>
      <c r="C868" s="159" t="s">
        <v>784</v>
      </c>
      <c r="D868" s="165" t="s">
        <v>790</v>
      </c>
      <c r="E868" s="301">
        <v>0</v>
      </c>
      <c r="F868" s="301">
        <v>0.05</v>
      </c>
      <c r="G868" s="389">
        <v>360</v>
      </c>
      <c r="H868" s="390">
        <v>2.75</v>
      </c>
      <c r="I868" s="164"/>
      <c r="J868" s="168">
        <v>2</v>
      </c>
      <c r="K868" s="168">
        <v>1</v>
      </c>
      <c r="L868" s="168"/>
      <c r="M868" s="168"/>
      <c r="N868" s="168">
        <v>3</v>
      </c>
      <c r="O868" t="s">
        <v>791</v>
      </c>
    </row>
    <row r="869" spans="1:15" x14ac:dyDescent="0.3">
      <c r="A869" s="158" t="s">
        <v>141</v>
      </c>
      <c r="B869" s="343" t="str">
        <f t="shared" si="30"/>
        <v xml:space="preserve">AEAT-Galaxie-2 Couleurs Flexo + 1 Vernis Sérigraphie </v>
      </c>
      <c r="C869" s="159" t="s">
        <v>784</v>
      </c>
      <c r="D869" s="165" t="s">
        <v>792</v>
      </c>
      <c r="E869" s="301">
        <v>0</v>
      </c>
      <c r="F869" s="301">
        <v>0.05</v>
      </c>
      <c r="G869" s="389">
        <v>360</v>
      </c>
      <c r="H869" s="390">
        <v>2.75</v>
      </c>
      <c r="I869" s="164"/>
      <c r="J869" s="168">
        <v>2</v>
      </c>
      <c r="K869" s="168"/>
      <c r="L869" s="168"/>
      <c r="M869" s="168">
        <v>1</v>
      </c>
      <c r="N869" s="168">
        <v>3</v>
      </c>
      <c r="O869" t="s">
        <v>308</v>
      </c>
    </row>
    <row r="870" spans="1:15" x14ac:dyDescent="0.3">
      <c r="A870" s="158" t="s">
        <v>141</v>
      </c>
      <c r="B870" s="343" t="str">
        <f t="shared" si="30"/>
        <v>AEAT-Galaxie-2 Vernis Flexo</v>
      </c>
      <c r="C870" s="159" t="s">
        <v>784</v>
      </c>
      <c r="D870" s="165" t="s">
        <v>783</v>
      </c>
      <c r="E870" s="301">
        <v>0</v>
      </c>
      <c r="F870" s="301">
        <v>0.05</v>
      </c>
      <c r="G870" s="389">
        <v>260</v>
      </c>
      <c r="H870" s="390">
        <v>0.75</v>
      </c>
      <c r="I870" s="164"/>
      <c r="J870" s="168"/>
      <c r="K870" s="168"/>
      <c r="L870" s="168">
        <v>2</v>
      </c>
      <c r="M870" s="168"/>
      <c r="N870" s="168">
        <v>2</v>
      </c>
      <c r="O870" t="s">
        <v>309</v>
      </c>
    </row>
    <row r="871" spans="1:15" x14ac:dyDescent="0.3">
      <c r="A871" s="158" t="s">
        <v>141</v>
      </c>
      <c r="B871" s="343" t="str">
        <f t="shared" si="30"/>
        <v>AEAT-Galaxie-1 Couleur Sérigraphie + 2 Vernis Flexo</v>
      </c>
      <c r="C871" s="159" t="s">
        <v>784</v>
      </c>
      <c r="D871" s="165" t="s">
        <v>793</v>
      </c>
      <c r="E871" s="301">
        <v>0</v>
      </c>
      <c r="F871" s="301">
        <v>0.05</v>
      </c>
      <c r="G871" s="389">
        <v>360</v>
      </c>
      <c r="H871" s="390">
        <v>1.25</v>
      </c>
      <c r="I871" s="164"/>
      <c r="J871" s="168"/>
      <c r="K871" s="168">
        <v>1</v>
      </c>
      <c r="L871" s="168">
        <v>2</v>
      </c>
      <c r="M871" s="168"/>
      <c r="N871" s="168">
        <v>3</v>
      </c>
      <c r="O871" t="s">
        <v>279</v>
      </c>
    </row>
    <row r="872" spans="1:15" x14ac:dyDescent="0.3">
      <c r="A872" s="158" t="s">
        <v>141</v>
      </c>
      <c r="B872" s="343" t="str">
        <f t="shared" si="30"/>
        <v xml:space="preserve">AEAT-Galaxie-2 Vernis Flexo + 1 Vernis Sérigraphie </v>
      </c>
      <c r="C872" s="159" t="s">
        <v>784</v>
      </c>
      <c r="D872" s="165" t="s">
        <v>794</v>
      </c>
      <c r="E872" s="301">
        <v>0</v>
      </c>
      <c r="F872" s="301">
        <v>0.05</v>
      </c>
      <c r="G872" s="389">
        <v>360</v>
      </c>
      <c r="H872" s="390">
        <v>1.25</v>
      </c>
      <c r="I872" s="164"/>
      <c r="J872" s="168"/>
      <c r="K872" s="168"/>
      <c r="L872" s="168">
        <v>2</v>
      </c>
      <c r="M872" s="168"/>
      <c r="N872" s="168">
        <v>2</v>
      </c>
      <c r="O872" t="s">
        <v>310</v>
      </c>
    </row>
    <row r="873" spans="1:15" x14ac:dyDescent="0.3">
      <c r="A873" s="205" t="s">
        <v>155</v>
      </c>
      <c r="B873" s="342" t="str">
        <f>A873&amp;"-"&amp;C873&amp;"-"&amp;O873</f>
        <v>AELO-Galaxie-Ni couleur ni vernis</v>
      </c>
      <c r="C873" s="206" t="s">
        <v>784</v>
      </c>
      <c r="D873" s="207" t="s">
        <v>765</v>
      </c>
      <c r="E873" s="301">
        <v>0</v>
      </c>
      <c r="F873" s="208">
        <v>0.05</v>
      </c>
      <c r="G873" s="209">
        <v>36</v>
      </c>
      <c r="H873" s="210">
        <f>3/60</f>
        <v>0.05</v>
      </c>
      <c r="I873" s="211"/>
      <c r="J873" s="212"/>
      <c r="K873" s="212"/>
      <c r="L873" s="212"/>
      <c r="M873" s="212"/>
      <c r="N873" s="212">
        <f t="shared" ref="N873" si="38">SUM(J873:M873)</f>
        <v>0</v>
      </c>
      <c r="O873" t="s">
        <v>765</v>
      </c>
    </row>
    <row r="874" spans="1:15" x14ac:dyDescent="0.3">
      <c r="A874" s="205" t="s">
        <v>155</v>
      </c>
      <c r="B874" s="342" t="str">
        <f t="shared" si="30"/>
        <v>AELO-Galaxie-1 Couleur Sérigraphie</v>
      </c>
      <c r="C874" s="206" t="s">
        <v>784</v>
      </c>
      <c r="D874" s="207" t="s">
        <v>766</v>
      </c>
      <c r="E874" s="301">
        <v>0</v>
      </c>
      <c r="F874" s="208">
        <v>0.05</v>
      </c>
      <c r="G874" s="209">
        <v>160</v>
      </c>
      <c r="H874" s="210">
        <f>45/60</f>
        <v>0.75</v>
      </c>
      <c r="I874" s="211"/>
      <c r="J874" s="212"/>
      <c r="K874" s="212">
        <v>1</v>
      </c>
      <c r="L874" s="212"/>
      <c r="M874" s="212"/>
      <c r="N874" s="212">
        <f t="shared" ref="N874:N894" si="39">SUM(J874:M874)</f>
        <v>1</v>
      </c>
      <c r="O874" t="s">
        <v>767</v>
      </c>
    </row>
    <row r="875" spans="1:15" x14ac:dyDescent="0.3">
      <c r="A875" s="205" t="s">
        <v>155</v>
      </c>
      <c r="B875" s="342" t="str">
        <f t="shared" si="30"/>
        <v xml:space="preserve">AELO-Galaxie-1 Couleur Sérigraphie + 1 Vernis Sérigraphie </v>
      </c>
      <c r="C875" s="206" t="s">
        <v>784</v>
      </c>
      <c r="D875" s="207" t="s">
        <v>768</v>
      </c>
      <c r="E875" s="301">
        <v>0</v>
      </c>
      <c r="F875" s="208">
        <v>0.05</v>
      </c>
      <c r="G875" s="209">
        <v>260</v>
      </c>
      <c r="H875" s="210">
        <f>75/60</f>
        <v>1.25</v>
      </c>
      <c r="I875" s="211"/>
      <c r="J875" s="212"/>
      <c r="K875" s="212">
        <v>1</v>
      </c>
      <c r="L875" s="212"/>
      <c r="M875" s="212"/>
      <c r="N875" s="212">
        <f t="shared" si="39"/>
        <v>1</v>
      </c>
      <c r="O875" t="s">
        <v>269</v>
      </c>
    </row>
    <row r="876" spans="1:15" x14ac:dyDescent="0.3">
      <c r="A876" s="205" t="s">
        <v>155</v>
      </c>
      <c r="B876" s="342" t="str">
        <f t="shared" si="30"/>
        <v>AELO-Galaxie-1 Couleur Flexo</v>
      </c>
      <c r="C876" s="206" t="s">
        <v>784</v>
      </c>
      <c r="D876" s="207" t="s">
        <v>769</v>
      </c>
      <c r="E876" s="301">
        <v>0</v>
      </c>
      <c r="F876" s="208">
        <v>0.05</v>
      </c>
      <c r="G876" s="209">
        <v>160</v>
      </c>
      <c r="H876" s="210">
        <f>75/60</f>
        <v>1.25</v>
      </c>
      <c r="I876" s="211"/>
      <c r="J876" s="212">
        <v>1</v>
      </c>
      <c r="K876" s="212"/>
      <c r="L876" s="212"/>
      <c r="M876" s="212"/>
      <c r="N876" s="212">
        <f t="shared" si="39"/>
        <v>1</v>
      </c>
      <c r="O876" t="s">
        <v>770</v>
      </c>
    </row>
    <row r="877" spans="1:15" x14ac:dyDescent="0.3">
      <c r="A877" s="205" t="s">
        <v>155</v>
      </c>
      <c r="B877" s="342" t="str">
        <f t="shared" si="30"/>
        <v>AELO-Galaxie-1 Couleur Flexo + 1 Couleur Sérigraphie</v>
      </c>
      <c r="C877" s="206" t="s">
        <v>784</v>
      </c>
      <c r="D877" s="207" t="s">
        <v>771</v>
      </c>
      <c r="E877" s="301">
        <v>0</v>
      </c>
      <c r="F877" s="208">
        <v>0.05</v>
      </c>
      <c r="G877" s="209">
        <v>260</v>
      </c>
      <c r="H877" s="210">
        <f>(60+45)/60</f>
        <v>1.75</v>
      </c>
      <c r="I877" s="211"/>
      <c r="J877" s="212">
        <v>1</v>
      </c>
      <c r="K877" s="212">
        <v>1</v>
      </c>
      <c r="L877" s="212"/>
      <c r="M877" s="212"/>
      <c r="N877" s="212">
        <f t="shared" si="39"/>
        <v>2</v>
      </c>
      <c r="O877" t="s">
        <v>772</v>
      </c>
    </row>
    <row r="878" spans="1:15" ht="24.6" x14ac:dyDescent="0.3">
      <c r="A878" s="205" t="s">
        <v>155</v>
      </c>
      <c r="B878" s="342" t="str">
        <f t="shared" si="30"/>
        <v xml:space="preserve">AELO-Galaxie-1 Couleur Flexo + 1 Couleur Sérigraphie + 1 Vernis Sérigraphie </v>
      </c>
      <c r="C878" s="206" t="s">
        <v>784</v>
      </c>
      <c r="D878" s="207" t="s">
        <v>785</v>
      </c>
      <c r="E878" s="301">
        <v>0</v>
      </c>
      <c r="F878" s="208">
        <v>0.05</v>
      </c>
      <c r="G878" s="209">
        <v>360</v>
      </c>
      <c r="H878" s="210">
        <f>(60*2+15)/60</f>
        <v>2.25</v>
      </c>
      <c r="I878" s="211"/>
      <c r="J878" s="212">
        <v>1</v>
      </c>
      <c r="K878" s="212">
        <v>1</v>
      </c>
      <c r="L878" s="212"/>
      <c r="M878" s="212">
        <v>1</v>
      </c>
      <c r="N878" s="212">
        <f t="shared" si="39"/>
        <v>3</v>
      </c>
      <c r="O878" t="s">
        <v>187</v>
      </c>
    </row>
    <row r="879" spans="1:15" x14ac:dyDescent="0.3">
      <c r="A879" s="205" t="s">
        <v>155</v>
      </c>
      <c r="B879" s="342" t="str">
        <f t="shared" si="30"/>
        <v>AELO-Galaxie-1 Couleur Flexo + 1 Vernis Flexo</v>
      </c>
      <c r="C879" s="206" t="s">
        <v>784</v>
      </c>
      <c r="D879" s="207" t="s">
        <v>773</v>
      </c>
      <c r="E879" s="301">
        <v>0</v>
      </c>
      <c r="F879" s="208">
        <v>0.05</v>
      </c>
      <c r="G879" s="209">
        <v>260</v>
      </c>
      <c r="H879" s="210">
        <f>90/60</f>
        <v>1.5</v>
      </c>
      <c r="I879" s="211"/>
      <c r="J879" s="212">
        <v>1</v>
      </c>
      <c r="K879" s="212"/>
      <c r="L879" s="212">
        <v>1</v>
      </c>
      <c r="M879" s="212"/>
      <c r="N879" s="212">
        <f t="shared" si="39"/>
        <v>2</v>
      </c>
      <c r="O879" t="s">
        <v>201</v>
      </c>
    </row>
    <row r="880" spans="1:15" ht="24.6" x14ac:dyDescent="0.3">
      <c r="A880" s="205" t="s">
        <v>155</v>
      </c>
      <c r="B880" s="342" t="str">
        <f t="shared" si="30"/>
        <v xml:space="preserve">AELO-Galaxie-1 Couleur Flexo + 1 Couleur Sérigraphie + 1 Vernis Flexo </v>
      </c>
      <c r="C880" s="206" t="s">
        <v>784</v>
      </c>
      <c r="D880" s="207" t="s">
        <v>786</v>
      </c>
      <c r="E880" s="301">
        <v>0</v>
      </c>
      <c r="F880" s="208">
        <v>0.05</v>
      </c>
      <c r="G880" s="209">
        <v>360</v>
      </c>
      <c r="H880" s="210">
        <v>2</v>
      </c>
      <c r="I880" s="211"/>
      <c r="J880" s="212">
        <v>1</v>
      </c>
      <c r="K880" s="212">
        <v>1</v>
      </c>
      <c r="L880" s="212">
        <v>1</v>
      </c>
      <c r="M880" s="212"/>
      <c r="N880" s="212">
        <f t="shared" si="39"/>
        <v>3</v>
      </c>
      <c r="O880" t="s">
        <v>145</v>
      </c>
    </row>
    <row r="881" spans="1:17" ht="24.6" x14ac:dyDescent="0.3">
      <c r="A881" s="205" t="s">
        <v>155</v>
      </c>
      <c r="B881" s="342" t="str">
        <f t="shared" si="30"/>
        <v xml:space="preserve">AELO-Galaxie-1 Couleur Flexo + 1 Couleur Sérigraphie + 1 Vernis Flexo + 1 Vernis Sérigraphie </v>
      </c>
      <c r="C881" s="206" t="s">
        <v>784</v>
      </c>
      <c r="D881" s="207" t="s">
        <v>787</v>
      </c>
      <c r="E881" s="301">
        <v>0</v>
      </c>
      <c r="F881" s="208">
        <v>0.05</v>
      </c>
      <c r="G881" s="209">
        <v>460</v>
      </c>
      <c r="H881" s="210">
        <v>2.5</v>
      </c>
      <c r="I881" s="211"/>
      <c r="J881" s="212">
        <v>1</v>
      </c>
      <c r="K881" s="212">
        <v>1</v>
      </c>
      <c r="L881" s="212">
        <v>1</v>
      </c>
      <c r="M881" s="212">
        <v>1</v>
      </c>
      <c r="N881" s="212">
        <f t="shared" si="39"/>
        <v>4</v>
      </c>
      <c r="O881" t="s">
        <v>169</v>
      </c>
    </row>
    <row r="882" spans="1:17" ht="24.6" x14ac:dyDescent="0.3">
      <c r="A882" s="205" t="s">
        <v>155</v>
      </c>
      <c r="B882" s="342" t="str">
        <f t="shared" si="30"/>
        <v xml:space="preserve">AELO-Galaxie-1 Couleur Flexo + 1 Vernis Flexo + 1 Vernis Sérigraphie </v>
      </c>
      <c r="C882" s="206" t="s">
        <v>784</v>
      </c>
      <c r="D882" s="207" t="s">
        <v>788</v>
      </c>
      <c r="E882" s="301">
        <v>0</v>
      </c>
      <c r="F882" s="208">
        <v>0.05</v>
      </c>
      <c r="G882" s="209">
        <v>360</v>
      </c>
      <c r="H882" s="210">
        <v>2</v>
      </c>
      <c r="I882" s="211"/>
      <c r="J882" s="212">
        <v>1</v>
      </c>
      <c r="K882" s="212"/>
      <c r="L882" s="212">
        <v>1</v>
      </c>
      <c r="M882" s="212">
        <v>1</v>
      </c>
      <c r="N882" s="212">
        <f t="shared" si="39"/>
        <v>3</v>
      </c>
      <c r="O882" t="s">
        <v>216</v>
      </c>
    </row>
    <row r="883" spans="1:17" x14ac:dyDescent="0.3">
      <c r="A883" s="205" t="s">
        <v>155</v>
      </c>
      <c r="B883" s="342" t="str">
        <f t="shared" si="30"/>
        <v xml:space="preserve">AELO-Galaxie-1 Couleur Flexo + 1 Vernis Sérigraphie </v>
      </c>
      <c r="C883" s="206" t="s">
        <v>784</v>
      </c>
      <c r="D883" s="207" t="s">
        <v>774</v>
      </c>
      <c r="E883" s="301">
        <v>0</v>
      </c>
      <c r="F883" s="208">
        <v>0.05</v>
      </c>
      <c r="G883" s="209">
        <v>260</v>
      </c>
      <c r="H883" s="210">
        <f>(60+45)/60</f>
        <v>1.75</v>
      </c>
      <c r="I883" s="211"/>
      <c r="J883" s="212">
        <v>1</v>
      </c>
      <c r="K883" s="212"/>
      <c r="L883" s="212"/>
      <c r="M883" s="212">
        <v>1</v>
      </c>
      <c r="N883" s="212">
        <f t="shared" si="39"/>
        <v>2</v>
      </c>
      <c r="O883" t="s">
        <v>230</v>
      </c>
    </row>
    <row r="884" spans="1:17" x14ac:dyDescent="0.3">
      <c r="A884" s="205" t="s">
        <v>155</v>
      </c>
      <c r="B884" s="342" t="str">
        <f t="shared" si="30"/>
        <v>AELO-Galaxie-1 Vernis Flexo</v>
      </c>
      <c r="C884" s="206" t="s">
        <v>784</v>
      </c>
      <c r="D884" s="207" t="s">
        <v>775</v>
      </c>
      <c r="E884" s="301">
        <v>0</v>
      </c>
      <c r="F884" s="208">
        <v>0.05</v>
      </c>
      <c r="G884" s="209">
        <v>160</v>
      </c>
      <c r="H884" s="210">
        <v>0.5</v>
      </c>
      <c r="I884" s="211"/>
      <c r="J884" s="212"/>
      <c r="K884" s="212"/>
      <c r="L884" s="212">
        <v>1</v>
      </c>
      <c r="M884" s="212"/>
      <c r="N884" s="212">
        <f t="shared" si="39"/>
        <v>1</v>
      </c>
      <c r="O884" t="s">
        <v>38</v>
      </c>
    </row>
    <row r="885" spans="1:17" x14ac:dyDescent="0.3">
      <c r="A885" s="205" t="s">
        <v>155</v>
      </c>
      <c r="B885" s="342" t="str">
        <f t="shared" si="30"/>
        <v>AELO-Galaxie-1 Couleur Sérigraphie + 1 Vernis Flexo</v>
      </c>
      <c r="C885" s="206" t="s">
        <v>784</v>
      </c>
      <c r="D885" s="207" t="s">
        <v>776</v>
      </c>
      <c r="E885" s="301">
        <v>0</v>
      </c>
      <c r="F885" s="208">
        <v>0.05</v>
      </c>
      <c r="G885" s="209">
        <v>260</v>
      </c>
      <c r="H885" s="210">
        <v>1</v>
      </c>
      <c r="I885" s="211"/>
      <c r="J885" s="212"/>
      <c r="K885" s="212">
        <v>1</v>
      </c>
      <c r="L885" s="212">
        <v>1</v>
      </c>
      <c r="M885" s="212"/>
      <c r="N885" s="212">
        <f t="shared" si="39"/>
        <v>2</v>
      </c>
      <c r="O885" t="s">
        <v>244</v>
      </c>
    </row>
    <row r="886" spans="1:17" ht="24.6" x14ac:dyDescent="0.3">
      <c r="A886" s="205" t="s">
        <v>155</v>
      </c>
      <c r="B886" s="342" t="str">
        <f t="shared" si="30"/>
        <v xml:space="preserve">AELO-Galaxie-1 Couleur Sérigraphie + 1 Vernis Flexo + 1 Vernis Sérigraphie </v>
      </c>
      <c r="C886" s="206" t="s">
        <v>784</v>
      </c>
      <c r="D886" s="207" t="s">
        <v>789</v>
      </c>
      <c r="E886" s="301">
        <v>0</v>
      </c>
      <c r="F886" s="208">
        <v>0.05</v>
      </c>
      <c r="G886" s="209">
        <v>360</v>
      </c>
      <c r="H886" s="210">
        <v>1.5</v>
      </c>
      <c r="I886" s="211"/>
      <c r="J886" s="212"/>
      <c r="K886" s="212">
        <v>1</v>
      </c>
      <c r="L886" s="212">
        <v>1</v>
      </c>
      <c r="M886" s="212">
        <v>1</v>
      </c>
      <c r="N886" s="212">
        <f t="shared" si="39"/>
        <v>3</v>
      </c>
      <c r="O886" t="s">
        <v>256</v>
      </c>
    </row>
    <row r="887" spans="1:17" x14ac:dyDescent="0.3">
      <c r="A887" s="205" t="s">
        <v>155</v>
      </c>
      <c r="B887" s="342" t="str">
        <f t="shared" si="30"/>
        <v xml:space="preserve">AELO-Galaxie-1 Vernis Flexo + 1 Vernis Sérigraphie </v>
      </c>
      <c r="C887" s="206" t="s">
        <v>784</v>
      </c>
      <c r="D887" s="207" t="s">
        <v>777</v>
      </c>
      <c r="E887" s="301">
        <v>0</v>
      </c>
      <c r="F887" s="208">
        <v>0.05</v>
      </c>
      <c r="G887" s="209">
        <v>260</v>
      </c>
      <c r="H887" s="210">
        <v>1</v>
      </c>
      <c r="I887" s="211"/>
      <c r="J887" s="212"/>
      <c r="K887" s="212"/>
      <c r="L887" s="212">
        <v>1</v>
      </c>
      <c r="M887" s="212">
        <v>1</v>
      </c>
      <c r="N887" s="212">
        <f t="shared" si="39"/>
        <v>2</v>
      </c>
      <c r="O887" t="s">
        <v>303</v>
      </c>
    </row>
    <row r="888" spans="1:17" x14ac:dyDescent="0.3">
      <c r="A888" s="205" t="s">
        <v>155</v>
      </c>
      <c r="B888" s="342" t="str">
        <f t="shared" ref="B888:B894" si="40">A888&amp;"-"&amp;C888&amp;"-"&amp;O888</f>
        <v xml:space="preserve">AELO-Galaxie-1 Vernis Sérigraphie </v>
      </c>
      <c r="C888" s="206" t="s">
        <v>784</v>
      </c>
      <c r="D888" s="207" t="s">
        <v>778</v>
      </c>
      <c r="E888" s="301">
        <v>0</v>
      </c>
      <c r="F888" s="208">
        <v>0.05</v>
      </c>
      <c r="G888" s="209">
        <v>160</v>
      </c>
      <c r="H888" s="210">
        <f>45/60</f>
        <v>0.75</v>
      </c>
      <c r="I888" s="211"/>
      <c r="J888" s="212"/>
      <c r="K888" s="212"/>
      <c r="L888" s="212"/>
      <c r="M888" s="212">
        <v>1</v>
      </c>
      <c r="N888" s="212">
        <f t="shared" si="39"/>
        <v>1</v>
      </c>
      <c r="O888" t="s">
        <v>307</v>
      </c>
    </row>
    <row r="889" spans="1:17" x14ac:dyDescent="0.3">
      <c r="A889" s="205" t="s">
        <v>155</v>
      </c>
      <c r="B889" s="342" t="str">
        <f t="shared" si="40"/>
        <v>AELO-Galaxie-2 Couleurs Flexo</v>
      </c>
      <c r="C889" s="206" t="s">
        <v>784</v>
      </c>
      <c r="D889" s="207" t="s">
        <v>779</v>
      </c>
      <c r="E889" s="301">
        <v>0</v>
      </c>
      <c r="F889" s="208">
        <v>0.05</v>
      </c>
      <c r="G889" s="209">
        <v>260</v>
      </c>
      <c r="H889" s="210">
        <f>(60+60+15)/60</f>
        <v>2.25</v>
      </c>
      <c r="I889" s="211"/>
      <c r="J889" s="212">
        <v>2</v>
      </c>
      <c r="K889" s="212"/>
      <c r="L889" s="212"/>
      <c r="M889" s="212"/>
      <c r="N889" s="212">
        <f t="shared" si="39"/>
        <v>2</v>
      </c>
      <c r="O889" t="s">
        <v>780</v>
      </c>
    </row>
    <row r="890" spans="1:17" x14ac:dyDescent="0.3">
      <c r="A890" s="205" t="s">
        <v>155</v>
      </c>
      <c r="B890" s="342" t="str">
        <f t="shared" si="40"/>
        <v>AELO-Galaxie-2 Couleurs Flexo + 1 Couleur Sérigraphie</v>
      </c>
      <c r="C890" s="206" t="s">
        <v>784</v>
      </c>
      <c r="D890" s="207" t="s">
        <v>790</v>
      </c>
      <c r="E890" s="301">
        <v>0</v>
      </c>
      <c r="F890" s="208">
        <v>0.05</v>
      </c>
      <c r="G890" s="209">
        <v>360</v>
      </c>
      <c r="H890" s="210">
        <f>(60+60+45)/60</f>
        <v>2.75</v>
      </c>
      <c r="I890" s="211"/>
      <c r="J890" s="212">
        <v>2</v>
      </c>
      <c r="K890" s="212">
        <v>1</v>
      </c>
      <c r="L890" s="212"/>
      <c r="M890" s="212"/>
      <c r="N890" s="212">
        <f t="shared" si="39"/>
        <v>3</v>
      </c>
      <c r="O890" t="s">
        <v>791</v>
      </c>
    </row>
    <row r="891" spans="1:17" x14ac:dyDescent="0.3">
      <c r="A891" s="205" t="s">
        <v>155</v>
      </c>
      <c r="B891" s="342" t="str">
        <f t="shared" si="40"/>
        <v xml:space="preserve">AELO-Galaxie-2 Couleurs Flexo + 1 Vernis Sérigraphie </v>
      </c>
      <c r="C891" s="206" t="s">
        <v>784</v>
      </c>
      <c r="D891" s="207" t="s">
        <v>792</v>
      </c>
      <c r="E891" s="301">
        <v>0</v>
      </c>
      <c r="F891" s="208">
        <v>0.05</v>
      </c>
      <c r="G891" s="209">
        <v>360</v>
      </c>
      <c r="H891" s="210">
        <f>(60+60+45)/60</f>
        <v>2.75</v>
      </c>
      <c r="I891" s="211"/>
      <c r="J891" s="212">
        <v>2</v>
      </c>
      <c r="K891" s="212"/>
      <c r="L891" s="212"/>
      <c r="M891" s="212">
        <v>1</v>
      </c>
      <c r="N891" s="212">
        <f t="shared" si="39"/>
        <v>3</v>
      </c>
      <c r="O891" t="s">
        <v>308</v>
      </c>
    </row>
    <row r="892" spans="1:17" x14ac:dyDescent="0.3">
      <c r="A892" s="205" t="s">
        <v>155</v>
      </c>
      <c r="B892" s="342" t="str">
        <f t="shared" si="40"/>
        <v>AELO-Galaxie-2 Vernis Flexo</v>
      </c>
      <c r="C892" s="206" t="s">
        <v>784</v>
      </c>
      <c r="D892" s="207" t="s">
        <v>783</v>
      </c>
      <c r="E892" s="301">
        <v>0</v>
      </c>
      <c r="F892" s="208">
        <v>0.05</v>
      </c>
      <c r="G892" s="209">
        <v>260</v>
      </c>
      <c r="H892" s="210">
        <f>45/60</f>
        <v>0.75</v>
      </c>
      <c r="I892" s="211"/>
      <c r="J892" s="212"/>
      <c r="K892" s="212"/>
      <c r="L892" s="212">
        <v>2</v>
      </c>
      <c r="M892" s="212"/>
      <c r="N892" s="212">
        <f t="shared" si="39"/>
        <v>2</v>
      </c>
      <c r="O892" t="s">
        <v>309</v>
      </c>
    </row>
    <row r="893" spans="1:17" x14ac:dyDescent="0.3">
      <c r="A893" s="205" t="s">
        <v>155</v>
      </c>
      <c r="B893" s="342" t="str">
        <f t="shared" si="40"/>
        <v>AELO-Galaxie-1 Couleur Sérigraphie + 2 Vernis Flexo</v>
      </c>
      <c r="C893" s="206" t="s">
        <v>784</v>
      </c>
      <c r="D893" s="207" t="s">
        <v>793</v>
      </c>
      <c r="E893" s="301">
        <v>0</v>
      </c>
      <c r="F893" s="208">
        <v>0.05</v>
      </c>
      <c r="G893" s="209">
        <v>360</v>
      </c>
      <c r="H893" s="210">
        <f>75/60</f>
        <v>1.25</v>
      </c>
      <c r="I893" s="211"/>
      <c r="J893" s="212"/>
      <c r="K893" s="212">
        <v>1</v>
      </c>
      <c r="L893" s="212">
        <v>2</v>
      </c>
      <c r="M893" s="212"/>
      <c r="N893" s="212">
        <f t="shared" si="39"/>
        <v>3</v>
      </c>
      <c r="O893" t="s">
        <v>279</v>
      </c>
    </row>
    <row r="894" spans="1:17" x14ac:dyDescent="0.3">
      <c r="A894" s="205" t="s">
        <v>155</v>
      </c>
      <c r="B894" s="342" t="str">
        <f t="shared" si="40"/>
        <v xml:space="preserve">AELO-Galaxie-2 Vernis Flexo + 1 Vernis Sérigraphie </v>
      </c>
      <c r="C894" s="206" t="s">
        <v>784</v>
      </c>
      <c r="D894" s="207" t="s">
        <v>794</v>
      </c>
      <c r="E894" s="301">
        <v>0</v>
      </c>
      <c r="F894" s="208">
        <v>0.05</v>
      </c>
      <c r="G894" s="209">
        <v>360</v>
      </c>
      <c r="H894" s="210">
        <f>75/60</f>
        <v>1.25</v>
      </c>
      <c r="I894" s="211"/>
      <c r="J894" s="212"/>
      <c r="K894" s="212"/>
      <c r="L894" s="212">
        <v>2</v>
      </c>
      <c r="M894" s="212"/>
      <c r="N894" s="212">
        <f t="shared" si="39"/>
        <v>2</v>
      </c>
      <c r="O894" t="s">
        <v>310</v>
      </c>
    </row>
    <row r="895" spans="1:17" x14ac:dyDescent="0.3">
      <c r="A895" s="158" t="s">
        <v>170</v>
      </c>
      <c r="B895" s="343" t="str">
        <f t="shared" ref="B895" si="41">A895&amp;"-"&amp;C895&amp;"-"&amp;O895</f>
        <v>AELI-Cartes-Ni couleur ni vernis</v>
      </c>
      <c r="C895" s="159" t="s">
        <v>764</v>
      </c>
      <c r="D895" s="165" t="s">
        <v>765</v>
      </c>
      <c r="E895" s="366">
        <v>0</v>
      </c>
      <c r="F895" s="161">
        <v>0.05</v>
      </c>
      <c r="G895" s="231">
        <v>60</v>
      </c>
      <c r="H895" s="232">
        <v>0.25</v>
      </c>
      <c r="I895" s="164"/>
      <c r="J895" s="168"/>
      <c r="K895" s="168"/>
      <c r="L895" s="168"/>
      <c r="M895" s="168"/>
      <c r="N895" s="168"/>
      <c r="O895" t="s">
        <v>765</v>
      </c>
    </row>
    <row r="896" spans="1:17" x14ac:dyDescent="0.3">
      <c r="A896" s="158" t="s">
        <v>170</v>
      </c>
      <c r="B896" s="343" t="str">
        <f t="shared" ref="B896:B906" si="42">A896&amp;"-"&amp;C896&amp;"-"&amp;O896</f>
        <v>AELI-Cartes-1 Couleur Sérigraphie</v>
      </c>
      <c r="C896" s="159" t="s">
        <v>764</v>
      </c>
      <c r="D896" s="165" t="s">
        <v>766</v>
      </c>
      <c r="E896" s="301">
        <v>0.8</v>
      </c>
      <c r="F896" s="161">
        <v>0.05</v>
      </c>
      <c r="G896" s="166">
        <v>160</v>
      </c>
      <c r="H896" s="167">
        <f>45/60</f>
        <v>0.75</v>
      </c>
      <c r="I896" s="164"/>
      <c r="J896" s="168"/>
      <c r="K896" s="168">
        <v>1</v>
      </c>
      <c r="L896" s="168"/>
      <c r="M896" s="168"/>
      <c r="N896" s="168">
        <f>SUM(J896:M896)</f>
        <v>1</v>
      </c>
      <c r="O896" t="s">
        <v>767</v>
      </c>
      <c r="Q896" s="114"/>
    </row>
    <row r="897" spans="1:17" x14ac:dyDescent="0.3">
      <c r="A897" s="158" t="s">
        <v>170</v>
      </c>
      <c r="B897" s="343" t="str">
        <f t="shared" si="42"/>
        <v>AELI-Cartes-1 Couleur Flexo</v>
      </c>
      <c r="C897" s="159" t="s">
        <v>764</v>
      </c>
      <c r="D897" s="165" t="s">
        <v>769</v>
      </c>
      <c r="E897" s="301">
        <v>0</v>
      </c>
      <c r="F897" s="161">
        <v>0.05</v>
      </c>
      <c r="G897" s="166">
        <v>160</v>
      </c>
      <c r="H897" s="167">
        <f>(60+15)/60</f>
        <v>1.25</v>
      </c>
      <c r="I897" s="164"/>
      <c r="J897" s="168">
        <v>1</v>
      </c>
      <c r="K897" s="168"/>
      <c r="L897" s="168"/>
      <c r="M897" s="168"/>
      <c r="N897" s="168">
        <f t="shared" ref="N897:N905" si="43">SUM(J897:M897)</f>
        <v>1</v>
      </c>
      <c r="O897" t="s">
        <v>770</v>
      </c>
      <c r="Q897" s="114"/>
    </row>
    <row r="898" spans="1:17" x14ac:dyDescent="0.3">
      <c r="A898" s="158" t="s">
        <v>170</v>
      </c>
      <c r="B898" s="343" t="str">
        <f t="shared" si="42"/>
        <v>AELI-Cartes-1 Couleur Flexo + 1 Couleur Sérigraphie</v>
      </c>
      <c r="C898" s="159" t="s">
        <v>764</v>
      </c>
      <c r="D898" s="165" t="s">
        <v>771</v>
      </c>
      <c r="E898" s="301">
        <v>0.8</v>
      </c>
      <c r="F898" s="161">
        <v>0.05</v>
      </c>
      <c r="G898" s="166">
        <v>260</v>
      </c>
      <c r="H898" s="167">
        <f>(60+45)/60</f>
        <v>1.75</v>
      </c>
      <c r="I898" s="164"/>
      <c r="J898" s="168">
        <v>1</v>
      </c>
      <c r="K898" s="168">
        <v>1</v>
      </c>
      <c r="L898" s="168"/>
      <c r="M898" s="168"/>
      <c r="N898" s="168">
        <f t="shared" si="43"/>
        <v>2</v>
      </c>
      <c r="O898" t="s">
        <v>772</v>
      </c>
      <c r="Q898" s="114"/>
    </row>
    <row r="899" spans="1:17" x14ac:dyDescent="0.3">
      <c r="A899" s="158" t="s">
        <v>170</v>
      </c>
      <c r="B899" s="343" t="str">
        <f t="shared" si="42"/>
        <v xml:space="preserve">AELI-Cartes-1 Couleur Flexo + 1 Vernis Sérigraphie </v>
      </c>
      <c r="C899" s="159" t="s">
        <v>764</v>
      </c>
      <c r="D899" s="165" t="s">
        <v>774</v>
      </c>
      <c r="E899" s="301">
        <v>0.8</v>
      </c>
      <c r="F899" s="161">
        <v>0.05</v>
      </c>
      <c r="G899" s="166">
        <v>260</v>
      </c>
      <c r="H899" s="167">
        <f>(60+45)/60</f>
        <v>1.75</v>
      </c>
      <c r="I899" s="164"/>
      <c r="J899" s="168">
        <v>1</v>
      </c>
      <c r="K899" s="168"/>
      <c r="L899" s="168"/>
      <c r="M899" s="168">
        <v>1</v>
      </c>
      <c r="N899" s="168">
        <f t="shared" si="43"/>
        <v>2</v>
      </c>
      <c r="O899" t="s">
        <v>230</v>
      </c>
    </row>
    <row r="900" spans="1:17" x14ac:dyDescent="0.3">
      <c r="A900" s="158" t="s">
        <v>170</v>
      </c>
      <c r="B900" s="343" t="str">
        <f t="shared" si="42"/>
        <v>AELI-Cartes-1 Vernis Flexo</v>
      </c>
      <c r="C900" s="159" t="s">
        <v>764</v>
      </c>
      <c r="D900" s="165" t="s">
        <v>775</v>
      </c>
      <c r="E900" s="301">
        <v>0</v>
      </c>
      <c r="F900" s="161">
        <v>0.05</v>
      </c>
      <c r="G900" s="166">
        <v>160</v>
      </c>
      <c r="H900" s="167">
        <f>45/60</f>
        <v>0.75</v>
      </c>
      <c r="I900" s="164"/>
      <c r="J900" s="168"/>
      <c r="K900" s="168"/>
      <c r="L900" s="168">
        <v>1</v>
      </c>
      <c r="M900" s="168"/>
      <c r="N900" s="168">
        <f t="shared" si="43"/>
        <v>1</v>
      </c>
      <c r="O900" t="s">
        <v>38</v>
      </c>
    </row>
    <row r="901" spans="1:17" x14ac:dyDescent="0.3">
      <c r="A901" s="158" t="s">
        <v>170</v>
      </c>
      <c r="B901" s="343" t="str">
        <f t="shared" si="42"/>
        <v xml:space="preserve">AELI-Cartes-1 Vernis Flexo + 1 Vernis Sérigraphie </v>
      </c>
      <c r="C901" s="159" t="s">
        <v>764</v>
      </c>
      <c r="D901" s="165" t="s">
        <v>777</v>
      </c>
      <c r="E901" s="301">
        <v>0.8</v>
      </c>
      <c r="F901" s="161">
        <v>0.05</v>
      </c>
      <c r="G901" s="166">
        <v>260</v>
      </c>
      <c r="H901" s="167">
        <f>(60+15)/60</f>
        <v>1.25</v>
      </c>
      <c r="I901" s="164"/>
      <c r="J901" s="168">
        <v>0</v>
      </c>
      <c r="K901" s="168">
        <v>0</v>
      </c>
      <c r="L901" s="168">
        <v>1</v>
      </c>
      <c r="M901" s="168">
        <v>1</v>
      </c>
      <c r="N901" s="168">
        <f t="shared" si="43"/>
        <v>2</v>
      </c>
      <c r="O901" t="s">
        <v>303</v>
      </c>
    </row>
    <row r="902" spans="1:17" x14ac:dyDescent="0.3">
      <c r="A902" s="158" t="s">
        <v>170</v>
      </c>
      <c r="B902" s="343" t="str">
        <f t="shared" si="42"/>
        <v xml:space="preserve">AELI-Cartes-1 Vernis Sérigraphie </v>
      </c>
      <c r="C902" s="159" t="s">
        <v>764</v>
      </c>
      <c r="D902" s="165" t="s">
        <v>778</v>
      </c>
      <c r="E902" s="301">
        <v>0.8</v>
      </c>
      <c r="F902" s="161">
        <v>0.05</v>
      </c>
      <c r="G902" s="166">
        <v>160</v>
      </c>
      <c r="H902" s="167">
        <f>45/60</f>
        <v>0.75</v>
      </c>
      <c r="I902" s="164"/>
      <c r="J902" s="168"/>
      <c r="K902" s="168"/>
      <c r="L902" s="168"/>
      <c r="M902" s="168">
        <v>1</v>
      </c>
      <c r="N902" s="168">
        <f t="shared" si="43"/>
        <v>1</v>
      </c>
      <c r="O902" t="s">
        <v>307</v>
      </c>
    </row>
    <row r="903" spans="1:17" x14ac:dyDescent="0.3">
      <c r="A903" s="158" t="s">
        <v>170</v>
      </c>
      <c r="B903" s="343" t="str">
        <f t="shared" si="42"/>
        <v>AELI-Cartes-1 Couleur Sérigraphie + 1 Vernis Flexo</v>
      </c>
      <c r="C903" s="159" t="s">
        <v>764</v>
      </c>
      <c r="D903" s="165" t="s">
        <v>781</v>
      </c>
      <c r="E903" s="301">
        <v>0.8</v>
      </c>
      <c r="F903" s="161">
        <v>0.05</v>
      </c>
      <c r="G903" s="166">
        <v>260</v>
      </c>
      <c r="H903" s="167">
        <f>45/60</f>
        <v>0.75</v>
      </c>
      <c r="I903" s="164"/>
      <c r="J903" s="168"/>
      <c r="K903" s="168">
        <v>1</v>
      </c>
      <c r="L903" s="168">
        <v>1</v>
      </c>
      <c r="M903" s="168"/>
      <c r="N903" s="168">
        <f t="shared" si="43"/>
        <v>2</v>
      </c>
      <c r="O903" t="s">
        <v>244</v>
      </c>
    </row>
    <row r="904" spans="1:17" x14ac:dyDescent="0.3">
      <c r="A904" s="158" t="s">
        <v>170</v>
      </c>
      <c r="B904" s="343" t="str">
        <f t="shared" si="42"/>
        <v>AELI-Cartes-1 Couleur Sérigraphie + 2 Vernis Flexo</v>
      </c>
      <c r="C904" s="159" t="s">
        <v>764</v>
      </c>
      <c r="D904" s="165" t="s">
        <v>782</v>
      </c>
      <c r="E904" s="301">
        <v>0.8</v>
      </c>
      <c r="F904" s="161">
        <v>0.05</v>
      </c>
      <c r="G904" s="166">
        <v>360</v>
      </c>
      <c r="H904" s="167">
        <f>75/60</f>
        <v>1.25</v>
      </c>
      <c r="I904" s="164"/>
      <c r="J904" s="168"/>
      <c r="K904" s="168">
        <v>1</v>
      </c>
      <c r="L904" s="168">
        <v>2</v>
      </c>
      <c r="M904" s="168"/>
      <c r="N904" s="168">
        <f t="shared" si="43"/>
        <v>3</v>
      </c>
      <c r="O904" t="s">
        <v>279</v>
      </c>
    </row>
    <row r="905" spans="1:17" x14ac:dyDescent="0.3">
      <c r="A905" s="158" t="s">
        <v>170</v>
      </c>
      <c r="B905" s="343" t="str">
        <f t="shared" si="42"/>
        <v>AELI-Cartes-2 Vernis Flexo</v>
      </c>
      <c r="C905" s="159" t="s">
        <v>764</v>
      </c>
      <c r="D905" s="165" t="s">
        <v>783</v>
      </c>
      <c r="E905" s="301">
        <v>0</v>
      </c>
      <c r="F905" s="161">
        <v>0.05</v>
      </c>
      <c r="G905" s="166">
        <v>260</v>
      </c>
      <c r="H905" s="167">
        <f>60/60</f>
        <v>1</v>
      </c>
      <c r="I905" s="164"/>
      <c r="J905" s="168"/>
      <c r="K905" s="168"/>
      <c r="L905" s="168">
        <v>2</v>
      </c>
      <c r="M905" s="168"/>
      <c r="N905" s="168">
        <f t="shared" si="43"/>
        <v>2</v>
      </c>
      <c r="O905" t="s">
        <v>309</v>
      </c>
    </row>
    <row r="906" spans="1:17" x14ac:dyDescent="0.3">
      <c r="A906" s="205" t="s">
        <v>174</v>
      </c>
      <c r="B906" s="342" t="str">
        <f t="shared" si="42"/>
        <v>AESU-Cartes-Ni couleur ni vernis</v>
      </c>
      <c r="C906" s="206" t="s">
        <v>764</v>
      </c>
      <c r="D906" s="207" t="s">
        <v>765</v>
      </c>
      <c r="E906" s="301">
        <v>0</v>
      </c>
      <c r="F906" s="208">
        <v>0</v>
      </c>
      <c r="G906" s="209">
        <v>0</v>
      </c>
      <c r="H906" s="210">
        <f>15/60</f>
        <v>0.25</v>
      </c>
      <c r="I906" s="211"/>
      <c r="J906" s="212"/>
      <c r="K906" s="212"/>
      <c r="L906" s="212"/>
      <c r="M906" s="212"/>
      <c r="N906" s="212"/>
      <c r="O906" t="s">
        <v>765</v>
      </c>
    </row>
    <row r="907" spans="1:17" x14ac:dyDescent="0.3">
      <c r="A907" s="205" t="s">
        <v>174</v>
      </c>
      <c r="B907" s="342" t="str">
        <f t="shared" ref="B907:B911" si="44">A907&amp;"-"&amp;C907&amp;"-"&amp;O907</f>
        <v>AESU-Cartes-1 Couleur Sérigraphie</v>
      </c>
      <c r="C907" s="206" t="s">
        <v>764</v>
      </c>
      <c r="D907" s="207" t="s">
        <v>766</v>
      </c>
      <c r="E907" s="301">
        <v>0.3</v>
      </c>
      <c r="F907" s="208">
        <v>0</v>
      </c>
      <c r="G907" s="209">
        <v>20</v>
      </c>
      <c r="H907" s="210">
        <v>1</v>
      </c>
      <c r="I907" s="211"/>
      <c r="J907" s="212"/>
      <c r="K907" s="212">
        <v>1</v>
      </c>
      <c r="L907" s="212"/>
      <c r="M907" s="212"/>
      <c r="N907" s="212">
        <f>SUM(J907:M907)</f>
        <v>1</v>
      </c>
      <c r="O907" t="s">
        <v>767</v>
      </c>
    </row>
    <row r="908" spans="1:17" x14ac:dyDescent="0.3">
      <c r="A908" s="205" t="s">
        <v>174</v>
      </c>
      <c r="B908" s="342" t="str">
        <f t="shared" si="44"/>
        <v>AESU-Cartes-1 Vernis Flexo</v>
      </c>
      <c r="C908" s="206" t="s">
        <v>764</v>
      </c>
      <c r="D908" s="207" t="s">
        <v>775</v>
      </c>
      <c r="E908" s="301">
        <v>0</v>
      </c>
      <c r="F908" s="208">
        <v>0</v>
      </c>
      <c r="G908" s="209">
        <v>0</v>
      </c>
      <c r="H908" s="210">
        <f>20/60</f>
        <v>0.33333333333333331</v>
      </c>
      <c r="I908" s="211"/>
      <c r="J908" s="212"/>
      <c r="K908" s="212"/>
      <c r="L908" s="212">
        <v>1</v>
      </c>
      <c r="M908" s="212"/>
      <c r="N908" s="212">
        <f t="shared" ref="N908:N911" si="45">SUM(J908:M908)</f>
        <v>1</v>
      </c>
      <c r="O908" t="s">
        <v>38</v>
      </c>
    </row>
    <row r="909" spans="1:17" x14ac:dyDescent="0.3">
      <c r="A909" s="205" t="s">
        <v>174</v>
      </c>
      <c r="B909" s="342" t="str">
        <f t="shared" si="44"/>
        <v xml:space="preserve">AESU-Cartes-1 Vernis Flexo + 1 Vernis Sérigraphie </v>
      </c>
      <c r="C909" s="206" t="s">
        <v>764</v>
      </c>
      <c r="D909" s="207" t="s">
        <v>777</v>
      </c>
      <c r="E909" s="301">
        <v>0.3</v>
      </c>
      <c r="F909" s="208">
        <v>0</v>
      </c>
      <c r="G909" s="209">
        <v>20</v>
      </c>
      <c r="H909" s="210">
        <f>65/60</f>
        <v>1.0833333333333333</v>
      </c>
      <c r="I909" s="211"/>
      <c r="J909" s="212">
        <v>0</v>
      </c>
      <c r="K909" s="212">
        <v>0</v>
      </c>
      <c r="L909" s="212">
        <v>1</v>
      </c>
      <c r="M909" s="212">
        <v>1</v>
      </c>
      <c r="N909" s="212">
        <f t="shared" si="45"/>
        <v>2</v>
      </c>
      <c r="O909" t="s">
        <v>303</v>
      </c>
    </row>
    <row r="910" spans="1:17" x14ac:dyDescent="0.3">
      <c r="A910" s="205" t="s">
        <v>174</v>
      </c>
      <c r="B910" s="342" t="str">
        <f t="shared" si="44"/>
        <v xml:space="preserve">AESU-Cartes-1 Vernis Sérigraphie </v>
      </c>
      <c r="C910" s="206" t="s">
        <v>764</v>
      </c>
      <c r="D910" s="207" t="s">
        <v>778</v>
      </c>
      <c r="E910" s="301">
        <v>0.3</v>
      </c>
      <c r="F910" s="208">
        <v>0</v>
      </c>
      <c r="G910" s="209">
        <v>20</v>
      </c>
      <c r="H910" s="210">
        <v>1</v>
      </c>
      <c r="I910" s="211"/>
      <c r="J910" s="212"/>
      <c r="K910" s="212"/>
      <c r="L910" s="212"/>
      <c r="M910" s="212">
        <v>1</v>
      </c>
      <c r="N910" s="212">
        <f t="shared" si="45"/>
        <v>1</v>
      </c>
      <c r="O910" t="s">
        <v>307</v>
      </c>
    </row>
    <row r="911" spans="1:17" x14ac:dyDescent="0.3">
      <c r="A911" s="205" t="s">
        <v>174</v>
      </c>
      <c r="B911" s="342" t="str">
        <f t="shared" si="44"/>
        <v>AESU-Cartes-1 Couleur Sérigraphie + 1 Vernis Flexo</v>
      </c>
      <c r="C911" s="206" t="s">
        <v>764</v>
      </c>
      <c r="D911" s="207" t="s">
        <v>781</v>
      </c>
      <c r="E911" s="301">
        <v>0.3</v>
      </c>
      <c r="F911" s="208">
        <v>0</v>
      </c>
      <c r="G911" s="209">
        <v>20</v>
      </c>
      <c r="H911" s="210">
        <f>65/60</f>
        <v>1.0833333333333333</v>
      </c>
      <c r="I911" s="211"/>
      <c r="J911" s="212"/>
      <c r="K911" s="212">
        <v>1</v>
      </c>
      <c r="L911" s="212">
        <v>1</v>
      </c>
      <c r="M911" s="212"/>
      <c r="N911" s="212">
        <f t="shared" si="45"/>
        <v>2</v>
      </c>
      <c r="O911" t="s">
        <v>244</v>
      </c>
    </row>
  </sheetData>
  <autoFilter ref="A1:N911" xr:uid="{D8D560A6-7E84-4AF0-9E83-D1C41312C3DA}"/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AA9E-E4CC-4C1C-AE5D-7BE9AA00223F}">
  <sheetPr codeName="Feuil12">
    <tabColor theme="0" tint="-0.34998626667073579"/>
  </sheetPr>
  <dimension ref="B1:AA107"/>
  <sheetViews>
    <sheetView topLeftCell="C28" workbookViewId="0">
      <selection activeCell="E40" sqref="E40"/>
    </sheetView>
  </sheetViews>
  <sheetFormatPr baseColWidth="10" defaultColWidth="11.5546875" defaultRowHeight="14.4" outlineLevelCol="1" x14ac:dyDescent="0.3"/>
  <cols>
    <col min="1" max="1" width="0.88671875" style="1" customWidth="1"/>
    <col min="2" max="2" width="9" style="1" bestFit="1" customWidth="1"/>
    <col min="3" max="3" width="15.33203125" style="1" customWidth="1" outlineLevel="1"/>
    <col min="4" max="4" width="49.6640625" style="2" bestFit="1" customWidth="1"/>
    <col min="5" max="5" width="25.33203125" style="1" customWidth="1"/>
    <col min="6" max="6" width="30.33203125" style="2" bestFit="1" customWidth="1"/>
    <col min="7" max="7" width="33" style="2" customWidth="1" outlineLevel="1"/>
    <col min="8" max="8" width="9.109375" style="3" customWidth="1"/>
    <col min="9" max="9" width="10.33203125" style="1" customWidth="1"/>
    <col min="10" max="10" width="8.44140625" style="413" customWidth="1"/>
    <col min="11" max="11" width="9" style="6" customWidth="1"/>
    <col min="12" max="12" width="16.33203125" style="2" customWidth="1" outlineLevel="1"/>
    <col min="13" max="13" width="10.109375" style="1" customWidth="1"/>
    <col min="14" max="14" width="11.6640625" style="1" customWidth="1" outlineLevel="1"/>
    <col min="15" max="15" width="34.6640625" style="2" customWidth="1"/>
    <col min="16" max="16" width="10.109375" style="3" customWidth="1" outlineLevel="1"/>
    <col min="17" max="17" width="9" style="1" customWidth="1"/>
    <col min="18" max="19" width="8.109375" style="1" customWidth="1"/>
    <col min="20" max="20" width="32.33203125" style="2" customWidth="1" outlineLevel="1"/>
    <col min="21" max="21" width="8.33203125" style="1" customWidth="1"/>
    <col min="22" max="22" width="23" style="1" customWidth="1" outlineLevel="1"/>
    <col min="23" max="23" width="27.88671875" style="2" customWidth="1"/>
    <col min="24" max="24" width="8.88671875" style="3" customWidth="1" outlineLevel="1"/>
    <col min="25" max="25" width="10.44140625" style="1" customWidth="1"/>
    <col min="26" max="16384" width="11.5546875" style="1"/>
  </cols>
  <sheetData>
    <row r="1" spans="2:27" x14ac:dyDescent="0.3">
      <c r="H1" s="4"/>
      <c r="I1" s="5"/>
    </row>
    <row r="2" spans="2:27" ht="15.6" x14ac:dyDescent="0.3">
      <c r="B2" s="456" t="s">
        <v>795</v>
      </c>
      <c r="C2" s="456"/>
      <c r="D2" s="456"/>
      <c r="E2" s="456"/>
      <c r="F2" s="456"/>
      <c r="G2" s="456"/>
      <c r="H2" s="456"/>
      <c r="I2" s="457"/>
      <c r="K2" s="458" t="s">
        <v>46</v>
      </c>
      <c r="L2" s="458"/>
      <c r="M2" s="458"/>
      <c r="N2" s="458"/>
      <c r="O2" s="458"/>
      <c r="P2" s="458"/>
      <c r="Q2" s="459"/>
      <c r="S2" s="460" t="s">
        <v>514</v>
      </c>
      <c r="T2" s="460"/>
      <c r="U2" s="460"/>
      <c r="V2" s="460"/>
      <c r="W2" s="460"/>
      <c r="X2" s="460"/>
      <c r="Y2" s="461"/>
    </row>
    <row r="3" spans="2:27" s="8" customFormat="1" ht="28.8" x14ac:dyDescent="0.3">
      <c r="B3" s="334" t="s">
        <v>796</v>
      </c>
      <c r="C3" s="334" t="s">
        <v>797</v>
      </c>
      <c r="D3" s="336" t="s">
        <v>798</v>
      </c>
      <c r="E3" s="334" t="s">
        <v>25</v>
      </c>
      <c r="F3" s="334" t="s">
        <v>27</v>
      </c>
      <c r="G3" s="334" t="s">
        <v>799</v>
      </c>
      <c r="H3" s="334" t="s">
        <v>29</v>
      </c>
      <c r="I3" s="335" t="s">
        <v>800</v>
      </c>
      <c r="J3" s="414"/>
      <c r="K3" s="9" t="s">
        <v>801</v>
      </c>
      <c r="L3" s="11" t="s">
        <v>802</v>
      </c>
      <c r="M3" s="10" t="s">
        <v>797</v>
      </c>
      <c r="N3" s="11" t="s">
        <v>803</v>
      </c>
      <c r="O3" s="10" t="s">
        <v>130</v>
      </c>
      <c r="P3" s="10" t="s">
        <v>804</v>
      </c>
      <c r="Q3" s="9" t="s">
        <v>805</v>
      </c>
      <c r="S3" s="7" t="s">
        <v>801</v>
      </c>
      <c r="T3" s="12" t="s">
        <v>802</v>
      </c>
      <c r="U3" s="13" t="s">
        <v>797</v>
      </c>
      <c r="V3" s="12" t="s">
        <v>803</v>
      </c>
      <c r="W3" s="13" t="s">
        <v>130</v>
      </c>
      <c r="X3" s="13" t="s">
        <v>804</v>
      </c>
      <c r="Y3" s="7" t="s">
        <v>805</v>
      </c>
      <c r="Z3" s="13" t="s">
        <v>137</v>
      </c>
    </row>
    <row r="4" spans="2:27" x14ac:dyDescent="0.3">
      <c r="B4" s="411" t="s">
        <v>806</v>
      </c>
      <c r="C4" s="330" t="s">
        <v>807</v>
      </c>
      <c r="D4" s="330" t="str">
        <f>Tableau5[[#This Row],[Frontal]]&amp;" / "&amp;Tableau5[[#This Row],[Adhesif]]&amp;" / "&amp;Tableau5[[#This Row],[Backing]]</f>
        <v>Coton blanc / Permanent PLUS / Glassine</v>
      </c>
      <c r="E4" s="330" t="s">
        <v>808</v>
      </c>
      <c r="F4" s="422" t="s">
        <v>28</v>
      </c>
      <c r="G4" s="330" t="str">
        <f>Tableau5[[#This Row],[Frontal]]&amp;Tableau5[[#This Row],[Adhesif]]</f>
        <v>Coton blancPermanent PLUS</v>
      </c>
      <c r="H4" s="330" t="s">
        <v>30</v>
      </c>
      <c r="I4" s="423">
        <v>1.80122</v>
      </c>
      <c r="J4" s="413">
        <v>1.80122</v>
      </c>
      <c r="K4" t="s">
        <v>809</v>
      </c>
      <c r="L4" t="s">
        <v>810</v>
      </c>
      <c r="M4" t="s">
        <v>811</v>
      </c>
      <c r="N4" t="s">
        <v>812</v>
      </c>
      <c r="O4" t="s">
        <v>813</v>
      </c>
      <c r="P4">
        <v>92</v>
      </c>
      <c r="Q4" s="423">
        <v>0.97631999999999997</v>
      </c>
      <c r="R4" s="413">
        <v>0.97631999999999997</v>
      </c>
      <c r="S4" s="415" t="s">
        <v>814</v>
      </c>
      <c r="T4" s="247" t="s">
        <v>815</v>
      </c>
      <c r="U4" s="247" t="s">
        <v>816</v>
      </c>
      <c r="V4" s="247" t="s">
        <v>817</v>
      </c>
      <c r="W4" s="247" t="s">
        <v>818</v>
      </c>
      <c r="X4" s="247">
        <v>3</v>
      </c>
      <c r="Y4" s="360">
        <v>0.32414999999999999</v>
      </c>
      <c r="AA4" s="413">
        <v>0.32414999999999999</v>
      </c>
    </row>
    <row r="5" spans="2:27" x14ac:dyDescent="0.3">
      <c r="B5" s="330" t="s">
        <v>819</v>
      </c>
      <c r="C5" s="330" t="s">
        <v>807</v>
      </c>
      <c r="D5" s="330" t="str">
        <f>Tableau5[[#This Row],[Frontal]]&amp;" / "&amp;Tableau5[[#This Row],[Adhesif]]&amp;" / "&amp;Tableau5[[#This Row],[Backing]]</f>
        <v>Coton blanc / Permanent PLUS / PET</v>
      </c>
      <c r="E5" s="330" t="s">
        <v>808</v>
      </c>
      <c r="F5" s="422" t="s">
        <v>28</v>
      </c>
      <c r="G5" s="330" t="str">
        <f>Tableau5[[#This Row],[Frontal]]&amp;Tableau5[[#This Row],[Adhesif]]</f>
        <v>Coton blancPermanent PLUS</v>
      </c>
      <c r="H5" s="330" t="s">
        <v>820</v>
      </c>
      <c r="I5" s="423">
        <v>2.0170499999999998</v>
      </c>
      <c r="J5" s="413">
        <v>2.0170499999999998</v>
      </c>
      <c r="K5" s="16"/>
      <c r="L5" s="16"/>
      <c r="M5" s="16"/>
      <c r="N5" s="16"/>
      <c r="O5" s="16"/>
      <c r="P5" s="16"/>
      <c r="Q5" s="16"/>
      <c r="S5" s="416" t="s">
        <v>821</v>
      </c>
      <c r="T5" s="373" t="s">
        <v>822</v>
      </c>
      <c r="U5" s="328" t="s">
        <v>816</v>
      </c>
      <c r="V5" s="328" t="s">
        <v>817</v>
      </c>
      <c r="W5" s="327" t="s">
        <v>823</v>
      </c>
      <c r="X5" s="329">
        <v>3</v>
      </c>
      <c r="Y5" s="360">
        <v>0.27235999999999999</v>
      </c>
      <c r="AA5" s="413">
        <v>0.27235999999999999</v>
      </c>
    </row>
    <row r="6" spans="2:27" x14ac:dyDescent="0.3">
      <c r="B6" s="330" t="s">
        <v>824</v>
      </c>
      <c r="C6" s="330" t="s">
        <v>825</v>
      </c>
      <c r="D6" s="402" t="str">
        <f>Tableau5[[#This Row],[Frontal]]&amp;" / "&amp;Tableau5[[#This Row],[Adhesif]]&amp;" / "&amp;Tableau5[[#This Row],[Backing]]</f>
        <v>Coton blanc / Permanent / Glassine</v>
      </c>
      <c r="E6" s="402" t="s">
        <v>808</v>
      </c>
      <c r="F6" s="402" t="s">
        <v>826</v>
      </c>
      <c r="G6" s="402" t="str">
        <f>Tableau5[[#This Row],[Frontal]]&amp;Tableau5[[#This Row],[Adhesif]]</f>
        <v>Coton blancPermanent</v>
      </c>
      <c r="H6" s="402" t="s">
        <v>30</v>
      </c>
      <c r="I6" s="423">
        <v>2.4114200000000001</v>
      </c>
      <c r="J6" s="413">
        <v>1.2</v>
      </c>
      <c r="K6" s="16"/>
      <c r="L6" s="16"/>
      <c r="M6" s="16"/>
      <c r="N6" s="16"/>
      <c r="O6" s="16"/>
      <c r="P6" s="16"/>
      <c r="Q6" s="16"/>
      <c r="S6" s="417" t="s">
        <v>827</v>
      </c>
      <c r="T6" s="374" t="s">
        <v>828</v>
      </c>
      <c r="U6" s="1" t="s">
        <v>816</v>
      </c>
      <c r="V6" s="1" t="s">
        <v>817</v>
      </c>
      <c r="W6" s="2" t="s">
        <v>829</v>
      </c>
      <c r="X6" s="3">
        <v>3</v>
      </c>
      <c r="Y6" s="360">
        <v>0.35265000000000002</v>
      </c>
      <c r="AA6" s="413">
        <v>0.35265000000000002</v>
      </c>
    </row>
    <row r="7" spans="2:27" x14ac:dyDescent="0.3">
      <c r="B7" s="411" t="s">
        <v>830</v>
      </c>
      <c r="C7" s="422" t="s">
        <v>831</v>
      </c>
      <c r="D7" s="330" t="str">
        <f>Tableau5[[#This Row],[Frontal]]&amp;" / "&amp;Tableau5[[#This Row],[Adhesif]]&amp;" / "&amp;Tableau5[[#This Row],[Backing]]</f>
        <v>Coton extra blanc / Permanent PLUS / Glassine</v>
      </c>
      <c r="E7" s="330" t="s">
        <v>832</v>
      </c>
      <c r="F7" s="422" t="s">
        <v>28</v>
      </c>
      <c r="G7" s="330" t="str">
        <f>Tableau5[[#This Row],[Frontal]]&amp;Tableau5[[#This Row],[Adhesif]]</f>
        <v>Coton extra blancPermanent PLUS</v>
      </c>
      <c r="H7" s="330" t="s">
        <v>30</v>
      </c>
      <c r="I7" s="423">
        <v>2.2012399999999999</v>
      </c>
      <c r="J7" s="413">
        <v>3.0193599999999998</v>
      </c>
      <c r="K7" s="16"/>
      <c r="L7" s="16"/>
      <c r="M7" s="16"/>
      <c r="N7" s="16"/>
      <c r="O7" s="16"/>
      <c r="P7" s="16"/>
      <c r="Q7" s="16"/>
      <c r="S7" s="417" t="s">
        <v>833</v>
      </c>
      <c r="T7" s="374" t="s">
        <v>834</v>
      </c>
      <c r="U7" s="1" t="s">
        <v>816</v>
      </c>
      <c r="V7" s="1" t="s">
        <v>817</v>
      </c>
      <c r="W7" s="2" t="s">
        <v>835</v>
      </c>
      <c r="X7" s="3">
        <v>3</v>
      </c>
      <c r="Y7" s="360">
        <v>0.45345000000000002</v>
      </c>
      <c r="AA7" s="413">
        <v>0.45345000000000002</v>
      </c>
    </row>
    <row r="8" spans="2:27" x14ac:dyDescent="0.3">
      <c r="B8" s="330" t="s">
        <v>836</v>
      </c>
      <c r="C8" s="330" t="s">
        <v>837</v>
      </c>
      <c r="D8" s="330" t="str">
        <f>Tableau5[[#This Row],[Frontal]]&amp;" / "&amp;Tableau5[[#This Row],[Adhesif]]&amp;" / "&amp;Tableau5[[#This Row],[Backing]]</f>
        <v>Couché Satiné / Lavable / Glassine</v>
      </c>
      <c r="E8" s="330" t="s">
        <v>838</v>
      </c>
      <c r="F8" s="330" t="s">
        <v>839</v>
      </c>
      <c r="G8" s="330" t="str">
        <f>Tableau5[[#This Row],[Frontal]]&amp;Tableau5[[#This Row],[Adhesif]]</f>
        <v>Couché SatinéLavable</v>
      </c>
      <c r="H8" s="330" t="s">
        <v>30</v>
      </c>
      <c r="I8" s="423">
        <v>0.79100000000000004</v>
      </c>
      <c r="J8" s="413">
        <v>0.79100000000000004</v>
      </c>
      <c r="K8" s="16"/>
      <c r="L8" s="16"/>
      <c r="M8" s="16"/>
      <c r="N8" s="16"/>
      <c r="O8" s="16"/>
      <c r="P8" s="16"/>
      <c r="Q8" s="16"/>
      <c r="S8" s="417" t="s">
        <v>840</v>
      </c>
      <c r="T8" s="374" t="s">
        <v>841</v>
      </c>
      <c r="U8" s="1" t="s">
        <v>816</v>
      </c>
      <c r="V8" s="1" t="s">
        <v>817</v>
      </c>
      <c r="W8" s="2" t="s">
        <v>842</v>
      </c>
      <c r="X8" s="3">
        <v>3</v>
      </c>
      <c r="Y8" s="360">
        <v>0.80106999999999995</v>
      </c>
      <c r="AA8" s="413">
        <v>0.80106999999999995</v>
      </c>
    </row>
    <row r="9" spans="2:27" x14ac:dyDescent="0.3">
      <c r="B9" s="330" t="s">
        <v>843</v>
      </c>
      <c r="C9" s="330" t="s">
        <v>837</v>
      </c>
      <c r="D9" s="330" t="str">
        <f>Tableau5[[#This Row],[Frontal]]&amp;" / "&amp;Tableau5[[#This Row],[Adhesif]]&amp;" / "&amp;Tableau5[[#This Row],[Backing]]</f>
        <v>Couché Satiné / Permanent PLUS / PET</v>
      </c>
      <c r="E9" s="330" t="s">
        <v>838</v>
      </c>
      <c r="F9" s="422" t="s">
        <v>28</v>
      </c>
      <c r="G9" s="330" t="str">
        <f>Tableau5[[#This Row],[Frontal]]&amp;Tableau5[[#This Row],[Adhesif]]</f>
        <v>Couché SatinéPermanent PLUS</v>
      </c>
      <c r="H9" s="330" t="s">
        <v>820</v>
      </c>
      <c r="I9" s="423">
        <v>0.61811000000000005</v>
      </c>
      <c r="J9" s="413">
        <v>0.61811000000000005</v>
      </c>
      <c r="K9" s="16"/>
      <c r="L9" s="16"/>
      <c r="M9" s="16"/>
      <c r="N9" s="16"/>
      <c r="O9" s="16"/>
      <c r="P9" s="16"/>
      <c r="Q9" s="16"/>
      <c r="S9" s="417" t="s">
        <v>844</v>
      </c>
      <c r="T9" s="374" t="s">
        <v>845</v>
      </c>
      <c r="U9" s="1" t="s">
        <v>816</v>
      </c>
      <c r="V9" s="1" t="s">
        <v>817</v>
      </c>
      <c r="W9" s="2" t="s">
        <v>846</v>
      </c>
      <c r="X9" s="3">
        <v>3</v>
      </c>
      <c r="Y9" s="360">
        <v>0.37717000000000001</v>
      </c>
      <c r="AA9" s="413">
        <v>0.37717000000000001</v>
      </c>
    </row>
    <row r="10" spans="2:27" x14ac:dyDescent="0.3">
      <c r="B10" s="330" t="s">
        <v>847</v>
      </c>
      <c r="C10" s="330" t="s">
        <v>825</v>
      </c>
      <c r="D10" s="330" t="str">
        <f>Tableau5[[#This Row],[Frontal]]&amp;" / "&amp;Tableau5[[#This Row],[Adhesif]]&amp;" / "&amp;Tableau5[[#This Row],[Backing]]</f>
        <v>Couché Satiné / Renforcé / Glassine</v>
      </c>
      <c r="E10" s="330" t="s">
        <v>838</v>
      </c>
      <c r="F10" s="330" t="s">
        <v>848</v>
      </c>
      <c r="G10" s="330" t="str">
        <f>Tableau5[[#This Row],[Frontal]]&amp;Tableau5[[#This Row],[Adhesif]]</f>
        <v>Couché SatinéRenforcé</v>
      </c>
      <c r="H10" s="330" t="s">
        <v>30</v>
      </c>
      <c r="I10" s="423">
        <v>0.81472999999999995</v>
      </c>
      <c r="J10" s="413">
        <v>0.81472999999999995</v>
      </c>
      <c r="K10" s="16"/>
      <c r="L10" s="16"/>
      <c r="M10" s="16"/>
      <c r="N10" s="16"/>
      <c r="O10" s="16"/>
      <c r="P10" s="16"/>
      <c r="Q10" s="16"/>
      <c r="S10" s="417" t="s">
        <v>849</v>
      </c>
      <c r="T10" s="374" t="s">
        <v>850</v>
      </c>
      <c r="U10" s="1" t="s">
        <v>816</v>
      </c>
      <c r="V10" s="1" t="s">
        <v>817</v>
      </c>
      <c r="W10" s="2" t="s">
        <v>851</v>
      </c>
      <c r="X10" s="3">
        <v>3</v>
      </c>
      <c r="Y10" s="360">
        <v>0.60385</v>
      </c>
      <c r="AA10" s="413">
        <v>0.60385</v>
      </c>
    </row>
    <row r="11" spans="2:27" x14ac:dyDescent="0.3">
      <c r="B11" s="330" t="s">
        <v>852</v>
      </c>
      <c r="C11" s="330" t="s">
        <v>825</v>
      </c>
      <c r="D11" s="330" t="str">
        <f>Tableau5[[#This Row],[Frontal]]&amp;" / "&amp;Tableau5[[#This Row],[Adhesif]]&amp;" / "&amp;Tableau5[[#This Row],[Backing]]</f>
        <v>Couché Satiné / Permanent / Glassine</v>
      </c>
      <c r="E11" s="330" t="s">
        <v>838</v>
      </c>
      <c r="F11" s="330" t="s">
        <v>826</v>
      </c>
      <c r="G11" s="330" t="str">
        <f>Tableau5[[#This Row],[Frontal]]&amp;Tableau5[[#This Row],[Adhesif]]</f>
        <v>Couché SatinéPermanent</v>
      </c>
      <c r="H11" s="330" t="s">
        <v>30</v>
      </c>
      <c r="I11" s="423">
        <v>0.52215999999999996</v>
      </c>
      <c r="J11" s="413">
        <v>0.61697999999999997</v>
      </c>
      <c r="K11" s="16"/>
      <c r="L11" s="16"/>
      <c r="M11" s="16"/>
      <c r="N11" s="16"/>
      <c r="O11" s="16"/>
      <c r="P11" s="16"/>
      <c r="Q11" s="16"/>
      <c r="S11" s="417" t="s">
        <v>853</v>
      </c>
      <c r="T11" s="374" t="s">
        <v>854</v>
      </c>
      <c r="U11" s="1" t="s">
        <v>816</v>
      </c>
      <c r="V11" s="1" t="s">
        <v>817</v>
      </c>
      <c r="W11" s="2" t="s">
        <v>554</v>
      </c>
      <c r="X11" s="3">
        <v>3</v>
      </c>
      <c r="Y11" s="360">
        <v>0.45345000000000002</v>
      </c>
      <c r="AA11" s="413">
        <v>0.45345000000000002</v>
      </c>
    </row>
    <row r="12" spans="2:27" x14ac:dyDescent="0.3">
      <c r="B12" s="330" t="s">
        <v>855</v>
      </c>
      <c r="C12" s="330" t="s">
        <v>825</v>
      </c>
      <c r="D12" s="330" t="str">
        <f>Tableau5[[#This Row],[Frontal]]&amp;" / "&amp;Tableau5[[#This Row],[Adhesif]]&amp;" / "&amp;Tableau5[[#This Row],[Backing]]</f>
        <v>Couché Chrome / Lavable / Glassine</v>
      </c>
      <c r="E12" s="330" t="s">
        <v>856</v>
      </c>
      <c r="F12" s="330" t="s">
        <v>839</v>
      </c>
      <c r="G12" s="330" t="str">
        <f>Tableau5[[#This Row],[Frontal]]&amp;Tableau5[[#This Row],[Adhesif]]</f>
        <v>Couché ChromeLavable</v>
      </c>
      <c r="H12" s="330" t="s">
        <v>30</v>
      </c>
      <c r="I12" s="423">
        <v>0.98309999999999997</v>
      </c>
      <c r="J12" s="413">
        <v>0.98309999999999997</v>
      </c>
      <c r="K12" s="16"/>
      <c r="L12" s="16"/>
      <c r="M12" s="16"/>
      <c r="N12" s="16"/>
      <c r="O12" s="16"/>
      <c r="P12" s="16"/>
      <c r="Q12" s="16"/>
      <c r="S12" s="417" t="s">
        <v>857</v>
      </c>
      <c r="T12" s="374" t="s">
        <v>858</v>
      </c>
      <c r="U12" s="1" t="s">
        <v>816</v>
      </c>
      <c r="V12" s="1" t="s">
        <v>817</v>
      </c>
      <c r="W12" s="2" t="s">
        <v>859</v>
      </c>
      <c r="X12" s="3">
        <v>3</v>
      </c>
      <c r="Y12" s="360">
        <v>0.44899</v>
      </c>
      <c r="AA12" s="413">
        <v>0.44899</v>
      </c>
    </row>
    <row r="13" spans="2:27" x14ac:dyDescent="0.3">
      <c r="B13" s="411" t="s">
        <v>860</v>
      </c>
      <c r="C13" s="330" t="s">
        <v>807</v>
      </c>
      <c r="D13" s="330" t="str">
        <f>Tableau5[[#This Row],[Frontal]]&amp;" / "&amp;Tableau5[[#This Row],[Adhesif]]&amp;" / "&amp;Tableau5[[#This Row],[Backing]]</f>
        <v>Couché Chrome / Permanent PLUS / Glassine</v>
      </c>
      <c r="E13" s="330" t="s">
        <v>856</v>
      </c>
      <c r="F13" s="422" t="s">
        <v>28</v>
      </c>
      <c r="G13" s="330" t="str">
        <f>Tableau5[[#This Row],[Frontal]]&amp;Tableau5[[#This Row],[Adhesif]]</f>
        <v>Couché ChromePermanent PLUS</v>
      </c>
      <c r="H13" s="330" t="s">
        <v>30</v>
      </c>
      <c r="I13" s="423">
        <v>0.72772000000000003</v>
      </c>
      <c r="J13" s="413">
        <v>0.72772000000000003</v>
      </c>
      <c r="K13" s="16"/>
      <c r="L13" s="16"/>
      <c r="M13" s="16"/>
      <c r="N13" s="16"/>
      <c r="O13" s="16"/>
      <c r="P13" s="16"/>
      <c r="Q13" s="16"/>
      <c r="S13" s="417" t="s">
        <v>861</v>
      </c>
      <c r="T13" s="374" t="s">
        <v>862</v>
      </c>
      <c r="U13" s="1" t="s">
        <v>816</v>
      </c>
      <c r="V13" s="1" t="s">
        <v>817</v>
      </c>
      <c r="W13" s="2" t="s">
        <v>863</v>
      </c>
      <c r="X13" s="3">
        <v>3</v>
      </c>
      <c r="Y13" s="360">
        <v>0.55539000000000005</v>
      </c>
      <c r="Z13" s="1" t="s">
        <v>864</v>
      </c>
      <c r="AA13" s="413">
        <v>0.55539000000000005</v>
      </c>
    </row>
    <row r="14" spans="2:27" x14ac:dyDescent="0.3">
      <c r="B14" s="411" t="s">
        <v>865</v>
      </c>
      <c r="C14" s="422" t="s">
        <v>831</v>
      </c>
      <c r="D14" s="330" t="str">
        <f>Tableau5[[#This Row],[Frontal]]&amp;" / "&amp;Tableau5[[#This Row],[Adhesif]]&amp;" / "&amp;Tableau5[[#This Row],[Backing]]</f>
        <v>Couché Chrome / Permanent PLUS / PET</v>
      </c>
      <c r="E14" s="330" t="s">
        <v>856</v>
      </c>
      <c r="F14" s="422" t="s">
        <v>28</v>
      </c>
      <c r="G14" s="330" t="str">
        <f>Tableau5[[#This Row],[Frontal]]&amp;Tableau5[[#This Row],[Adhesif]]</f>
        <v>Couché ChromePermanent PLUS</v>
      </c>
      <c r="H14" s="330" t="s">
        <v>820</v>
      </c>
      <c r="I14" s="423">
        <v>0.77066000000000001</v>
      </c>
      <c r="J14" s="413">
        <v>0.85541</v>
      </c>
      <c r="K14" s="16"/>
      <c r="L14" s="16"/>
      <c r="M14" s="16"/>
      <c r="N14" s="16"/>
      <c r="O14" s="16"/>
      <c r="P14" s="16"/>
      <c r="Q14" s="16"/>
      <c r="S14" s="417" t="s">
        <v>866</v>
      </c>
      <c r="T14" s="374" t="s">
        <v>867</v>
      </c>
      <c r="U14" s="1" t="s">
        <v>816</v>
      </c>
      <c r="V14" s="1" t="s">
        <v>817</v>
      </c>
      <c r="W14" s="2" t="s">
        <v>868</v>
      </c>
      <c r="X14" s="3">
        <v>3</v>
      </c>
      <c r="Y14" s="360">
        <v>0.39045999999999997</v>
      </c>
      <c r="Z14" s="1" t="s">
        <v>869</v>
      </c>
      <c r="AA14" s="413">
        <v>0.39045999999999997</v>
      </c>
    </row>
    <row r="15" spans="2:27" x14ac:dyDescent="0.3">
      <c r="B15" s="330" t="s">
        <v>870</v>
      </c>
      <c r="C15" s="330" t="s">
        <v>825</v>
      </c>
      <c r="D15" s="330" t="str">
        <f>Tableau5[[#This Row],[Frontal]]&amp;" / "&amp;Tableau5[[#This Row],[Adhesif]]&amp;" / "&amp;Tableau5[[#This Row],[Backing]]</f>
        <v>Couché mat / Lavable / PET</v>
      </c>
      <c r="E15" s="330" t="s">
        <v>871</v>
      </c>
      <c r="F15" s="330" t="s">
        <v>839</v>
      </c>
      <c r="G15" s="330" t="str">
        <f>Tableau5[[#This Row],[Frontal]]&amp;Tableau5[[#This Row],[Adhesif]]</f>
        <v>Couché matLavable</v>
      </c>
      <c r="H15" s="330" t="s">
        <v>820</v>
      </c>
      <c r="I15" s="423">
        <v>1.00118</v>
      </c>
      <c r="J15" s="413">
        <v>1.00118</v>
      </c>
      <c r="K15" s="16"/>
      <c r="L15" s="16"/>
      <c r="M15" s="16"/>
      <c r="N15" s="16"/>
      <c r="O15" s="16"/>
      <c r="P15" s="16"/>
      <c r="Q15" s="16"/>
      <c r="S15" s="417" t="s">
        <v>872</v>
      </c>
      <c r="T15" s="374" t="s">
        <v>873</v>
      </c>
      <c r="U15" s="1" t="s">
        <v>816</v>
      </c>
      <c r="V15" s="1" t="s">
        <v>817</v>
      </c>
      <c r="W15" s="2" t="s">
        <v>864</v>
      </c>
      <c r="X15" s="3">
        <v>3</v>
      </c>
      <c r="Y15" s="360">
        <v>0.60829999999999995</v>
      </c>
      <c r="AA15" s="413">
        <v>0.60829999999999995</v>
      </c>
    </row>
    <row r="16" spans="2:27" x14ac:dyDescent="0.3">
      <c r="B16" s="330" t="s">
        <v>874</v>
      </c>
      <c r="C16" s="330" t="s">
        <v>825</v>
      </c>
      <c r="D16" s="330" t="str">
        <f>Tableau5[[#This Row],[Frontal]]&amp;" / "&amp;Tableau5[[#This Row],[Adhesif]]&amp;" / "&amp;Tableau5[[#This Row],[Backing]]</f>
        <v>Couché mat / Permanent / Glassine</v>
      </c>
      <c r="E16" s="330" t="s">
        <v>871</v>
      </c>
      <c r="F16" s="330" t="s">
        <v>826</v>
      </c>
      <c r="G16" s="330" t="str">
        <f>Tableau5[[#This Row],[Frontal]]&amp;Tableau5[[#This Row],[Adhesif]]</f>
        <v>Couché matPermanent</v>
      </c>
      <c r="H16" s="330" t="s">
        <v>30</v>
      </c>
      <c r="I16" s="423">
        <v>0.69947000000000004</v>
      </c>
      <c r="J16" s="413">
        <v>0.69947000000000004</v>
      </c>
      <c r="K16" s="16"/>
      <c r="L16" s="16"/>
      <c r="M16" s="16"/>
      <c r="N16" s="16"/>
      <c r="O16" s="16"/>
      <c r="P16" s="16"/>
      <c r="Q16" s="16"/>
      <c r="S16" s="417" t="s">
        <v>875</v>
      </c>
      <c r="T16" s="374" t="s">
        <v>876</v>
      </c>
      <c r="U16" s="1" t="s">
        <v>816</v>
      </c>
      <c r="V16" s="1" t="s">
        <v>817</v>
      </c>
      <c r="W16" s="2" t="s">
        <v>877</v>
      </c>
      <c r="X16" s="3">
        <v>3</v>
      </c>
      <c r="Y16" s="360">
        <v>0.32414999999999999</v>
      </c>
      <c r="AA16" s="413">
        <v>0.32414999999999999</v>
      </c>
    </row>
    <row r="17" spans="2:27" x14ac:dyDescent="0.3">
      <c r="B17" s="330" t="s">
        <v>865</v>
      </c>
      <c r="C17" s="330" t="s">
        <v>807</v>
      </c>
      <c r="D17" s="330" t="str">
        <f>Tableau5[[#This Row],[Frontal]]&amp;" / "&amp;Tableau5[[#This Row],[Adhesif]]&amp;" / "&amp;Tableau5[[#This Row],[Backing]]</f>
        <v>Couché mat / Permanent PLUS / PET</v>
      </c>
      <c r="E17" s="330" t="s">
        <v>871</v>
      </c>
      <c r="F17" s="422" t="s">
        <v>28</v>
      </c>
      <c r="G17" s="330" t="str">
        <f>Tableau5[[#This Row],[Frontal]]&amp;Tableau5[[#This Row],[Adhesif]]</f>
        <v>Couché matPermanent PLUS</v>
      </c>
      <c r="H17" s="330" t="s">
        <v>820</v>
      </c>
      <c r="I17" s="423">
        <v>0.77066000000000001</v>
      </c>
      <c r="J17" s="413">
        <v>0.77066000000000001</v>
      </c>
      <c r="K17" s="16"/>
      <c r="L17" s="16"/>
      <c r="M17" s="16"/>
      <c r="N17" s="16"/>
      <c r="O17" s="16"/>
      <c r="P17" s="16"/>
      <c r="Q17" s="16"/>
      <c r="S17" s="417" t="s">
        <v>878</v>
      </c>
      <c r="T17" s="374" t="s">
        <v>879</v>
      </c>
      <c r="U17" s="1" t="s">
        <v>816</v>
      </c>
      <c r="V17" s="1" t="s">
        <v>817</v>
      </c>
      <c r="W17" s="2" t="s">
        <v>880</v>
      </c>
      <c r="X17" s="3">
        <v>3</v>
      </c>
      <c r="Y17" s="360">
        <v>0.45345000000000002</v>
      </c>
      <c r="Z17" s="1" t="s">
        <v>881</v>
      </c>
      <c r="AA17" s="413">
        <v>0.45345000000000002</v>
      </c>
    </row>
    <row r="18" spans="2:27" x14ac:dyDescent="0.3">
      <c r="B18" s="330" t="s">
        <v>882</v>
      </c>
      <c r="C18" s="330" t="s">
        <v>825</v>
      </c>
      <c r="D18" s="330" t="str">
        <f>Tableau5[[#This Row],[Frontal]]&amp;" / "&amp;Tableau5[[#This Row],[Adhesif]]&amp;" / "&amp;Tableau5[[#This Row],[Backing]]</f>
        <v>Couché mat / Renforcé / Glassine</v>
      </c>
      <c r="E18" s="330" t="s">
        <v>871</v>
      </c>
      <c r="F18" s="330" t="s">
        <v>848</v>
      </c>
      <c r="G18" s="330" t="str">
        <f>Tableau5[[#This Row],[Frontal]]&amp;Tableau5[[#This Row],[Adhesif]]</f>
        <v>Couché matRenforcé</v>
      </c>
      <c r="H18" s="330" t="s">
        <v>30</v>
      </c>
      <c r="I18" s="423">
        <v>1.0768899999999999</v>
      </c>
      <c r="J18" s="413">
        <v>1.0768899999999999</v>
      </c>
      <c r="K18" s="16"/>
      <c r="L18" s="16"/>
      <c r="M18" s="16"/>
      <c r="N18" s="16"/>
      <c r="O18" s="16"/>
      <c r="P18" s="16"/>
      <c r="Q18" s="16"/>
      <c r="S18" s="417" t="s">
        <v>883</v>
      </c>
      <c r="T18" s="374" t="s">
        <v>884</v>
      </c>
      <c r="U18" s="1" t="s">
        <v>816</v>
      </c>
      <c r="V18" s="1" t="s">
        <v>817</v>
      </c>
      <c r="W18" s="2" t="s">
        <v>885</v>
      </c>
      <c r="X18" s="3">
        <v>3</v>
      </c>
      <c r="Y18" s="360">
        <v>0.39045999999999997</v>
      </c>
      <c r="AA18" s="413">
        <v>0.39045999999999997</v>
      </c>
    </row>
    <row r="19" spans="2:27" x14ac:dyDescent="0.3">
      <c r="B19" s="330" t="s">
        <v>886</v>
      </c>
      <c r="C19" s="330" t="s">
        <v>825</v>
      </c>
      <c r="D19" s="330" t="str">
        <f>Tableau5[[#This Row],[Frontal]]&amp;" / "&amp;Tableau5[[#This Row],[Adhesif]]&amp;" / "&amp;Tableau5[[#This Row],[Backing]]</f>
        <v>Frozen Orion Diamond / Lavable / Glassine</v>
      </c>
      <c r="E19" s="330" t="s">
        <v>887</v>
      </c>
      <c r="F19" s="330" t="s">
        <v>839</v>
      </c>
      <c r="G19" s="330" t="str">
        <f>Tableau5[[#This Row],[Frontal]]&amp;Tableau5[[#This Row],[Adhesif]]</f>
        <v>Frozen Orion DiamondLavable</v>
      </c>
      <c r="H19" s="330" t="s">
        <v>30</v>
      </c>
      <c r="I19" s="423">
        <v>1.69726</v>
      </c>
      <c r="J19" s="413">
        <v>1.69726</v>
      </c>
      <c r="K19" s="16"/>
      <c r="L19" s="16"/>
      <c r="M19" s="16"/>
      <c r="N19" s="16"/>
      <c r="O19" s="16"/>
      <c r="P19" s="16"/>
      <c r="Q19" s="16"/>
      <c r="S19" s="417" t="s">
        <v>888</v>
      </c>
      <c r="T19" s="374" t="s">
        <v>889</v>
      </c>
      <c r="U19" s="1" t="s">
        <v>816</v>
      </c>
      <c r="V19" s="1" t="s">
        <v>817</v>
      </c>
      <c r="W19" s="2" t="s">
        <v>890</v>
      </c>
      <c r="X19" s="3">
        <v>3</v>
      </c>
      <c r="Y19" s="360">
        <v>0.60385</v>
      </c>
      <c r="Z19" s="1" t="s">
        <v>891</v>
      </c>
      <c r="AA19" s="413">
        <v>0.60385</v>
      </c>
    </row>
    <row r="20" spans="2:27" x14ac:dyDescent="0.3">
      <c r="B20" s="330" t="s">
        <v>892</v>
      </c>
      <c r="C20" s="330" t="s">
        <v>825</v>
      </c>
      <c r="D20" s="330" t="str">
        <f>Tableau5[[#This Row],[Frontal]]&amp;" / "&amp;Tableau5[[#This Row],[Adhesif]]&amp;" / "&amp;Tableau5[[#This Row],[Backing]]</f>
        <v>Frozen Orion Diamond / Permanent PLUS / Glassine</v>
      </c>
      <c r="E20" s="330" t="s">
        <v>887</v>
      </c>
      <c r="F20" s="422" t="s">
        <v>28</v>
      </c>
      <c r="G20" s="330" t="str">
        <f>Tableau5[[#This Row],[Frontal]]&amp;Tableau5[[#This Row],[Adhesif]]</f>
        <v>Frozen Orion DiamondPermanent PLUS</v>
      </c>
      <c r="H20" s="330" t="s">
        <v>30</v>
      </c>
      <c r="I20" s="423">
        <v>1.63737</v>
      </c>
      <c r="J20" s="413">
        <v>1.63737</v>
      </c>
      <c r="K20" s="16"/>
      <c r="L20" s="16"/>
      <c r="M20" s="16"/>
      <c r="N20" s="16"/>
      <c r="O20" s="16"/>
      <c r="P20" s="16"/>
      <c r="Q20" s="16"/>
      <c r="S20" s="417" t="s">
        <v>893</v>
      </c>
      <c r="T20" s="374" t="s">
        <v>894</v>
      </c>
      <c r="U20" s="1" t="s">
        <v>816</v>
      </c>
      <c r="V20" s="1" t="s">
        <v>817</v>
      </c>
      <c r="W20" s="2" t="s">
        <v>895</v>
      </c>
      <c r="X20" s="3">
        <v>3</v>
      </c>
      <c r="Y20" s="360">
        <v>0.45345000000000002</v>
      </c>
      <c r="AA20" s="413">
        <v>0.45345000000000002</v>
      </c>
    </row>
    <row r="21" spans="2:27" x14ac:dyDescent="0.3">
      <c r="B21" s="330" t="s">
        <v>896</v>
      </c>
      <c r="C21" s="330" t="s">
        <v>807</v>
      </c>
      <c r="D21" s="330" t="str">
        <f>Tableau5[[#This Row],[Frontal]]&amp;" / "&amp;Tableau5[[#This Row],[Adhesif]]&amp;" / "&amp;Tableau5[[#This Row],[Backing]]</f>
        <v>Sirio Pearl / Permanent PLUS / Glassine</v>
      </c>
      <c r="E21" s="330" t="s">
        <v>897</v>
      </c>
      <c r="F21" s="422" t="s">
        <v>28</v>
      </c>
      <c r="G21" s="330" t="str">
        <f>Tableau5[[#This Row],[Frontal]]&amp;Tableau5[[#This Row],[Adhesif]]</f>
        <v>Sirio PearlPermanent PLUS</v>
      </c>
      <c r="H21" s="330" t="s">
        <v>30</v>
      </c>
      <c r="I21" s="423">
        <v>1.75037</v>
      </c>
      <c r="J21" s="413">
        <v>1.75037</v>
      </c>
      <c r="K21" s="16"/>
      <c r="L21" s="16"/>
      <c r="M21" s="16"/>
      <c r="N21" s="16"/>
      <c r="O21" s="16"/>
      <c r="P21" s="16"/>
      <c r="Q21" s="16"/>
      <c r="S21" s="417" t="s">
        <v>898</v>
      </c>
      <c r="T21" s="374" t="s">
        <v>899</v>
      </c>
      <c r="U21" s="1" t="s">
        <v>816</v>
      </c>
      <c r="V21" s="1" t="s">
        <v>817</v>
      </c>
      <c r="W21" s="2" t="s">
        <v>900</v>
      </c>
      <c r="X21" s="3">
        <v>3</v>
      </c>
      <c r="Y21" s="360">
        <v>0.45345000000000002</v>
      </c>
      <c r="AA21" s="413">
        <v>0.45345000000000002</v>
      </c>
    </row>
    <row r="22" spans="2:27" x14ac:dyDescent="0.3">
      <c r="B22" s="330" t="s">
        <v>901</v>
      </c>
      <c r="C22" s="330" t="s">
        <v>807</v>
      </c>
      <c r="D22" s="330" t="str">
        <f>Tableau5[[#This Row],[Frontal]]&amp;" / "&amp;Tableau5[[#This Row],[Adhesif]]&amp;" / "&amp;Tableau5[[#This Row],[Backing]]</f>
        <v>Sirio Pearl / Permanent PLUS / PET</v>
      </c>
      <c r="E22" s="330" t="s">
        <v>897</v>
      </c>
      <c r="F22" s="422" t="s">
        <v>28</v>
      </c>
      <c r="G22" s="330" t="str">
        <f>Tableau5[[#This Row],[Frontal]]&amp;Tableau5[[#This Row],[Adhesif]]</f>
        <v>Sirio PearlPermanent PLUS</v>
      </c>
      <c r="H22" s="330" t="s">
        <v>820</v>
      </c>
      <c r="I22" s="423">
        <v>1.7729699999999999</v>
      </c>
      <c r="J22" s="413">
        <v>1.7729699999999999</v>
      </c>
      <c r="K22" s="16"/>
      <c r="L22" s="16"/>
      <c r="M22" s="16"/>
      <c r="N22" s="16"/>
      <c r="O22" s="16"/>
      <c r="P22" s="16"/>
      <c r="Q22" s="16"/>
      <c r="S22" s="417" t="s">
        <v>902</v>
      </c>
      <c r="T22" s="374" t="s">
        <v>903</v>
      </c>
      <c r="U22" s="1" t="s">
        <v>816</v>
      </c>
      <c r="V22" s="1" t="s">
        <v>817</v>
      </c>
      <c r="W22" s="2" t="s">
        <v>904</v>
      </c>
      <c r="X22" s="3">
        <v>3</v>
      </c>
      <c r="Y22" s="360">
        <v>0.45345000000000002</v>
      </c>
      <c r="AA22" s="413">
        <v>0.45345000000000002</v>
      </c>
    </row>
    <row r="23" spans="2:27" x14ac:dyDescent="0.3">
      <c r="B23" s="330" t="s">
        <v>905</v>
      </c>
      <c r="C23" s="330" t="s">
        <v>825</v>
      </c>
      <c r="D23" s="330" t="str">
        <f>Tableau5[[#This Row],[Frontal]]&amp;" / "&amp;Tableau5[[#This Row],[Adhesif]]&amp;" / "&amp;Tableau5[[#This Row],[Backing]]</f>
        <v>HGWINE P / Permanent PLUS / Glassine</v>
      </c>
      <c r="E23" s="330" t="s">
        <v>906</v>
      </c>
      <c r="F23" s="422" t="s">
        <v>28</v>
      </c>
      <c r="G23" s="330" t="str">
        <f>Tableau5[[#This Row],[Frontal]]&amp;Tableau5[[#This Row],[Adhesif]]</f>
        <v>HGWINE PPermanent PLUS</v>
      </c>
      <c r="H23" s="330" t="s">
        <v>30</v>
      </c>
      <c r="I23" s="423">
        <v>1.8306</v>
      </c>
      <c r="J23" s="413">
        <v>1.8306</v>
      </c>
      <c r="K23" s="16"/>
      <c r="L23" s="16"/>
      <c r="M23" s="16"/>
      <c r="N23" s="16"/>
      <c r="O23" s="16"/>
      <c r="P23" s="16"/>
      <c r="Q23" s="16"/>
      <c r="S23" s="417" t="s">
        <v>907</v>
      </c>
      <c r="T23" s="374" t="s">
        <v>908</v>
      </c>
      <c r="U23" s="1" t="s">
        <v>816</v>
      </c>
      <c r="V23" s="1" t="s">
        <v>817</v>
      </c>
      <c r="W23" s="2" t="s">
        <v>909</v>
      </c>
      <c r="X23" s="3">
        <v>3</v>
      </c>
      <c r="Y23" s="360">
        <v>0.62971999999999995</v>
      </c>
      <c r="AA23" s="413">
        <v>0.62971999999999995</v>
      </c>
    </row>
    <row r="24" spans="2:27" x14ac:dyDescent="0.3">
      <c r="B24" s="330" t="s">
        <v>910</v>
      </c>
      <c r="C24" s="330" t="s">
        <v>825</v>
      </c>
      <c r="D24" s="330" t="str">
        <f>Tableau5[[#This Row],[Frontal]]&amp;" / "&amp;Tableau5[[#This Row],[Adhesif]]&amp;" / "&amp;Tableau5[[#This Row],[Backing]]</f>
        <v>HGWINE P / Permanent / PET</v>
      </c>
      <c r="E24" s="330" t="s">
        <v>906</v>
      </c>
      <c r="F24" s="330" t="s">
        <v>826</v>
      </c>
      <c r="G24" s="330" t="str">
        <f>Tableau5[[#This Row],[Frontal]]&amp;Tableau5[[#This Row],[Adhesif]]</f>
        <v>HGWINE PPermanent</v>
      </c>
      <c r="H24" s="330" t="s">
        <v>820</v>
      </c>
      <c r="I24" s="423">
        <v>1.6585000000000001</v>
      </c>
      <c r="J24" s="413">
        <v>1.7515000000000001</v>
      </c>
      <c r="K24" s="16"/>
      <c r="L24" s="16"/>
      <c r="M24" s="16"/>
      <c r="N24" s="16"/>
      <c r="O24" s="16"/>
      <c r="P24" s="16"/>
      <c r="Q24" s="16"/>
      <c r="S24" s="424"/>
      <c r="T24" s="327"/>
      <c r="U24" s="328"/>
      <c r="V24" s="328"/>
      <c r="W24" s="327"/>
      <c r="X24" s="329"/>
      <c r="Y24" s="14"/>
    </row>
    <row r="25" spans="2:27" x14ac:dyDescent="0.3">
      <c r="B25" s="330" t="s">
        <v>911</v>
      </c>
      <c r="C25" s="330" t="s">
        <v>825</v>
      </c>
      <c r="D25" s="330" t="str">
        <f>Tableau5[[#This Row],[Frontal]]&amp;" / "&amp;Tableau5[[#This Row],[Adhesif]]&amp;" / "&amp;Tableau5[[#This Row],[Backing]]</f>
        <v>Velin Grain / Lavable / Glassine</v>
      </c>
      <c r="E25" s="330" t="s">
        <v>26</v>
      </c>
      <c r="F25" s="330" t="s">
        <v>839</v>
      </c>
      <c r="G25" s="330" t="str">
        <f>Tableau5[[#This Row],[Frontal]]&amp;Tableau5[[#This Row],[Adhesif]]</f>
        <v>Velin GrainLavable</v>
      </c>
      <c r="H25" s="330" t="s">
        <v>30</v>
      </c>
      <c r="I25" s="423">
        <v>1.2271799999999999</v>
      </c>
      <c r="J25" s="413">
        <v>1.2271799999999999</v>
      </c>
      <c r="K25" s="16"/>
      <c r="L25" s="16"/>
      <c r="M25" s="16"/>
      <c r="N25" s="16"/>
      <c r="O25" s="16"/>
      <c r="P25" s="16"/>
      <c r="Q25" s="16"/>
    </row>
    <row r="26" spans="2:27" x14ac:dyDescent="0.3">
      <c r="B26" s="330" t="s">
        <v>912</v>
      </c>
      <c r="C26" s="330" t="s">
        <v>825</v>
      </c>
      <c r="D26" s="330" t="str">
        <f>Tableau5[[#This Row],[Frontal]]&amp;" / "&amp;Tableau5[[#This Row],[Adhesif]]&amp;" / "&amp;Tableau5[[#This Row],[Backing]]</f>
        <v>Velin Grain / Lavable / PET</v>
      </c>
      <c r="E26" s="330" t="s">
        <v>26</v>
      </c>
      <c r="F26" s="330" t="s">
        <v>839</v>
      </c>
      <c r="G26" s="330" t="str">
        <f>Tableau5[[#This Row],[Frontal]]&amp;Tableau5[[#This Row],[Adhesif]]</f>
        <v>Velin GrainLavable</v>
      </c>
      <c r="H26" s="330" t="s">
        <v>820</v>
      </c>
      <c r="I26" s="423">
        <v>1.25091</v>
      </c>
      <c r="J26" s="413">
        <v>1.25091</v>
      </c>
      <c r="K26" s="16"/>
      <c r="L26" s="16"/>
      <c r="M26" s="16"/>
      <c r="N26" s="16"/>
      <c r="O26" s="16"/>
      <c r="P26" s="16"/>
      <c r="Q26" s="16"/>
    </row>
    <row r="27" spans="2:27" x14ac:dyDescent="0.3">
      <c r="B27" s="411" t="s">
        <v>913</v>
      </c>
      <c r="C27" s="422" t="s">
        <v>831</v>
      </c>
      <c r="D27" s="330" t="str">
        <f>Tableau5[[#This Row],[Frontal]]&amp;" / "&amp;Tableau5[[#This Row],[Adhesif]]&amp;" / "&amp;Tableau5[[#This Row],[Backing]]</f>
        <v>Velin Grain / Permanent PLUS / Glassine</v>
      </c>
      <c r="E27" s="330" t="s">
        <v>26</v>
      </c>
      <c r="F27" s="422" t="s">
        <v>28</v>
      </c>
      <c r="G27" s="330" t="str">
        <f>Tableau5[[#This Row],[Frontal]]&amp;Tableau5[[#This Row],[Adhesif]]</f>
        <v>Velin GrainPermanent PLUS</v>
      </c>
      <c r="H27" s="330" t="s">
        <v>30</v>
      </c>
      <c r="I27" s="423">
        <v>0.88490000000000002</v>
      </c>
      <c r="J27" s="413">
        <v>0.93789999999999996</v>
      </c>
      <c r="K27" s="16"/>
      <c r="L27" s="16"/>
      <c r="M27" s="16"/>
      <c r="N27" s="16"/>
      <c r="O27" s="16"/>
      <c r="P27" s="16"/>
      <c r="Q27" s="16"/>
    </row>
    <row r="28" spans="2:27" x14ac:dyDescent="0.3">
      <c r="B28" s="330" t="s">
        <v>914</v>
      </c>
      <c r="C28" s="330" t="s">
        <v>807</v>
      </c>
      <c r="D28" s="330" t="str">
        <f>Tableau5[[#This Row],[Frontal]]&amp;" / "&amp;Tableau5[[#This Row],[Adhesif]]&amp;" / "&amp;Tableau5[[#This Row],[Backing]]</f>
        <v>Velin Grain / Permanent PLUS / PET</v>
      </c>
      <c r="E28" s="330" t="s">
        <v>26</v>
      </c>
      <c r="F28" s="422" t="s">
        <v>28</v>
      </c>
      <c r="G28" s="330" t="str">
        <f>Tableau5[[#This Row],[Frontal]]&amp;Tableau5[[#This Row],[Adhesif]]</f>
        <v>Velin GrainPermanent PLUS</v>
      </c>
      <c r="H28" s="330" t="s">
        <v>820</v>
      </c>
      <c r="I28" s="423">
        <v>0.96050000000000002</v>
      </c>
      <c r="J28" s="413">
        <v>1.16503</v>
      </c>
      <c r="K28" s="16"/>
      <c r="L28" s="16"/>
      <c r="M28" s="16"/>
      <c r="N28" s="16"/>
      <c r="O28" s="16"/>
      <c r="P28" s="16"/>
      <c r="Q28" s="16"/>
    </row>
    <row r="29" spans="2:27" x14ac:dyDescent="0.3">
      <c r="B29" s="330" t="s">
        <v>915</v>
      </c>
      <c r="C29" s="330" t="s">
        <v>825</v>
      </c>
      <c r="D29" s="330" t="str">
        <f>Tableau5[[#This Row],[Frontal]]&amp;" / "&amp;Tableau5[[#This Row],[Adhesif]]&amp;" / "&amp;Tableau5[[#This Row],[Backing]]</f>
        <v>Velin Grain / Renforcé / Glassine</v>
      </c>
      <c r="E29" s="330" t="s">
        <v>26</v>
      </c>
      <c r="F29" s="330" t="s">
        <v>848</v>
      </c>
      <c r="G29" s="330" t="str">
        <f>Tableau5[[#This Row],[Frontal]]&amp;Tableau5[[#This Row],[Adhesif]]</f>
        <v>Velin GrainRenforcé</v>
      </c>
      <c r="H29" s="330" t="s">
        <v>30</v>
      </c>
      <c r="I29" s="423">
        <v>1.87354</v>
      </c>
      <c r="J29" s="413">
        <v>1.87354</v>
      </c>
      <c r="K29" s="16"/>
      <c r="L29" s="16"/>
      <c r="M29" s="16"/>
      <c r="N29" s="16"/>
      <c r="O29" s="16"/>
      <c r="P29" s="16"/>
      <c r="Q29" s="16"/>
    </row>
    <row r="30" spans="2:27" x14ac:dyDescent="0.3">
      <c r="B30" s="330" t="s">
        <v>916</v>
      </c>
      <c r="C30" s="330" t="s">
        <v>807</v>
      </c>
      <c r="D30" s="330" t="str">
        <f>Tableau5[[#This Row],[Frontal]]&amp;" / "&amp;Tableau5[[#This Row],[Adhesif]]&amp;" / "&amp;Tableau5[[#This Row],[Backing]]</f>
        <v>Velin Grain Crème / Permanent PLUS / Glassine</v>
      </c>
      <c r="E30" s="330" t="s">
        <v>917</v>
      </c>
      <c r="F30" s="422" t="s">
        <v>28</v>
      </c>
      <c r="G30" s="330" t="str">
        <f>Tableau5[[#This Row],[Frontal]]&amp;Tableau5[[#This Row],[Adhesif]]</f>
        <v>Velin Grain CrèmePermanent PLUS</v>
      </c>
      <c r="H30" s="330" t="s">
        <v>30</v>
      </c>
      <c r="I30" s="423">
        <v>0.74805999999999995</v>
      </c>
      <c r="J30" s="413">
        <v>0.74805999999999995</v>
      </c>
      <c r="K30" s="16"/>
      <c r="L30" s="16"/>
      <c r="M30" s="16"/>
      <c r="N30" s="16"/>
      <c r="O30" s="16"/>
      <c r="P30" s="16"/>
      <c r="Q30" s="16"/>
    </row>
    <row r="31" spans="2:27" x14ac:dyDescent="0.3">
      <c r="B31" s="330" t="s">
        <v>918</v>
      </c>
      <c r="C31" s="330" t="s">
        <v>807</v>
      </c>
      <c r="D31" s="330" t="str">
        <f>Tableau5[[#This Row],[Frontal]]&amp;" / "&amp;Tableau5[[#This Row],[Adhesif]]&amp;" / "&amp;Tableau5[[#This Row],[Backing]]</f>
        <v>Velin Grain Extra / Permanent PLUS / Glassine</v>
      </c>
      <c r="E31" s="330" t="s">
        <v>919</v>
      </c>
      <c r="F31" s="422" t="s">
        <v>28</v>
      </c>
      <c r="G31" s="330" t="str">
        <f>Tableau5[[#This Row],[Frontal]]&amp;Tableau5[[#This Row],[Adhesif]]</f>
        <v>Velin Grain ExtraPermanent PLUS</v>
      </c>
      <c r="H31" s="330" t="s">
        <v>30</v>
      </c>
      <c r="I31" s="423">
        <v>0.95259000000000005</v>
      </c>
      <c r="J31" s="413">
        <v>0.95259000000000005</v>
      </c>
      <c r="K31" s="16"/>
      <c r="L31" s="16"/>
      <c r="M31" s="16"/>
      <c r="N31" s="16"/>
      <c r="O31" s="16"/>
      <c r="P31" s="16"/>
      <c r="Q31" s="16"/>
    </row>
    <row r="32" spans="2:27" x14ac:dyDescent="0.3">
      <c r="B32" s="330" t="s">
        <v>920</v>
      </c>
      <c r="C32" s="330" t="s">
        <v>807</v>
      </c>
      <c r="D32" s="330" t="str">
        <f>Tableau5[[#This Row],[Frontal]]&amp;" / "&amp;Tableau5[[#This Row],[Adhesif]]&amp;" / "&amp;Tableau5[[#This Row],[Backing]]</f>
        <v>Velin Grain Extra / Permanent PLUS / PET</v>
      </c>
      <c r="E32" s="330" t="s">
        <v>919</v>
      </c>
      <c r="F32" s="422" t="s">
        <v>28</v>
      </c>
      <c r="G32" s="330" t="str">
        <f>Tableau5[[#This Row],[Frontal]]&amp;Tableau5[[#This Row],[Adhesif]]</f>
        <v>Velin Grain ExtraPermanent PLUS</v>
      </c>
      <c r="H32" s="330" t="s">
        <v>820</v>
      </c>
      <c r="I32" s="423">
        <v>1.60347</v>
      </c>
      <c r="J32" s="413">
        <v>1.60347</v>
      </c>
      <c r="K32" s="16"/>
      <c r="L32" s="16"/>
      <c r="M32" s="16"/>
      <c r="N32" s="16"/>
      <c r="O32" s="16"/>
      <c r="P32" s="16"/>
      <c r="Q32" s="16"/>
    </row>
    <row r="33" spans="2:17" x14ac:dyDescent="0.3">
      <c r="B33" s="330" t="s">
        <v>921</v>
      </c>
      <c r="C33" s="330" t="s">
        <v>807</v>
      </c>
      <c r="D33" s="330" t="str">
        <f>Tableau5[[#This Row],[Frontal]]&amp;" / "&amp;Tableau5[[#This Row],[Adhesif]]&amp;" / "&amp;Tableau5[[#This Row],[Backing]]</f>
        <v>Freelife MERIDA / Permanent PLUS / Glassine</v>
      </c>
      <c r="E33" s="330" t="s">
        <v>922</v>
      </c>
      <c r="F33" s="422" t="s">
        <v>28</v>
      </c>
      <c r="G33" s="330" t="str">
        <f>Tableau5[[#This Row],[Frontal]]&amp;Tableau5[[#This Row],[Adhesif]]</f>
        <v>Freelife MERIDAPermanent PLUS</v>
      </c>
      <c r="H33" s="330" t="s">
        <v>30</v>
      </c>
      <c r="I33" s="423">
        <v>1.24187</v>
      </c>
      <c r="J33" s="413">
        <v>1.24187</v>
      </c>
      <c r="K33" s="16"/>
      <c r="L33" s="16"/>
      <c r="M33" s="16"/>
      <c r="N33" s="16"/>
      <c r="O33" s="16"/>
      <c r="P33" s="16"/>
      <c r="Q33" s="16"/>
    </row>
    <row r="34" spans="2:17" x14ac:dyDescent="0.3">
      <c r="B34" s="330" t="s">
        <v>923</v>
      </c>
      <c r="C34" s="330" t="s">
        <v>825</v>
      </c>
      <c r="D34" s="330" t="str">
        <f>Tableau5[[#This Row],[Frontal]]&amp;" / "&amp;Tableau5[[#This Row],[Adhesif]]&amp;" / "&amp;Tableau5[[#This Row],[Backing]]</f>
        <v>Martelé blanc / Permanent / Glassine</v>
      </c>
      <c r="E34" s="330" t="s">
        <v>924</v>
      </c>
      <c r="F34" s="330" t="s">
        <v>826</v>
      </c>
      <c r="G34" s="330" t="str">
        <f>Tableau5[[#This Row],[Frontal]]&amp;Tableau5[[#This Row],[Adhesif]]</f>
        <v>Martelé blancPermanent</v>
      </c>
      <c r="H34" s="330" t="s">
        <v>30</v>
      </c>
      <c r="I34" s="423">
        <v>0.76183999999999996</v>
      </c>
      <c r="J34" s="413">
        <v>0.86445000000000005</v>
      </c>
      <c r="K34" s="16"/>
      <c r="L34" s="16"/>
      <c r="M34" s="16"/>
      <c r="N34" s="16"/>
      <c r="O34" s="16"/>
      <c r="P34" s="16"/>
      <c r="Q34" s="16"/>
    </row>
    <row r="35" spans="2:17" x14ac:dyDescent="0.3">
      <c r="B35" s="330" t="s">
        <v>925</v>
      </c>
      <c r="C35" s="330" t="s">
        <v>825</v>
      </c>
      <c r="D35" s="330" t="str">
        <f>Tableau5[[#This Row],[Frontal]]&amp;" / "&amp;Tableau5[[#This Row],[Adhesif]]&amp;" / "&amp;Tableau5[[#This Row],[Backing]]</f>
        <v>Martelé blanc / Permanent PLUS / PET</v>
      </c>
      <c r="E35" s="330" t="s">
        <v>924</v>
      </c>
      <c r="F35" s="422" t="s">
        <v>28</v>
      </c>
      <c r="G35" s="330" t="str">
        <f>Tableau5[[#This Row],[Frontal]]&amp;Tableau5[[#This Row],[Adhesif]]</f>
        <v>Martelé blancPermanent PLUS</v>
      </c>
      <c r="H35" s="330" t="s">
        <v>820</v>
      </c>
      <c r="I35" s="423">
        <v>1.3819900000000001</v>
      </c>
      <c r="J35" s="413">
        <v>1.3819900000000001</v>
      </c>
      <c r="K35" s="16"/>
      <c r="L35" s="16"/>
      <c r="M35" s="16"/>
      <c r="N35" s="16"/>
      <c r="O35" s="16"/>
      <c r="P35" s="16"/>
      <c r="Q35" s="16"/>
    </row>
    <row r="36" spans="2:17" x14ac:dyDescent="0.3">
      <c r="B36" s="330" t="s">
        <v>926</v>
      </c>
      <c r="C36" s="330" t="s">
        <v>825</v>
      </c>
      <c r="D36" s="330" t="str">
        <f>Tableau5[[#This Row],[Frontal]]&amp;" / "&amp;Tableau5[[#This Row],[Adhesif]]&amp;" / "&amp;Tableau5[[#This Row],[Backing]]</f>
        <v>Martelé blanc / Renforcé / Glassine</v>
      </c>
      <c r="E36" s="330" t="s">
        <v>924</v>
      </c>
      <c r="F36" s="330" t="s">
        <v>848</v>
      </c>
      <c r="G36" s="330" t="str">
        <f>Tableau5[[#This Row],[Frontal]]&amp;Tableau5[[#This Row],[Adhesif]]</f>
        <v>Martelé blancRenforcé</v>
      </c>
      <c r="H36" s="330" t="s">
        <v>30</v>
      </c>
      <c r="I36" s="423">
        <v>1.2689900000000001</v>
      </c>
      <c r="J36" s="413">
        <v>1.2689900000000001</v>
      </c>
      <c r="K36" s="16"/>
      <c r="L36" s="16"/>
      <c r="M36" s="16"/>
      <c r="N36" s="16"/>
      <c r="O36" s="16"/>
      <c r="P36" s="16"/>
      <c r="Q36" s="16"/>
    </row>
    <row r="37" spans="2:17" x14ac:dyDescent="0.3">
      <c r="B37" s="411" t="s">
        <v>927</v>
      </c>
      <c r="C37" s="330" t="s">
        <v>825</v>
      </c>
      <c r="D37" s="330" t="str">
        <f>Tableau5[[#This Row],[Frontal]]&amp;" / "&amp;Tableau5[[#This Row],[Adhesif]]&amp;" / "&amp;Tableau5[[#This Row],[Backing]]</f>
        <v>Métallisé Argent / Permanent PLUS / Glassine</v>
      </c>
      <c r="E37" s="330" t="s">
        <v>928</v>
      </c>
      <c r="F37" s="422" t="s">
        <v>28</v>
      </c>
      <c r="G37" s="330" t="str">
        <f>Tableau5[[#This Row],[Frontal]]&amp;Tableau5[[#This Row],[Adhesif]]</f>
        <v>Métallisé ArgentPermanent PLUS</v>
      </c>
      <c r="H37" s="330" t="s">
        <v>30</v>
      </c>
      <c r="I37" s="423">
        <v>0.86670000000000003</v>
      </c>
      <c r="J37" s="413">
        <v>1.03508</v>
      </c>
      <c r="K37" s="16"/>
      <c r="L37" s="16"/>
      <c r="M37" s="16"/>
      <c r="N37" s="16"/>
      <c r="O37" s="16"/>
      <c r="P37" s="16"/>
      <c r="Q37" s="16"/>
    </row>
    <row r="38" spans="2:17" x14ac:dyDescent="0.3">
      <c r="B38" s="330" t="s">
        <v>929</v>
      </c>
      <c r="C38" s="330" t="s">
        <v>837</v>
      </c>
      <c r="D38" s="330" t="str">
        <f>Tableau5[[#This Row],[Frontal]]&amp;" / "&amp;Tableau5[[#This Row],[Adhesif]]&amp;" / "&amp;Tableau5[[#This Row],[Backing]]</f>
        <v>Métallisé Argent / Renforcé / Glassine</v>
      </c>
      <c r="E38" s="330" t="s">
        <v>928</v>
      </c>
      <c r="F38" s="330" t="s">
        <v>848</v>
      </c>
      <c r="G38" s="330" t="str">
        <f>Tableau5[[#This Row],[Frontal]]&amp;Tableau5[[#This Row],[Adhesif]]</f>
        <v>Métallisé ArgentRenforcé</v>
      </c>
      <c r="H38" s="330" t="s">
        <v>30</v>
      </c>
      <c r="I38" s="423">
        <v>0.92095000000000005</v>
      </c>
      <c r="J38" s="413">
        <v>0.92095000000000005</v>
      </c>
      <c r="K38" s="16"/>
      <c r="L38" s="16"/>
      <c r="M38" s="16"/>
      <c r="N38" s="16"/>
      <c r="O38" s="16"/>
      <c r="P38" s="16"/>
      <c r="Q38" s="16"/>
    </row>
    <row r="39" spans="2:17" x14ac:dyDescent="0.3">
      <c r="B39" s="330" t="s">
        <v>930</v>
      </c>
      <c r="C39" s="330" t="s">
        <v>825</v>
      </c>
      <c r="D39" s="330" t="str">
        <f>Tableau5[[#This Row],[Frontal]]&amp;" / "&amp;Tableau5[[#This Row],[Adhesif]]&amp;" / "&amp;Tableau5[[#This Row],[Backing]]</f>
        <v>Velin Blanc / Lavable / Glassine</v>
      </c>
      <c r="E39" s="330" t="s">
        <v>931</v>
      </c>
      <c r="F39" s="330" t="s">
        <v>839</v>
      </c>
      <c r="G39" s="330" t="str">
        <f>Tableau5[[#This Row],[Frontal]]&amp;Tableau5[[#This Row],[Adhesif]]</f>
        <v>Velin BlancLavable</v>
      </c>
      <c r="H39" s="330" t="s">
        <v>30</v>
      </c>
      <c r="I39" s="423">
        <v>1.0057</v>
      </c>
      <c r="J39" s="413">
        <v>1.0057</v>
      </c>
      <c r="K39" s="16"/>
      <c r="L39" s="16"/>
      <c r="M39" s="16"/>
      <c r="N39" s="16"/>
      <c r="O39" s="16"/>
      <c r="P39" s="16"/>
      <c r="Q39" s="16"/>
    </row>
    <row r="40" spans="2:17" x14ac:dyDescent="0.3">
      <c r="B40" s="330" t="s">
        <v>932</v>
      </c>
      <c r="C40" s="330" t="s">
        <v>825</v>
      </c>
      <c r="D40" s="330" t="str">
        <f>Tableau5[[#This Row],[Frontal]]&amp;" / "&amp;Tableau5[[#This Row],[Adhesif]]&amp;" / "&amp;Tableau5[[#This Row],[Backing]]</f>
        <v>Velin Blanc / Lavable / PET</v>
      </c>
      <c r="E40" s="330" t="s">
        <v>931</v>
      </c>
      <c r="F40" s="330" t="s">
        <v>839</v>
      </c>
      <c r="G40" s="330" t="str">
        <f>Tableau5[[#This Row],[Frontal]]&amp;Tableau5[[#This Row],[Adhesif]]</f>
        <v>Velin BlancLavable</v>
      </c>
      <c r="H40" s="330" t="s">
        <v>820</v>
      </c>
      <c r="I40" s="423">
        <v>1.1384799999999999</v>
      </c>
      <c r="J40" s="413">
        <v>1.2396100000000001</v>
      </c>
      <c r="K40" s="16"/>
      <c r="L40" s="16"/>
      <c r="M40" s="16"/>
      <c r="N40" s="16"/>
      <c r="O40" s="16"/>
      <c r="P40" s="16"/>
      <c r="Q40" s="16"/>
    </row>
    <row r="41" spans="2:17" x14ac:dyDescent="0.3">
      <c r="B41" s="330" t="s">
        <v>933</v>
      </c>
      <c r="C41" s="330" t="s">
        <v>825</v>
      </c>
      <c r="D41" s="330" t="str">
        <f>Tableau5[[#This Row],[Frontal]]&amp;" / "&amp;Tableau5[[#This Row],[Adhesif]]&amp;" / "&amp;Tableau5[[#This Row],[Backing]]</f>
        <v>Velin Blanc / Permanent / Glassine</v>
      </c>
      <c r="E41" s="330" t="s">
        <v>931</v>
      </c>
      <c r="F41" s="330" t="s">
        <v>826</v>
      </c>
      <c r="G41" s="331" t="str">
        <f>Tableau5[[#This Row],[Frontal]]&amp;Tableau5[[#This Row],[Adhesif]]</f>
        <v>Velin BlancPermanent</v>
      </c>
      <c r="H41" s="422" t="s">
        <v>30</v>
      </c>
      <c r="I41" s="423">
        <v>0.65805000000000002</v>
      </c>
      <c r="J41" s="413">
        <v>1.02</v>
      </c>
      <c r="K41" s="16"/>
      <c r="L41" s="16"/>
      <c r="M41" s="16"/>
      <c r="N41" s="16"/>
      <c r="O41" s="16"/>
      <c r="P41" s="16"/>
      <c r="Q41" s="16"/>
    </row>
    <row r="42" spans="2:17" x14ac:dyDescent="0.3">
      <c r="B42" s="412" t="s">
        <v>934</v>
      </c>
      <c r="C42" s="402" t="s">
        <v>825</v>
      </c>
      <c r="D42" s="402" t="str">
        <f>Tableau5[[#This Row],[Frontal]]&amp;" / "&amp;Tableau5[[#This Row],[Adhesif]]&amp;" / "&amp;Tableau5[[#This Row],[Backing]]</f>
        <v>Velin Blanc / Permanent PLUS / Glassine</v>
      </c>
      <c r="E42" s="402" t="s">
        <v>931</v>
      </c>
      <c r="F42" s="402" t="s">
        <v>28</v>
      </c>
      <c r="G42" s="402" t="str">
        <f>Tableau5[[#This Row],[Frontal]]&amp;Tableau5[[#This Row],[Adhesif]]</f>
        <v>Velin BlancPermanent PLUS</v>
      </c>
      <c r="H42" s="402" t="s">
        <v>30</v>
      </c>
      <c r="I42" s="423">
        <v>0.93945999999999996</v>
      </c>
      <c r="J42" s="413">
        <v>1.0938399999999999</v>
      </c>
      <c r="K42" s="16"/>
      <c r="L42" s="16"/>
      <c r="M42" s="16"/>
      <c r="N42" s="16"/>
      <c r="O42" s="16"/>
      <c r="P42" s="16"/>
      <c r="Q42" s="16"/>
    </row>
    <row r="43" spans="2:17" x14ac:dyDescent="0.3">
      <c r="B43" s="411" t="s">
        <v>935</v>
      </c>
      <c r="C43" s="330" t="s">
        <v>825</v>
      </c>
      <c r="D43" s="330" t="str">
        <f>Tableau5[[#This Row],[Frontal]]&amp;" / "&amp;Tableau5[[#This Row],[Adhesif]]&amp;" / "&amp;Tableau5[[#This Row],[Backing]]</f>
        <v>Velin Blanc / Permanent PLUS / PET</v>
      </c>
      <c r="E43" s="330" t="s">
        <v>931</v>
      </c>
      <c r="F43" s="422" t="s">
        <v>28</v>
      </c>
      <c r="G43" s="330" t="str">
        <f>Tableau5[[#This Row],[Frontal]]&amp;Tableau5[[#This Row],[Adhesif]]</f>
        <v>Velin BlancPermanent PLUS</v>
      </c>
      <c r="H43" s="330" t="s">
        <v>820</v>
      </c>
      <c r="I43" s="423">
        <v>1.0701099999999999</v>
      </c>
      <c r="J43" s="413">
        <v>1.2430000000000001</v>
      </c>
      <c r="K43" s="16"/>
      <c r="L43" s="16"/>
      <c r="M43" s="16"/>
      <c r="N43" s="16"/>
      <c r="O43" s="16"/>
      <c r="P43" s="16"/>
      <c r="Q43" s="16"/>
    </row>
    <row r="44" spans="2:17" x14ac:dyDescent="0.3">
      <c r="B44" s="330" t="s">
        <v>936</v>
      </c>
      <c r="C44" s="330" t="s">
        <v>825</v>
      </c>
      <c r="D44" s="330" t="str">
        <f>Tableau5[[#This Row],[Frontal]]&amp;" / "&amp;Tableau5[[#This Row],[Adhesif]]&amp;" / "&amp;Tableau5[[#This Row],[Backing]]</f>
        <v>Velin Crème / Lavable / Glassine</v>
      </c>
      <c r="E44" s="330" t="s">
        <v>937</v>
      </c>
      <c r="F44" s="330" t="s">
        <v>839</v>
      </c>
      <c r="G44" s="330" t="str">
        <f>Tableau5[[#This Row],[Frontal]]&amp;Tableau5[[#This Row],[Adhesif]]</f>
        <v>Velin CrèmeLavable</v>
      </c>
      <c r="H44" s="330" t="s">
        <v>30</v>
      </c>
      <c r="I44" s="423">
        <v>0.93089999999999995</v>
      </c>
      <c r="J44" s="413">
        <v>1.1492100000000001</v>
      </c>
      <c r="K44" s="16"/>
      <c r="L44" s="16"/>
      <c r="M44" s="16"/>
      <c r="N44" s="16"/>
      <c r="O44" s="16"/>
      <c r="P44" s="16"/>
      <c r="Q44" s="16"/>
    </row>
    <row r="45" spans="2:17" x14ac:dyDescent="0.3">
      <c r="B45" s="330" t="s">
        <v>938</v>
      </c>
      <c r="C45" s="330" t="s">
        <v>825</v>
      </c>
      <c r="D45" s="330" t="str">
        <f>Tableau5[[#This Row],[Frontal]]&amp;" / "&amp;Tableau5[[#This Row],[Adhesif]]&amp;" / "&amp;Tableau5[[#This Row],[Backing]]</f>
        <v>Velin Crème / Permanent / Glassine</v>
      </c>
      <c r="E45" s="330" t="s">
        <v>937</v>
      </c>
      <c r="F45" s="330" t="s">
        <v>826</v>
      </c>
      <c r="G45" s="330" t="str">
        <f>Tableau5[[#This Row],[Frontal]]&amp;Tableau5[[#This Row],[Adhesif]]</f>
        <v>Velin CrèmePermanent</v>
      </c>
      <c r="H45" s="330" t="s">
        <v>30</v>
      </c>
      <c r="I45" s="423">
        <v>0.71980999999999995</v>
      </c>
      <c r="J45" s="413">
        <v>0.71980999999999995</v>
      </c>
      <c r="K45" s="16"/>
      <c r="L45" s="16"/>
      <c r="M45" s="16"/>
      <c r="N45" s="16"/>
      <c r="O45" s="16"/>
      <c r="P45" s="16"/>
      <c r="Q45" s="16"/>
    </row>
    <row r="46" spans="2:17" x14ac:dyDescent="0.3">
      <c r="B46" s="330" t="s">
        <v>939</v>
      </c>
      <c r="C46" s="330" t="s">
        <v>807</v>
      </c>
      <c r="D46" s="330" t="str">
        <f>Tableau5[[#This Row],[Frontal]]&amp;" / "&amp;Tableau5[[#This Row],[Adhesif]]&amp;" / "&amp;Tableau5[[#This Row],[Backing]]</f>
        <v>Velin Extra Blanc / Permanent PLUS / Glassine</v>
      </c>
      <c r="E46" s="330" t="s">
        <v>940</v>
      </c>
      <c r="F46" s="422" t="s">
        <v>28</v>
      </c>
      <c r="G46" s="330" t="str">
        <f>Tableau5[[#This Row],[Frontal]]&amp;Tableau5[[#This Row],[Adhesif]]</f>
        <v>Velin Extra BlancPermanent PLUS</v>
      </c>
      <c r="H46" s="330" t="s">
        <v>30</v>
      </c>
      <c r="I46" s="423">
        <v>1.10175</v>
      </c>
      <c r="J46" s="413">
        <v>1.10175</v>
      </c>
      <c r="K46" s="16"/>
      <c r="L46" s="16"/>
      <c r="M46" s="16"/>
      <c r="N46" s="16"/>
      <c r="O46" s="16"/>
      <c r="P46" s="16"/>
      <c r="Q46" s="16"/>
    </row>
    <row r="47" spans="2:17" x14ac:dyDescent="0.3">
      <c r="B47" s="330" t="s">
        <v>941</v>
      </c>
      <c r="C47" s="330" t="s">
        <v>825</v>
      </c>
      <c r="D47" s="330" t="str">
        <f>Tableau5[[#This Row],[Frontal]]&amp;" / "&amp;Tableau5[[#This Row],[Adhesif]]&amp;" / "&amp;Tableau5[[#This Row],[Backing]]</f>
        <v>PE 150 Blanc / Permanent / Glassine</v>
      </c>
      <c r="E47" s="330" t="s">
        <v>942</v>
      </c>
      <c r="F47" s="330" t="s">
        <v>826</v>
      </c>
      <c r="G47" s="330" t="str">
        <f>Tableau5[[#This Row],[Frontal]]&amp;Tableau5[[#This Row],[Adhesif]]</f>
        <v>PE 150 BlancPermanent</v>
      </c>
      <c r="H47" s="330" t="s">
        <v>30</v>
      </c>
      <c r="I47" s="423">
        <v>1.66788</v>
      </c>
      <c r="J47" s="413">
        <v>1.66788</v>
      </c>
      <c r="K47" s="16"/>
      <c r="L47" s="16"/>
      <c r="M47" s="16"/>
      <c r="N47" s="16"/>
      <c r="O47" s="16"/>
      <c r="P47" s="16"/>
      <c r="Q47" s="16"/>
    </row>
    <row r="48" spans="2:17" x14ac:dyDescent="0.3">
      <c r="B48" s="330" t="s">
        <v>943</v>
      </c>
      <c r="C48" s="330" t="s">
        <v>825</v>
      </c>
      <c r="D48" s="330" t="str">
        <f>Tableau5[[#This Row],[Frontal]]&amp;" / "&amp;Tableau5[[#This Row],[Adhesif]]&amp;" / "&amp;Tableau5[[#This Row],[Backing]]</f>
        <v>PE 150 Blanc / Renforcé / Glassine</v>
      </c>
      <c r="E48" s="330" t="s">
        <v>942</v>
      </c>
      <c r="F48" s="330" t="s">
        <v>848</v>
      </c>
      <c r="G48" s="330" t="str">
        <f>Tableau5[[#This Row],[Frontal]]&amp;Tableau5[[#This Row],[Adhesif]]</f>
        <v>PE 150 BlancRenforcé</v>
      </c>
      <c r="H48" s="330" t="s">
        <v>30</v>
      </c>
      <c r="I48" s="423">
        <v>1.7289000000000001</v>
      </c>
      <c r="J48" s="413">
        <v>1.7289000000000001</v>
      </c>
      <c r="K48" s="16"/>
      <c r="L48" s="16"/>
      <c r="M48" s="16"/>
      <c r="N48" s="16"/>
      <c r="O48" s="16"/>
      <c r="P48" s="16"/>
      <c r="Q48" s="16"/>
    </row>
    <row r="49" spans="2:17" x14ac:dyDescent="0.3">
      <c r="B49" s="330" t="s">
        <v>944</v>
      </c>
      <c r="C49" s="330" t="s">
        <v>825</v>
      </c>
      <c r="D49" s="330" t="str">
        <f>Tableau5[[#This Row],[Frontal]]&amp;" / "&amp;Tableau5[[#This Row],[Adhesif]]&amp;" / "&amp;Tableau5[[#This Row],[Backing]]</f>
        <v>PE 85 Transparent / Permanent / Glassine</v>
      </c>
      <c r="E49" s="330" t="s">
        <v>945</v>
      </c>
      <c r="F49" s="330" t="s">
        <v>826</v>
      </c>
      <c r="G49" s="330" t="str">
        <f>Tableau5[[#This Row],[Frontal]]&amp;Tableau5[[#This Row],[Adhesif]]</f>
        <v>PE 85 TransparentPermanent</v>
      </c>
      <c r="H49" s="330" t="s">
        <v>30</v>
      </c>
      <c r="I49" s="423">
        <v>0.54891000000000001</v>
      </c>
      <c r="J49" s="413">
        <v>0.58533999999999997</v>
      </c>
      <c r="K49" s="16"/>
      <c r="L49" s="16"/>
      <c r="M49" s="16"/>
      <c r="N49" s="16"/>
      <c r="O49" s="16"/>
      <c r="P49" s="16"/>
      <c r="Q49" s="16"/>
    </row>
    <row r="50" spans="2:17" x14ac:dyDescent="0.3">
      <c r="B50" s="330" t="s">
        <v>946</v>
      </c>
      <c r="C50" s="330" t="s">
        <v>825</v>
      </c>
      <c r="D50" s="330" t="str">
        <f>Tableau5[[#This Row],[Frontal]]&amp;" / "&amp;Tableau5[[#This Row],[Adhesif]]&amp;" / "&amp;Tableau5[[#This Row],[Backing]]</f>
        <v>PP 50 Blanc / Lavable / Glassine</v>
      </c>
      <c r="E50" s="330" t="s">
        <v>947</v>
      </c>
      <c r="F50" s="330" t="s">
        <v>839</v>
      </c>
      <c r="G50" s="330" t="str">
        <f>Tableau5[[#This Row],[Frontal]]&amp;Tableau5[[#This Row],[Adhesif]]</f>
        <v>PP 50 BlancLavable</v>
      </c>
      <c r="H50" s="330" t="s">
        <v>30</v>
      </c>
      <c r="I50" s="423">
        <v>0.43763000000000002</v>
      </c>
      <c r="J50" s="413">
        <v>0.49154999999999999</v>
      </c>
      <c r="K50" s="16"/>
      <c r="L50" s="16"/>
      <c r="M50" s="16"/>
      <c r="N50" s="16"/>
      <c r="O50" s="16"/>
      <c r="P50" s="16"/>
      <c r="Q50" s="16"/>
    </row>
    <row r="51" spans="2:17" x14ac:dyDescent="0.3">
      <c r="B51" s="330" t="s">
        <v>948</v>
      </c>
      <c r="C51" s="330" t="s">
        <v>949</v>
      </c>
      <c r="D51" s="330" t="str">
        <f>Tableau5[[#This Row],[Frontal]]&amp;" / "&amp;Tableau5[[#This Row],[Adhesif]]&amp;" / "&amp;Tableau5[[#This Row],[Backing]]</f>
        <v>PP 50 Blanc / Permanent / Glassine</v>
      </c>
      <c r="E51" s="330" t="s">
        <v>947</v>
      </c>
      <c r="F51" s="330" t="s">
        <v>826</v>
      </c>
      <c r="G51" s="330" t="str">
        <f>Tableau5[[#This Row],[Frontal]]&amp;Tableau5[[#This Row],[Adhesif]]</f>
        <v>PP 50 BlancPermanent</v>
      </c>
      <c r="H51" s="330" t="s">
        <v>30</v>
      </c>
      <c r="I51" s="423">
        <v>0.49220000000000003</v>
      </c>
      <c r="J51" s="413">
        <v>0.54049999999999998</v>
      </c>
      <c r="K51" s="16"/>
      <c r="L51" s="16"/>
      <c r="M51" s="16"/>
      <c r="N51" s="16"/>
      <c r="O51" s="16"/>
      <c r="P51" s="16"/>
      <c r="Q51" s="16"/>
    </row>
    <row r="52" spans="2:17" x14ac:dyDescent="0.3">
      <c r="B52" s="411" t="s">
        <v>950</v>
      </c>
      <c r="C52" s="330" t="s">
        <v>825</v>
      </c>
      <c r="D52" s="330" t="str">
        <f>Tableau5[[#This Row],[Frontal]]&amp;" / "&amp;Tableau5[[#This Row],[Adhesif]]&amp;" / "&amp;Tableau5[[#This Row],[Backing]]</f>
        <v>PP 60 Transparent / Permanent / Glassine</v>
      </c>
      <c r="E52" s="330" t="s">
        <v>951</v>
      </c>
      <c r="F52" s="330" t="s">
        <v>826</v>
      </c>
      <c r="G52" s="330" t="str">
        <f>Tableau5[[#This Row],[Frontal]]&amp;Tableau5[[#This Row],[Adhesif]]</f>
        <v>PP 60 TransparentPermanent</v>
      </c>
      <c r="H52" s="330" t="s">
        <v>30</v>
      </c>
      <c r="I52" s="423">
        <v>0.44940000000000002</v>
      </c>
      <c r="J52" s="413">
        <v>0.48364000000000001</v>
      </c>
      <c r="K52" s="16"/>
      <c r="L52" s="16"/>
      <c r="M52" s="16"/>
      <c r="N52" s="16"/>
      <c r="O52" s="16"/>
      <c r="P52" s="16"/>
      <c r="Q52" s="16"/>
    </row>
    <row r="53" spans="2:17" x14ac:dyDescent="0.3">
      <c r="B53" s="411" t="s">
        <v>952</v>
      </c>
      <c r="C53" s="422" t="s">
        <v>837</v>
      </c>
      <c r="D53" s="330" t="str">
        <f>Tableau5[[#This Row],[Frontal]]&amp;" / "&amp;Tableau5[[#This Row],[Adhesif]]&amp;" / "&amp;Tableau5[[#This Row],[Backing]]</f>
        <v>PP 60 Blanc / Permanent / Glassine</v>
      </c>
      <c r="E53" s="330" t="s">
        <v>953</v>
      </c>
      <c r="F53" s="330" t="s">
        <v>826</v>
      </c>
      <c r="G53" s="330" t="str">
        <f>Tableau5[[#This Row],[Frontal]]&amp;Tableau5[[#This Row],[Adhesif]]</f>
        <v>PP 60 BlancPermanent</v>
      </c>
      <c r="H53" s="330" t="s">
        <v>30</v>
      </c>
      <c r="I53" s="423">
        <v>0.45539000000000002</v>
      </c>
      <c r="J53" s="413">
        <v>0.51188999999999996</v>
      </c>
      <c r="K53" s="16"/>
      <c r="L53" s="16"/>
      <c r="M53" s="16"/>
      <c r="N53" s="16"/>
      <c r="O53" s="16"/>
      <c r="P53" s="16"/>
      <c r="Q53" s="16"/>
    </row>
    <row r="54" spans="2:17" x14ac:dyDescent="0.3">
      <c r="B54" s="330" t="s">
        <v>954</v>
      </c>
      <c r="C54" s="330" t="s">
        <v>825</v>
      </c>
      <c r="D54" s="330" t="str">
        <f>Tableau5[[#This Row],[Frontal]]&amp;" / "&amp;Tableau5[[#This Row],[Adhesif]]&amp;" / "&amp;Tableau5[[#This Row],[Backing]]</f>
        <v>PP 60 Transparent / Permanent / PET</v>
      </c>
      <c r="E54" s="330" t="s">
        <v>951</v>
      </c>
      <c r="F54" s="330" t="s">
        <v>826</v>
      </c>
      <c r="G54" s="330" t="str">
        <f>Tableau5[[#This Row],[Frontal]]&amp;Tableau5[[#This Row],[Adhesif]]</f>
        <v>PP 60 TransparentPermanent</v>
      </c>
      <c r="H54" s="330" t="s">
        <v>820</v>
      </c>
      <c r="I54" s="423">
        <v>0.55210000000000004</v>
      </c>
      <c r="J54" s="413">
        <v>0.59550999999999998</v>
      </c>
      <c r="K54" s="16"/>
      <c r="L54" s="16"/>
      <c r="M54" s="16"/>
      <c r="N54" s="16"/>
      <c r="O54" s="16"/>
      <c r="P54" s="16"/>
      <c r="Q54" s="16"/>
    </row>
    <row r="55" spans="2:17" x14ac:dyDescent="0.3">
      <c r="B55" s="330" t="s">
        <v>955</v>
      </c>
      <c r="C55" s="330" t="s">
        <v>825</v>
      </c>
      <c r="D55" s="330" t="str">
        <f>Tableau5[[#This Row],[Frontal]]&amp;" / "&amp;Tableau5[[#This Row],[Adhesif]]&amp;" / "&amp;Tableau5[[#This Row],[Backing]]</f>
        <v>PP 60 Transparent / Renforcé / Glassine</v>
      </c>
      <c r="E55" s="330" t="s">
        <v>951</v>
      </c>
      <c r="F55" s="330" t="s">
        <v>848</v>
      </c>
      <c r="G55" s="330" t="str">
        <f>Tableau5[[#This Row],[Frontal]]&amp;Tableau5[[#This Row],[Adhesif]]</f>
        <v>PP 60 TransparentRenforcé</v>
      </c>
      <c r="H55" s="330" t="s">
        <v>30</v>
      </c>
      <c r="I55" s="423">
        <v>1.50403</v>
      </c>
      <c r="J55" s="413">
        <v>1.50403</v>
      </c>
      <c r="K55" s="16"/>
      <c r="L55" s="16"/>
      <c r="M55" s="16"/>
      <c r="N55" s="16"/>
      <c r="O55" s="16"/>
      <c r="P55" s="16"/>
      <c r="Q55" s="16"/>
    </row>
    <row r="56" spans="2:17" x14ac:dyDescent="0.3">
      <c r="B56" s="330" t="s">
        <v>956</v>
      </c>
      <c r="C56" s="330" t="s">
        <v>825</v>
      </c>
      <c r="D56" s="330" t="str">
        <f>Tableau5[[#This Row],[Frontal]]&amp;" / "&amp;Tableau5[[#This Row],[Adhesif]]&amp;" / "&amp;Tableau5[[#This Row],[Backing]]</f>
        <v>PP 60 Blanc / Renforcé / Glassine</v>
      </c>
      <c r="E56" s="330" t="s">
        <v>953</v>
      </c>
      <c r="F56" s="330" t="s">
        <v>848</v>
      </c>
      <c r="G56" s="330" t="str">
        <f>Tableau5[[#This Row],[Frontal]]&amp;Tableau5[[#This Row],[Adhesif]]</f>
        <v>PP 60 BlancRenforcé</v>
      </c>
      <c r="H56" s="330" t="s">
        <v>30</v>
      </c>
      <c r="I56" s="423">
        <v>0.95823999999999998</v>
      </c>
      <c r="J56" s="413">
        <v>0.95823999999999998</v>
      </c>
      <c r="K56" s="16"/>
      <c r="L56" s="16"/>
      <c r="M56" s="16"/>
      <c r="N56" s="16"/>
      <c r="O56" s="16"/>
      <c r="P56" s="16"/>
      <c r="Q56" s="16"/>
    </row>
    <row r="57" spans="2:17" x14ac:dyDescent="0.3">
      <c r="B57" s="330" t="s">
        <v>957</v>
      </c>
      <c r="C57" s="330" t="s">
        <v>825</v>
      </c>
      <c r="D57" s="330" t="str">
        <f>Tableau5[[#This Row],[Frontal]]&amp;" / "&amp;Tableau5[[#This Row],[Adhesif]]&amp;" / "&amp;Tableau5[[#This Row],[Backing]]</f>
        <v>PP 60 Transparent / Renforcé / PET</v>
      </c>
      <c r="E57" s="330" t="s">
        <v>951</v>
      </c>
      <c r="F57" s="330" t="s">
        <v>848</v>
      </c>
      <c r="G57" s="330" t="str">
        <f>Tableau5[[#This Row],[Frontal]]&amp;Tableau5[[#This Row],[Adhesif]]</f>
        <v>PP 60 TransparentRenforcé</v>
      </c>
      <c r="H57" s="330" t="s">
        <v>820</v>
      </c>
      <c r="I57" s="423">
        <v>1.6091200000000001</v>
      </c>
      <c r="J57" s="413">
        <v>1.6091200000000001</v>
      </c>
      <c r="K57" s="16"/>
      <c r="L57" s="16"/>
      <c r="M57" s="16"/>
      <c r="N57" s="16"/>
      <c r="O57" s="16"/>
      <c r="P57" s="16"/>
      <c r="Q57" s="16"/>
    </row>
    <row r="58" spans="2:17" x14ac:dyDescent="0.3">
      <c r="B58" s="330" t="s">
        <v>958</v>
      </c>
      <c r="C58" s="330" t="s">
        <v>825</v>
      </c>
      <c r="D58" s="330" t="str">
        <f>Tableau5[[#This Row],[Frontal]]&amp;" / "&amp;Tableau5[[#This Row],[Adhesif]]&amp;" / "&amp;Tableau5[[#This Row],[Backing]]</f>
        <v>Vergé blanc / Lavable / Glassine</v>
      </c>
      <c r="E58" s="330" t="s">
        <v>959</v>
      </c>
      <c r="F58" s="330" t="s">
        <v>839</v>
      </c>
      <c r="G58" s="330" t="str">
        <f>Tableau5[[#This Row],[Frontal]]&amp;Tableau5[[#This Row],[Adhesif]]</f>
        <v>Vergé blancLavable</v>
      </c>
      <c r="H58" s="330" t="s">
        <v>30</v>
      </c>
      <c r="I58" s="423">
        <v>1.0441199999999999</v>
      </c>
      <c r="J58" s="413">
        <v>1.0441199999999999</v>
      </c>
      <c r="K58" s="16"/>
      <c r="L58" s="16"/>
      <c r="M58" s="16"/>
      <c r="N58" s="16"/>
      <c r="O58" s="16"/>
      <c r="P58" s="16"/>
      <c r="Q58" s="16"/>
    </row>
    <row r="59" spans="2:17" x14ac:dyDescent="0.3">
      <c r="B59" s="330" t="s">
        <v>960</v>
      </c>
      <c r="C59" s="330" t="s">
        <v>825</v>
      </c>
      <c r="D59" s="330" t="str">
        <f>Tableau5[[#This Row],[Frontal]]&amp;" / "&amp;Tableau5[[#This Row],[Adhesif]]&amp;" / "&amp;Tableau5[[#This Row],[Backing]]</f>
        <v>Vergé blanc / Lavable / PET</v>
      </c>
      <c r="E59" s="330" t="s">
        <v>959</v>
      </c>
      <c r="F59" s="330" t="s">
        <v>839</v>
      </c>
      <c r="G59" s="330" t="str">
        <f>Tableau5[[#This Row],[Frontal]]&amp;Tableau5[[#This Row],[Adhesif]]</f>
        <v>Vergé blancLavable</v>
      </c>
      <c r="H59" s="330" t="s">
        <v>820</v>
      </c>
      <c r="I59" s="423">
        <v>1.2339599999999999</v>
      </c>
      <c r="J59" s="413">
        <v>1.2339599999999999</v>
      </c>
      <c r="K59" s="16"/>
      <c r="L59" s="16"/>
      <c r="M59" s="16"/>
      <c r="N59" s="16"/>
      <c r="O59" s="16"/>
      <c r="P59" s="16"/>
      <c r="Q59" s="16"/>
    </row>
    <row r="60" spans="2:17" x14ac:dyDescent="0.3">
      <c r="B60" s="330" t="s">
        <v>961</v>
      </c>
      <c r="C60" s="330" t="s">
        <v>825</v>
      </c>
      <c r="D60" s="330" t="str">
        <f>Tableau5[[#This Row],[Frontal]]&amp;" / "&amp;Tableau5[[#This Row],[Adhesif]]&amp;" / "&amp;Tableau5[[#This Row],[Backing]]</f>
        <v>Vergé blanc / Permanent / Glassine</v>
      </c>
      <c r="E60" s="330" t="s">
        <v>959</v>
      </c>
      <c r="F60" s="330" t="s">
        <v>826</v>
      </c>
      <c r="G60" s="330" t="str">
        <f>Tableau5[[#This Row],[Frontal]]&amp;Tableau5[[#This Row],[Adhesif]]</f>
        <v>Vergé blancPermanent</v>
      </c>
      <c r="H60" s="330" t="s">
        <v>30</v>
      </c>
      <c r="I60" s="423">
        <v>0.77630999999999994</v>
      </c>
      <c r="J60" s="413">
        <v>0.77630999999999994</v>
      </c>
      <c r="K60" s="16"/>
      <c r="L60" s="16"/>
      <c r="M60" s="16"/>
      <c r="N60" s="16"/>
      <c r="O60" s="16"/>
      <c r="P60" s="16"/>
      <c r="Q60" s="16"/>
    </row>
    <row r="61" spans="2:17" x14ac:dyDescent="0.3">
      <c r="B61" s="330" t="s">
        <v>962</v>
      </c>
      <c r="C61" s="330" t="s">
        <v>825</v>
      </c>
      <c r="D61" s="330" t="str">
        <f>Tableau5[[#This Row],[Frontal]]&amp;" / "&amp;Tableau5[[#This Row],[Adhesif]]&amp;" / "&amp;Tableau5[[#This Row],[Backing]]</f>
        <v>Vergé crème / Permanent / Glassine</v>
      </c>
      <c r="E61" s="330" t="s">
        <v>963</v>
      </c>
      <c r="F61" s="330" t="s">
        <v>826</v>
      </c>
      <c r="G61" s="330" t="str">
        <f>Tableau5[[#This Row],[Frontal]]&amp;Tableau5[[#This Row],[Adhesif]]</f>
        <v>Vergé crèmePermanent</v>
      </c>
      <c r="H61" s="330" t="s">
        <v>30</v>
      </c>
      <c r="I61" s="423">
        <v>0.80681999999999998</v>
      </c>
      <c r="J61" s="413">
        <v>0.80681999999999998</v>
      </c>
      <c r="K61" s="16"/>
      <c r="L61" s="16"/>
      <c r="M61" s="16"/>
      <c r="N61" s="16"/>
      <c r="O61" s="16"/>
      <c r="P61" s="16"/>
      <c r="Q61" s="16"/>
    </row>
    <row r="62" spans="2:17" x14ac:dyDescent="0.3">
      <c r="B62" s="330" t="s">
        <v>964</v>
      </c>
      <c r="C62" s="330" t="s">
        <v>825</v>
      </c>
      <c r="D62" s="330" t="str">
        <f>Tableau5[[#This Row],[Frontal]]&amp;" / "&amp;Tableau5[[#This Row],[Adhesif]]&amp;" / "&amp;Tableau5[[#This Row],[Backing]]</f>
        <v>Vergé crème / Renforcé / Glassine</v>
      </c>
      <c r="E62" s="330" t="s">
        <v>963</v>
      </c>
      <c r="F62" s="330" t="s">
        <v>848</v>
      </c>
      <c r="G62" s="330" t="str">
        <f>Tableau5[[#This Row],[Frontal]]&amp;Tableau5[[#This Row],[Adhesif]]</f>
        <v>Vergé crèmeRenforcé</v>
      </c>
      <c r="H62" s="330" t="s">
        <v>30</v>
      </c>
      <c r="I62" s="423">
        <v>1.2057100000000001</v>
      </c>
      <c r="J62" s="413">
        <v>1.2057100000000001</v>
      </c>
      <c r="K62" s="16"/>
      <c r="L62" s="16"/>
      <c r="M62" s="16"/>
      <c r="N62" s="16"/>
      <c r="O62" s="16"/>
      <c r="P62" s="16"/>
      <c r="Q62" s="16"/>
    </row>
    <row r="63" spans="2:17" x14ac:dyDescent="0.3">
      <c r="B63" s="411" t="s">
        <v>965</v>
      </c>
      <c r="C63" s="422" t="s">
        <v>831</v>
      </c>
      <c r="D63" s="330" t="str">
        <f>Tableau5[[#This Row],[Frontal]]&amp;" / "&amp;Tableau5[[#This Row],[Adhesif]]&amp;" / "&amp;Tableau5[[#This Row],[Backing]]</f>
        <v>Couché mat / Permanent PLUS / Glassine</v>
      </c>
      <c r="E63" s="422" t="s">
        <v>871</v>
      </c>
      <c r="F63" s="422" t="s">
        <v>28</v>
      </c>
      <c r="G63" s="330" t="str">
        <f>Tableau5[[#This Row],[Frontal]]&amp;Tableau5[[#This Row],[Adhesif]]</f>
        <v>Couché matPermanent PLUS</v>
      </c>
      <c r="H63" s="422" t="s">
        <v>30</v>
      </c>
      <c r="I63" s="423">
        <v>0.58533999999999997</v>
      </c>
      <c r="J63" s="413">
        <v>1.2</v>
      </c>
      <c r="K63" s="16"/>
      <c r="L63" s="16"/>
      <c r="M63" s="16"/>
      <c r="N63" s="16"/>
      <c r="O63" s="16"/>
      <c r="P63" s="16"/>
      <c r="Q63" s="16"/>
    </row>
    <row r="64" spans="2:17" x14ac:dyDescent="0.3">
      <c r="B64" s="332"/>
      <c r="C64" s="333"/>
      <c r="D64" s="330"/>
      <c r="E64" s="330"/>
      <c r="F64" s="330"/>
      <c r="G64" s="331"/>
      <c r="H64" s="422"/>
      <c r="I64" s="425"/>
      <c r="K64" s="16"/>
      <c r="L64" s="16"/>
      <c r="M64" s="16"/>
      <c r="N64" s="16"/>
      <c r="O64" s="16"/>
      <c r="P64" s="16"/>
      <c r="Q64" s="16"/>
    </row>
    <row r="65" spans="2:17" x14ac:dyDescent="0.3">
      <c r="B65" s="267" t="s">
        <v>966</v>
      </c>
      <c r="C65" s="268" t="s">
        <v>967</v>
      </c>
      <c r="D65" s="264" t="s">
        <v>968</v>
      </c>
      <c r="E65" s="265" t="s">
        <v>969</v>
      </c>
      <c r="F65" s="265" t="s">
        <v>970</v>
      </c>
      <c r="G65" s="265" t="str">
        <f>Tableau5[[#This Row],[Frontal]]&amp;Tableau5[[#This Row],[Adhesif]]</f>
        <v xml:space="preserve">xxxNONE / NONE / LINER PET23 IL LR  </v>
      </c>
      <c r="H65" s="263" t="s">
        <v>969</v>
      </c>
      <c r="I65" s="266">
        <v>0.58533999999999997</v>
      </c>
      <c r="J65" s="413">
        <v>0.57969000000000004</v>
      </c>
      <c r="K65" s="16"/>
      <c r="L65" s="16"/>
      <c r="M65" s="16"/>
      <c r="N65" s="16"/>
      <c r="O65" s="16"/>
      <c r="P65" s="16"/>
      <c r="Q65" s="16"/>
    </row>
    <row r="66" spans="2:17" x14ac:dyDescent="0.3">
      <c r="K66" s="16"/>
      <c r="L66" s="16"/>
      <c r="M66" s="16"/>
      <c r="N66" s="16"/>
      <c r="O66" s="16"/>
      <c r="P66" s="16"/>
      <c r="Q66" s="16"/>
    </row>
    <row r="67" spans="2:17" x14ac:dyDescent="0.3">
      <c r="K67" s="16"/>
      <c r="L67" s="16"/>
      <c r="M67" s="16"/>
      <c r="N67" s="16"/>
      <c r="O67" s="16"/>
      <c r="P67" s="16"/>
      <c r="Q67" s="16"/>
    </row>
    <row r="68" spans="2:17" x14ac:dyDescent="0.3">
      <c r="B68" s="401"/>
      <c r="C68" s="402"/>
      <c r="D68" s="402"/>
      <c r="E68" s="402"/>
      <c r="F68" s="402"/>
      <c r="G68" s="402"/>
      <c r="H68" s="402"/>
      <c r="I68" s="403"/>
      <c r="K68" s="16"/>
      <c r="L68" s="16"/>
      <c r="M68" s="16"/>
      <c r="N68" s="16"/>
      <c r="O68" s="16"/>
      <c r="P68" s="16"/>
      <c r="Q68" s="16"/>
    </row>
    <row r="69" spans="2:17" x14ac:dyDescent="0.3">
      <c r="K69" s="16"/>
      <c r="L69" s="16"/>
      <c r="M69" s="16"/>
      <c r="N69" s="16"/>
      <c r="O69" s="16"/>
      <c r="P69" s="16"/>
      <c r="Q69" s="16"/>
    </row>
    <row r="70" spans="2:17" x14ac:dyDescent="0.3">
      <c r="K70" s="16"/>
      <c r="L70" s="16"/>
      <c r="M70" s="16"/>
      <c r="N70" s="16"/>
      <c r="O70" s="16"/>
      <c r="P70" s="16"/>
      <c r="Q70" s="16"/>
    </row>
    <row r="71" spans="2:17" x14ac:dyDescent="0.3">
      <c r="K71" s="16"/>
      <c r="L71" s="16"/>
      <c r="M71" s="16"/>
      <c r="N71" s="16"/>
      <c r="O71" s="16"/>
      <c r="P71" s="16"/>
      <c r="Q71" s="16"/>
    </row>
    <row r="72" spans="2:17" x14ac:dyDescent="0.3">
      <c r="B72" s="375"/>
      <c r="C72" s="376"/>
      <c r="D72" s="402"/>
      <c r="E72" s="402"/>
      <c r="F72" s="402"/>
      <c r="G72" s="402"/>
      <c r="H72" s="402"/>
      <c r="I72" s="426"/>
      <c r="K72" s="16"/>
      <c r="L72" s="16"/>
      <c r="M72" s="16"/>
      <c r="N72" s="16"/>
      <c r="O72" s="16"/>
      <c r="P72" s="16"/>
      <c r="Q72" s="16"/>
    </row>
    <row r="73" spans="2:17" x14ac:dyDescent="0.3">
      <c r="K73" s="16"/>
      <c r="L73" s="16"/>
      <c r="M73" s="16"/>
      <c r="N73" s="16"/>
      <c r="O73" s="16"/>
      <c r="P73" s="16"/>
      <c r="Q73" s="16"/>
    </row>
    <row r="74" spans="2:17" x14ac:dyDescent="0.3">
      <c r="K74" s="16"/>
      <c r="L74" s="16"/>
      <c r="M74" s="16"/>
      <c r="N74" s="16"/>
      <c r="O74" s="16"/>
      <c r="P74" s="16"/>
      <c r="Q74" s="16"/>
    </row>
    <row r="75" spans="2:17" x14ac:dyDescent="0.3">
      <c r="K75" s="16"/>
      <c r="L75" s="16"/>
      <c r="M75" s="16"/>
      <c r="N75" s="16"/>
      <c r="O75" s="16"/>
      <c r="P75" s="16"/>
      <c r="Q75" s="16"/>
    </row>
    <row r="76" spans="2:17" x14ac:dyDescent="0.3">
      <c r="K76" s="16"/>
      <c r="L76" s="16"/>
      <c r="M76" s="16"/>
      <c r="N76" s="16"/>
      <c r="O76" s="16"/>
      <c r="P76" s="16"/>
      <c r="Q76" s="16"/>
    </row>
    <row r="77" spans="2:17" x14ac:dyDescent="0.3">
      <c r="K77" s="16"/>
      <c r="L77" s="16"/>
      <c r="M77" s="16"/>
      <c r="N77" s="16"/>
      <c r="O77" s="16"/>
      <c r="P77" s="16"/>
      <c r="Q77" s="16"/>
    </row>
    <row r="78" spans="2:17" x14ac:dyDescent="0.3">
      <c r="K78" s="16"/>
      <c r="L78" s="16"/>
      <c r="M78" s="16"/>
      <c r="N78" s="16"/>
      <c r="O78" s="16"/>
      <c r="P78" s="16"/>
      <c r="Q78" s="16"/>
    </row>
    <row r="79" spans="2:17" x14ac:dyDescent="0.3">
      <c r="K79" s="16"/>
      <c r="L79" s="16"/>
      <c r="M79" s="16"/>
      <c r="N79" s="16"/>
      <c r="O79" s="16"/>
      <c r="P79" s="16"/>
      <c r="Q79" s="16"/>
    </row>
    <row r="80" spans="2:17" x14ac:dyDescent="0.3">
      <c r="K80" s="16"/>
      <c r="L80" s="16"/>
      <c r="M80" s="16"/>
      <c r="N80" s="16"/>
      <c r="O80" s="16"/>
      <c r="P80" s="16"/>
      <c r="Q80" s="16"/>
    </row>
    <row r="81" spans="11:17" x14ac:dyDescent="0.3">
      <c r="K81" s="16"/>
      <c r="L81" s="16"/>
      <c r="M81" s="16"/>
      <c r="N81" s="16"/>
      <c r="O81" s="16"/>
      <c r="P81" s="16"/>
      <c r="Q81" s="16"/>
    </row>
    <row r="82" spans="11:17" x14ac:dyDescent="0.3">
      <c r="K82" s="16"/>
      <c r="L82" s="16"/>
      <c r="M82" s="16"/>
      <c r="N82" s="16"/>
      <c r="O82" s="16"/>
      <c r="P82" s="16"/>
      <c r="Q82" s="16"/>
    </row>
    <row r="83" spans="11:17" x14ac:dyDescent="0.3">
      <c r="K83" s="16"/>
      <c r="L83" s="16"/>
      <c r="M83" s="16"/>
      <c r="N83" s="16"/>
      <c r="O83" s="16"/>
      <c r="P83" s="16"/>
      <c r="Q83" s="16"/>
    </row>
    <row r="84" spans="11:17" x14ac:dyDescent="0.3">
      <c r="K84" s="16"/>
      <c r="L84" s="16"/>
      <c r="M84" s="16"/>
      <c r="N84" s="16"/>
      <c r="O84" s="16"/>
      <c r="P84" s="16"/>
      <c r="Q84" s="16"/>
    </row>
    <row r="85" spans="11:17" x14ac:dyDescent="0.3">
      <c r="K85" s="16"/>
      <c r="L85" s="16"/>
      <c r="M85" s="16"/>
      <c r="N85" s="16"/>
      <c r="O85" s="16"/>
      <c r="P85" s="16"/>
      <c r="Q85" s="16"/>
    </row>
    <row r="86" spans="11:17" x14ac:dyDescent="0.3">
      <c r="K86" s="16"/>
      <c r="L86" s="16"/>
      <c r="M86" s="16"/>
      <c r="N86" s="16"/>
      <c r="O86" s="16"/>
      <c r="P86" s="16"/>
      <c r="Q86" s="16"/>
    </row>
    <row r="87" spans="11:17" x14ac:dyDescent="0.3">
      <c r="K87" s="16"/>
      <c r="L87" s="16"/>
      <c r="M87" s="16"/>
      <c r="N87" s="16"/>
      <c r="O87" s="16"/>
      <c r="P87" s="16"/>
      <c r="Q87" s="16"/>
    </row>
    <row r="88" spans="11:17" x14ac:dyDescent="0.3">
      <c r="K88" s="16"/>
      <c r="L88" s="16"/>
      <c r="M88" s="16"/>
      <c r="N88" s="16"/>
      <c r="O88" s="16"/>
      <c r="P88" s="16"/>
      <c r="Q88" s="16"/>
    </row>
    <row r="89" spans="11:17" x14ac:dyDescent="0.3">
      <c r="K89" s="16"/>
      <c r="L89" s="16"/>
      <c r="M89" s="16"/>
      <c r="N89" s="16"/>
      <c r="O89" s="16"/>
      <c r="P89" s="16"/>
      <c r="Q89" s="16"/>
    </row>
    <row r="90" spans="11:17" x14ac:dyDescent="0.3">
      <c r="K90" s="16"/>
      <c r="L90" s="16"/>
      <c r="M90" s="16"/>
      <c r="N90" s="16"/>
      <c r="O90" s="16"/>
      <c r="P90" s="16"/>
      <c r="Q90" s="16"/>
    </row>
    <row r="91" spans="11:17" x14ac:dyDescent="0.3">
      <c r="K91" s="16"/>
      <c r="L91" s="16"/>
      <c r="M91" s="16"/>
      <c r="N91" s="16"/>
      <c r="O91" s="16"/>
      <c r="P91" s="16"/>
      <c r="Q91" s="16"/>
    </row>
    <row r="92" spans="11:17" x14ac:dyDescent="0.3">
      <c r="K92" s="16"/>
      <c r="L92" s="16"/>
      <c r="M92" s="16"/>
      <c r="N92" s="16"/>
      <c r="O92" s="16"/>
      <c r="P92" s="16"/>
      <c r="Q92" s="16"/>
    </row>
    <row r="93" spans="11:17" x14ac:dyDescent="0.3">
      <c r="K93" s="16"/>
      <c r="L93" s="16"/>
      <c r="M93" s="16"/>
      <c r="N93" s="16"/>
      <c r="O93" s="16"/>
      <c r="P93" s="16"/>
      <c r="Q93" s="16"/>
    </row>
    <row r="94" spans="11:17" x14ac:dyDescent="0.3">
      <c r="K94" s="16"/>
      <c r="L94" s="16"/>
      <c r="M94" s="16"/>
      <c r="N94" s="16"/>
      <c r="O94" s="16"/>
      <c r="P94" s="16"/>
      <c r="Q94" s="16"/>
    </row>
    <row r="95" spans="11:17" x14ac:dyDescent="0.3">
      <c r="K95" s="16"/>
      <c r="L95" s="16"/>
      <c r="M95" s="16"/>
      <c r="N95" s="16"/>
      <c r="O95" s="16"/>
      <c r="P95" s="16"/>
      <c r="Q95" s="16"/>
    </row>
    <row r="96" spans="11:17" x14ac:dyDescent="0.3">
      <c r="K96" s="16"/>
      <c r="L96" s="16"/>
      <c r="M96" s="16"/>
      <c r="N96" s="16"/>
      <c r="O96" s="16"/>
      <c r="P96" s="16"/>
      <c r="Q96" s="16"/>
    </row>
    <row r="97" spans="11:17" x14ac:dyDescent="0.3">
      <c r="K97" s="16"/>
      <c r="L97" s="16"/>
      <c r="M97" s="16"/>
      <c r="N97" s="16"/>
      <c r="O97" s="16"/>
      <c r="P97" s="16"/>
      <c r="Q97" s="16"/>
    </row>
    <row r="98" spans="11:17" x14ac:dyDescent="0.3">
      <c r="K98" s="16"/>
      <c r="L98" s="16"/>
      <c r="M98" s="16"/>
      <c r="N98" s="16"/>
      <c r="O98" s="16"/>
      <c r="P98" s="16"/>
      <c r="Q98" s="16"/>
    </row>
    <row r="99" spans="11:17" x14ac:dyDescent="0.3">
      <c r="K99" s="16"/>
      <c r="L99" s="16"/>
      <c r="M99" s="16"/>
      <c r="N99" s="16"/>
      <c r="O99" s="16"/>
      <c r="P99" s="16"/>
      <c r="Q99" s="16"/>
    </row>
    <row r="100" spans="11:17" x14ac:dyDescent="0.3">
      <c r="K100" s="16"/>
      <c r="L100" s="16"/>
      <c r="M100" s="16"/>
      <c r="N100" s="16"/>
      <c r="O100" s="16"/>
      <c r="P100" s="16"/>
      <c r="Q100" s="16"/>
    </row>
    <row r="101" spans="11:17" x14ac:dyDescent="0.3">
      <c r="K101" s="16"/>
      <c r="L101" s="16"/>
      <c r="M101" s="16"/>
      <c r="N101" s="16"/>
      <c r="O101" s="16"/>
      <c r="P101" s="16"/>
      <c r="Q101" s="16"/>
    </row>
    <row r="102" spans="11:17" x14ac:dyDescent="0.3">
      <c r="K102" s="16"/>
      <c r="L102" s="16"/>
      <c r="M102" s="16"/>
      <c r="N102" s="16"/>
      <c r="O102" s="16"/>
      <c r="P102" s="16"/>
      <c r="Q102" s="16"/>
    </row>
    <row r="103" spans="11:17" x14ac:dyDescent="0.3">
      <c r="K103" s="16"/>
      <c r="L103" s="16"/>
      <c r="M103" s="16"/>
      <c r="N103" s="16"/>
      <c r="O103" s="16"/>
      <c r="P103" s="16"/>
      <c r="Q103" s="16"/>
    </row>
    <row r="104" spans="11:17" x14ac:dyDescent="0.3">
      <c r="K104" s="16"/>
      <c r="L104" s="16"/>
      <c r="M104" s="16"/>
      <c r="N104" s="16"/>
      <c r="O104" s="16"/>
      <c r="P104" s="16"/>
      <c r="Q104" s="16"/>
    </row>
    <row r="105" spans="11:17" x14ac:dyDescent="0.3">
      <c r="K105" s="16"/>
      <c r="L105" s="16"/>
      <c r="M105" s="16"/>
      <c r="N105" s="16"/>
      <c r="O105" s="16"/>
      <c r="P105" s="16"/>
      <c r="Q105" s="16"/>
    </row>
    <row r="106" spans="11:17" x14ac:dyDescent="0.3">
      <c r="K106" s="16"/>
      <c r="L106" s="16"/>
      <c r="M106" s="16"/>
      <c r="N106" s="16"/>
      <c r="O106" s="16"/>
      <c r="P106" s="16"/>
      <c r="Q106" s="16"/>
    </row>
    <row r="107" spans="11:17" x14ac:dyDescent="0.3">
      <c r="K107" s="16"/>
      <c r="L107" s="16"/>
      <c r="M107" s="16"/>
      <c r="N107" s="16"/>
      <c r="O107" s="16"/>
      <c r="P107" s="16"/>
      <c r="Q107" s="16"/>
    </row>
  </sheetData>
  <mergeCells count="3">
    <mergeCell ref="B2:I2"/>
    <mergeCell ref="K2:Q2"/>
    <mergeCell ref="S2:Y2"/>
  </mergeCells>
  <phoneticPr fontId="34" type="noConversion"/>
  <conditionalFormatting sqref="I4:I65">
    <cfRule type="expression" dxfId="43" priority="3">
      <formula>I4&lt;&gt;J4</formula>
    </cfRule>
  </conditionalFormatting>
  <conditionalFormatting sqref="Q4">
    <cfRule type="expression" dxfId="42" priority="2">
      <formula>Q4&lt;&gt;R4</formula>
    </cfRule>
  </conditionalFormatting>
  <conditionalFormatting sqref="Y4:Y23">
    <cfRule type="expression" dxfId="41" priority="1">
      <formula>Y4&lt;&gt;AA4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AB5F-3830-4ED7-8121-5153F9D2FF65}">
  <sheetPr codeName="Feuil5">
    <tabColor theme="0" tint="-0.34998626667073579"/>
  </sheetPr>
  <dimension ref="B1:N62"/>
  <sheetViews>
    <sheetView topLeftCell="A28" workbookViewId="0">
      <selection activeCell="E40" sqref="E40"/>
    </sheetView>
  </sheetViews>
  <sheetFormatPr baseColWidth="10" defaultColWidth="11.44140625" defaultRowHeight="14.4" x14ac:dyDescent="0.3"/>
  <cols>
    <col min="8" max="8" width="21.88671875" bestFit="1" customWidth="1"/>
    <col min="9" max="9" width="16.5546875" bestFit="1" customWidth="1"/>
    <col min="13" max="13" width="20.44140625" bestFit="1" customWidth="1"/>
  </cols>
  <sheetData>
    <row r="1" spans="2:14" x14ac:dyDescent="0.3">
      <c r="B1" t="s">
        <v>971</v>
      </c>
      <c r="H1" s="340" t="s">
        <v>25</v>
      </c>
      <c r="I1" s="340" t="s">
        <v>27</v>
      </c>
      <c r="J1" s="340" t="s">
        <v>29</v>
      </c>
      <c r="M1" t="str" cm="1">
        <f t="array" ref="M1:M24">_xlfn.UNIQUE(_xlfn._xlws.FILTER(H2:H62, H2:H62&lt;&gt;""))</f>
        <v>Coton Blanc</v>
      </c>
      <c r="N1" t="str" cm="1">
        <f t="array" ref="N1:N2">_xlfn.UNIQUE(_xlfn._xlws.FILTER($I$2:$I$62, $H$2:$H$62='Données Devis'!B20))</f>
        <v>Lavable</v>
      </c>
    </row>
    <row r="2" spans="2:14" x14ac:dyDescent="0.3">
      <c r="B2" t="s">
        <v>808</v>
      </c>
      <c r="H2" s="402" t="s">
        <v>972</v>
      </c>
      <c r="I2" s="402" t="s">
        <v>28</v>
      </c>
      <c r="J2" s="402" t="s">
        <v>30</v>
      </c>
      <c r="M2" t="str">
        <v>Coton Extra Blanc</v>
      </c>
      <c r="N2" t="str">
        <v>Permanent PLUS</v>
      </c>
    </row>
    <row r="3" spans="2:14" x14ac:dyDescent="0.3">
      <c r="B3" t="s">
        <v>832</v>
      </c>
      <c r="H3" s="377" t="s">
        <v>972</v>
      </c>
      <c r="I3" s="377" t="s">
        <v>826</v>
      </c>
      <c r="J3" s="377" t="s">
        <v>30</v>
      </c>
      <c r="M3" t="str">
        <v>Couché Chrome</v>
      </c>
    </row>
    <row r="4" spans="2:14" x14ac:dyDescent="0.3">
      <c r="B4" t="s">
        <v>838</v>
      </c>
      <c r="H4" s="402" t="s">
        <v>972</v>
      </c>
      <c r="I4" s="402" t="s">
        <v>28</v>
      </c>
      <c r="J4" s="402" t="s">
        <v>820</v>
      </c>
      <c r="M4" t="str">
        <v>Couché Mat</v>
      </c>
    </row>
    <row r="5" spans="2:14" x14ac:dyDescent="0.3">
      <c r="B5" t="s">
        <v>856</v>
      </c>
      <c r="H5" s="402" t="s">
        <v>973</v>
      </c>
      <c r="I5" s="402" t="s">
        <v>28</v>
      </c>
      <c r="J5" s="402" t="s">
        <v>30</v>
      </c>
      <c r="M5" t="str">
        <v>Couché Satiné</v>
      </c>
    </row>
    <row r="6" spans="2:14" x14ac:dyDescent="0.3">
      <c r="B6" t="s">
        <v>871</v>
      </c>
      <c r="H6" s="402" t="s">
        <v>856</v>
      </c>
      <c r="I6" s="402" t="s">
        <v>839</v>
      </c>
      <c r="J6" s="402" t="s">
        <v>30</v>
      </c>
      <c r="M6" t="str">
        <v>Freelife MERIDA</v>
      </c>
    </row>
    <row r="7" spans="2:14" x14ac:dyDescent="0.3">
      <c r="B7" t="s">
        <v>887</v>
      </c>
      <c r="H7" s="402" t="s">
        <v>856</v>
      </c>
      <c r="I7" s="402" t="s">
        <v>28</v>
      </c>
      <c r="J7" s="402" t="s">
        <v>30</v>
      </c>
      <c r="M7" t="str">
        <v>Frozen Orion Diamond</v>
      </c>
    </row>
    <row r="8" spans="2:14" x14ac:dyDescent="0.3">
      <c r="B8" t="s">
        <v>897</v>
      </c>
      <c r="H8" s="402" t="s">
        <v>856</v>
      </c>
      <c r="I8" s="402" t="s">
        <v>28</v>
      </c>
      <c r="J8" s="402" t="s">
        <v>820</v>
      </c>
      <c r="M8" t="str">
        <v>HGWINE P</v>
      </c>
    </row>
    <row r="9" spans="2:14" x14ac:dyDescent="0.3">
      <c r="B9" t="s">
        <v>906</v>
      </c>
      <c r="H9" s="402" t="s">
        <v>974</v>
      </c>
      <c r="I9" s="402" t="s">
        <v>839</v>
      </c>
      <c r="J9" s="402" t="s">
        <v>820</v>
      </c>
      <c r="M9" t="str">
        <v>Martelé Blanc</v>
      </c>
    </row>
    <row r="10" spans="2:14" x14ac:dyDescent="0.3">
      <c r="B10" t="s">
        <v>26</v>
      </c>
      <c r="H10" s="402" t="s">
        <v>974</v>
      </c>
      <c r="I10" s="402" t="s">
        <v>826</v>
      </c>
      <c r="J10" s="402" t="s">
        <v>30</v>
      </c>
      <c r="M10" t="str">
        <v>Métallisé Argent</v>
      </c>
    </row>
    <row r="11" spans="2:14" x14ac:dyDescent="0.3">
      <c r="B11" t="s">
        <v>917</v>
      </c>
      <c r="H11" s="402" t="s">
        <v>974</v>
      </c>
      <c r="I11" s="402" t="s">
        <v>28</v>
      </c>
      <c r="J11" s="402" t="s">
        <v>30</v>
      </c>
      <c r="M11" t="str">
        <v>PE 150 Blanc</v>
      </c>
    </row>
    <row r="12" spans="2:14" x14ac:dyDescent="0.3">
      <c r="B12" t="s">
        <v>919</v>
      </c>
      <c r="H12" s="402" t="s">
        <v>974</v>
      </c>
      <c r="I12" s="402" t="s">
        <v>28</v>
      </c>
      <c r="J12" s="402" t="s">
        <v>820</v>
      </c>
      <c r="M12" t="str">
        <v>PE 85 Transparent</v>
      </c>
    </row>
    <row r="13" spans="2:14" x14ac:dyDescent="0.3">
      <c r="B13" t="s">
        <v>922</v>
      </c>
      <c r="H13" s="402" t="s">
        <v>974</v>
      </c>
      <c r="I13" s="402" t="s">
        <v>848</v>
      </c>
      <c r="J13" s="402" t="s">
        <v>30</v>
      </c>
      <c r="M13" t="str">
        <v>PP 50 Blanc</v>
      </c>
    </row>
    <row r="14" spans="2:14" x14ac:dyDescent="0.3">
      <c r="B14" t="s">
        <v>924</v>
      </c>
      <c r="H14" s="402" t="s">
        <v>838</v>
      </c>
      <c r="I14" s="402" t="s">
        <v>839</v>
      </c>
      <c r="J14" s="402" t="s">
        <v>30</v>
      </c>
      <c r="M14" t="str">
        <v>PP 60 Blanc</v>
      </c>
    </row>
    <row r="15" spans="2:14" x14ac:dyDescent="0.3">
      <c r="B15" t="s">
        <v>928</v>
      </c>
      <c r="H15" s="402" t="s">
        <v>838</v>
      </c>
      <c r="I15" s="402" t="s">
        <v>28</v>
      </c>
      <c r="J15" s="402" t="s">
        <v>820</v>
      </c>
      <c r="M15" t="str">
        <v>PP 60 Transparent</v>
      </c>
    </row>
    <row r="16" spans="2:14" x14ac:dyDescent="0.3">
      <c r="B16" t="s">
        <v>931</v>
      </c>
      <c r="H16" s="402" t="s">
        <v>838</v>
      </c>
      <c r="I16" s="402" t="s">
        <v>848</v>
      </c>
      <c r="J16" s="402" t="s">
        <v>30</v>
      </c>
      <c r="M16" t="str">
        <v>Sirio Pearl</v>
      </c>
    </row>
    <row r="17" spans="2:13" x14ac:dyDescent="0.3">
      <c r="B17" t="s">
        <v>937</v>
      </c>
      <c r="H17" s="402" t="s">
        <v>838</v>
      </c>
      <c r="I17" s="402" t="s">
        <v>826</v>
      </c>
      <c r="J17" s="402" t="s">
        <v>30</v>
      </c>
      <c r="M17" t="str">
        <v>Velin Blanc</v>
      </c>
    </row>
    <row r="18" spans="2:13" x14ac:dyDescent="0.3">
      <c r="B18" t="s">
        <v>940</v>
      </c>
      <c r="H18" s="402" t="s">
        <v>922</v>
      </c>
      <c r="I18" s="402" t="s">
        <v>28</v>
      </c>
      <c r="J18" s="402" t="s">
        <v>30</v>
      </c>
      <c r="M18" t="str">
        <v>Velin Crème</v>
      </c>
    </row>
    <row r="19" spans="2:13" x14ac:dyDescent="0.3">
      <c r="B19" t="s">
        <v>942</v>
      </c>
      <c r="H19" s="402" t="s">
        <v>887</v>
      </c>
      <c r="I19" s="402" t="s">
        <v>839</v>
      </c>
      <c r="J19" s="402" t="s">
        <v>30</v>
      </c>
      <c r="M19" t="str">
        <v>Velin Extra Blanc PLUS</v>
      </c>
    </row>
    <row r="20" spans="2:13" x14ac:dyDescent="0.3">
      <c r="B20" t="s">
        <v>945</v>
      </c>
      <c r="H20" s="402" t="s">
        <v>887</v>
      </c>
      <c r="I20" s="402" t="s">
        <v>28</v>
      </c>
      <c r="J20" s="402" t="s">
        <v>30</v>
      </c>
      <c r="M20" t="str">
        <v>Velin Grain</v>
      </c>
    </row>
    <row r="21" spans="2:13" x14ac:dyDescent="0.3">
      <c r="B21" t="s">
        <v>947</v>
      </c>
      <c r="H21" s="402" t="s">
        <v>906</v>
      </c>
      <c r="I21" s="402" t="s">
        <v>28</v>
      </c>
      <c r="J21" s="402" t="s">
        <v>30</v>
      </c>
      <c r="M21" t="str">
        <v>Velin Grain Crème</v>
      </c>
    </row>
    <row r="22" spans="2:13" x14ac:dyDescent="0.3">
      <c r="B22" t="s">
        <v>951</v>
      </c>
      <c r="H22" s="402" t="s">
        <v>906</v>
      </c>
      <c r="I22" s="402" t="s">
        <v>826</v>
      </c>
      <c r="J22" s="402" t="s">
        <v>820</v>
      </c>
      <c r="M22" t="str">
        <v>Velin Grain Extra</v>
      </c>
    </row>
    <row r="23" spans="2:13" x14ac:dyDescent="0.3">
      <c r="B23" t="s">
        <v>953</v>
      </c>
      <c r="H23" s="402" t="s">
        <v>975</v>
      </c>
      <c r="I23" s="402" t="s">
        <v>826</v>
      </c>
      <c r="J23" s="402" t="s">
        <v>30</v>
      </c>
      <c r="M23" t="str">
        <v>Vergé Blanc</v>
      </c>
    </row>
    <row r="24" spans="2:13" x14ac:dyDescent="0.3">
      <c r="B24" t="s">
        <v>959</v>
      </c>
      <c r="H24" s="402" t="s">
        <v>975</v>
      </c>
      <c r="I24" s="402" t="s">
        <v>28</v>
      </c>
      <c r="J24" s="402" t="s">
        <v>820</v>
      </c>
      <c r="M24" t="str">
        <v>Vergé Crème</v>
      </c>
    </row>
    <row r="25" spans="2:13" x14ac:dyDescent="0.3">
      <c r="B25" t="s">
        <v>963</v>
      </c>
      <c r="H25" s="402" t="s">
        <v>975</v>
      </c>
      <c r="I25" s="402" t="s">
        <v>848</v>
      </c>
      <c r="J25" s="402" t="s">
        <v>30</v>
      </c>
    </row>
    <row r="26" spans="2:13" x14ac:dyDescent="0.3">
      <c r="H26" s="402" t="s">
        <v>928</v>
      </c>
      <c r="I26" s="402" t="s">
        <v>28</v>
      </c>
      <c r="J26" s="402" t="s">
        <v>30</v>
      </c>
    </row>
    <row r="27" spans="2:13" x14ac:dyDescent="0.3">
      <c r="H27" s="402" t="s">
        <v>928</v>
      </c>
      <c r="I27" s="402" t="s">
        <v>848</v>
      </c>
      <c r="J27" s="402" t="s">
        <v>30</v>
      </c>
    </row>
    <row r="28" spans="2:13" x14ac:dyDescent="0.3">
      <c r="H28" s="402" t="s">
        <v>942</v>
      </c>
      <c r="I28" s="402" t="s">
        <v>826</v>
      </c>
      <c r="J28" s="402" t="s">
        <v>30</v>
      </c>
    </row>
    <row r="29" spans="2:13" x14ac:dyDescent="0.3">
      <c r="H29" s="402" t="s">
        <v>942</v>
      </c>
      <c r="I29" s="402" t="s">
        <v>848</v>
      </c>
      <c r="J29" s="402" t="s">
        <v>30</v>
      </c>
    </row>
    <row r="30" spans="2:13" x14ac:dyDescent="0.3">
      <c r="H30" s="402" t="s">
        <v>945</v>
      </c>
      <c r="I30" s="402" t="s">
        <v>826</v>
      </c>
      <c r="J30" s="402" t="s">
        <v>30</v>
      </c>
    </row>
    <row r="31" spans="2:13" x14ac:dyDescent="0.3">
      <c r="H31" s="402" t="s">
        <v>947</v>
      </c>
      <c r="I31" s="402" t="s">
        <v>839</v>
      </c>
      <c r="J31" s="402" t="s">
        <v>30</v>
      </c>
    </row>
    <row r="32" spans="2:13" x14ac:dyDescent="0.3">
      <c r="H32" s="402" t="s">
        <v>947</v>
      </c>
      <c r="I32" s="402" t="s">
        <v>826</v>
      </c>
      <c r="J32" s="402" t="s">
        <v>30</v>
      </c>
    </row>
    <row r="33" spans="8:10" x14ac:dyDescent="0.3">
      <c r="H33" s="402" t="s">
        <v>953</v>
      </c>
      <c r="I33" s="402" t="s">
        <v>826</v>
      </c>
      <c r="J33" s="402" t="s">
        <v>30</v>
      </c>
    </row>
    <row r="34" spans="8:10" x14ac:dyDescent="0.3">
      <c r="H34" s="402" t="s">
        <v>953</v>
      </c>
      <c r="I34" s="402" t="s">
        <v>848</v>
      </c>
      <c r="J34" s="402" t="s">
        <v>30</v>
      </c>
    </row>
    <row r="35" spans="8:10" x14ac:dyDescent="0.3">
      <c r="H35" s="402" t="s">
        <v>951</v>
      </c>
      <c r="I35" s="402" t="s">
        <v>826</v>
      </c>
      <c r="J35" s="402" t="s">
        <v>30</v>
      </c>
    </row>
    <row r="36" spans="8:10" x14ac:dyDescent="0.3">
      <c r="H36" s="402" t="s">
        <v>951</v>
      </c>
      <c r="I36" s="402" t="s">
        <v>826</v>
      </c>
      <c r="J36" s="402" t="s">
        <v>820</v>
      </c>
    </row>
    <row r="37" spans="8:10" x14ac:dyDescent="0.3">
      <c r="H37" s="402" t="s">
        <v>951</v>
      </c>
      <c r="I37" s="402" t="s">
        <v>848</v>
      </c>
      <c r="J37" s="402" t="s">
        <v>30</v>
      </c>
    </row>
    <row r="38" spans="8:10" x14ac:dyDescent="0.3">
      <c r="H38" s="402" t="s">
        <v>951</v>
      </c>
      <c r="I38" s="402" t="s">
        <v>848</v>
      </c>
      <c r="J38" s="402" t="s">
        <v>820</v>
      </c>
    </row>
    <row r="39" spans="8:10" x14ac:dyDescent="0.3">
      <c r="H39" s="402" t="s">
        <v>897</v>
      </c>
      <c r="I39" s="402" t="s">
        <v>28</v>
      </c>
      <c r="J39" s="402" t="s">
        <v>30</v>
      </c>
    </row>
    <row r="40" spans="8:10" x14ac:dyDescent="0.3">
      <c r="H40" s="402" t="s">
        <v>897</v>
      </c>
      <c r="I40" s="402" t="s">
        <v>28</v>
      </c>
      <c r="J40" s="402" t="s">
        <v>820</v>
      </c>
    </row>
    <row r="41" spans="8:10" x14ac:dyDescent="0.3">
      <c r="H41" s="402" t="s">
        <v>931</v>
      </c>
      <c r="I41" s="402" t="s">
        <v>839</v>
      </c>
      <c r="J41" s="402" t="s">
        <v>30</v>
      </c>
    </row>
    <row r="42" spans="8:10" x14ac:dyDescent="0.3">
      <c r="H42" s="402" t="s">
        <v>931</v>
      </c>
      <c r="I42" s="402" t="s">
        <v>839</v>
      </c>
      <c r="J42" s="402" t="s">
        <v>820</v>
      </c>
    </row>
    <row r="43" spans="8:10" x14ac:dyDescent="0.3">
      <c r="H43" s="402" t="s">
        <v>931</v>
      </c>
      <c r="I43" s="402" t="s">
        <v>826</v>
      </c>
      <c r="J43" s="402" t="s">
        <v>30</v>
      </c>
    </row>
    <row r="44" spans="8:10" x14ac:dyDescent="0.3">
      <c r="H44" s="402" t="s">
        <v>931</v>
      </c>
      <c r="I44" s="402" t="s">
        <v>28</v>
      </c>
      <c r="J44" s="402" t="s">
        <v>30</v>
      </c>
    </row>
    <row r="45" spans="8:10" x14ac:dyDescent="0.3">
      <c r="H45" s="402" t="s">
        <v>931</v>
      </c>
      <c r="I45" s="402" t="s">
        <v>28</v>
      </c>
      <c r="J45" s="402" t="s">
        <v>820</v>
      </c>
    </row>
    <row r="46" spans="8:10" x14ac:dyDescent="0.3">
      <c r="H46" s="402" t="s">
        <v>937</v>
      </c>
      <c r="I46" s="402" t="s">
        <v>839</v>
      </c>
      <c r="J46" s="402" t="s">
        <v>30</v>
      </c>
    </row>
    <row r="47" spans="8:10" x14ac:dyDescent="0.3">
      <c r="H47" s="402" t="s">
        <v>937</v>
      </c>
      <c r="I47" s="402" t="s">
        <v>826</v>
      </c>
      <c r="J47" s="402" t="s">
        <v>30</v>
      </c>
    </row>
    <row r="48" spans="8:10" x14ac:dyDescent="0.3">
      <c r="H48" s="402" t="s">
        <v>976</v>
      </c>
      <c r="I48" s="402" t="s">
        <v>826</v>
      </c>
      <c r="J48" s="402" t="s">
        <v>30</v>
      </c>
    </row>
    <row r="49" spans="8:10" x14ac:dyDescent="0.3">
      <c r="H49" s="402" t="s">
        <v>26</v>
      </c>
      <c r="I49" s="402" t="s">
        <v>839</v>
      </c>
      <c r="J49" s="402" t="s">
        <v>30</v>
      </c>
    </row>
    <row r="50" spans="8:10" x14ac:dyDescent="0.3">
      <c r="H50" s="402" t="s">
        <v>26</v>
      </c>
      <c r="I50" s="402" t="s">
        <v>839</v>
      </c>
      <c r="J50" s="402" t="s">
        <v>820</v>
      </c>
    </row>
    <row r="51" spans="8:10" x14ac:dyDescent="0.3">
      <c r="H51" s="402" t="s">
        <v>26</v>
      </c>
      <c r="I51" s="402" t="s">
        <v>28</v>
      </c>
      <c r="J51" s="402" t="s">
        <v>30</v>
      </c>
    </row>
    <row r="52" spans="8:10" x14ac:dyDescent="0.3">
      <c r="H52" s="402" t="s">
        <v>26</v>
      </c>
      <c r="I52" s="402" t="s">
        <v>28</v>
      </c>
      <c r="J52" s="402" t="s">
        <v>820</v>
      </c>
    </row>
    <row r="53" spans="8:10" x14ac:dyDescent="0.3">
      <c r="H53" s="402" t="s">
        <v>26</v>
      </c>
      <c r="I53" s="402" t="s">
        <v>848</v>
      </c>
      <c r="J53" s="402" t="s">
        <v>30</v>
      </c>
    </row>
    <row r="54" spans="8:10" x14ac:dyDescent="0.3">
      <c r="H54" s="402" t="s">
        <v>917</v>
      </c>
      <c r="I54" s="402" t="s">
        <v>28</v>
      </c>
      <c r="J54" s="402" t="s">
        <v>30</v>
      </c>
    </row>
    <row r="55" spans="8:10" x14ac:dyDescent="0.3">
      <c r="H55" s="402" t="s">
        <v>919</v>
      </c>
      <c r="I55" s="402" t="s">
        <v>28</v>
      </c>
      <c r="J55" s="402" t="s">
        <v>30</v>
      </c>
    </row>
    <row r="56" spans="8:10" x14ac:dyDescent="0.3">
      <c r="H56" s="402" t="s">
        <v>919</v>
      </c>
      <c r="I56" s="402" t="s">
        <v>28</v>
      </c>
      <c r="J56" s="402" t="s">
        <v>820</v>
      </c>
    </row>
    <row r="57" spans="8:10" x14ac:dyDescent="0.3">
      <c r="H57" s="402" t="s">
        <v>977</v>
      </c>
      <c r="I57" s="402" t="s">
        <v>839</v>
      </c>
      <c r="J57" s="402" t="s">
        <v>30</v>
      </c>
    </row>
    <row r="58" spans="8:10" x14ac:dyDescent="0.3">
      <c r="H58" s="402" t="s">
        <v>977</v>
      </c>
      <c r="I58" s="402" t="s">
        <v>839</v>
      </c>
      <c r="J58" s="402" t="s">
        <v>820</v>
      </c>
    </row>
    <row r="59" spans="8:10" x14ac:dyDescent="0.3">
      <c r="H59" s="402" t="s">
        <v>977</v>
      </c>
      <c r="I59" s="402" t="s">
        <v>826</v>
      </c>
      <c r="J59" s="402" t="s">
        <v>30</v>
      </c>
    </row>
    <row r="60" spans="8:10" x14ac:dyDescent="0.3">
      <c r="H60" s="402" t="s">
        <v>978</v>
      </c>
      <c r="I60" s="402" t="s">
        <v>826</v>
      </c>
      <c r="J60" s="402" t="s">
        <v>30</v>
      </c>
    </row>
    <row r="61" spans="8:10" x14ac:dyDescent="0.3">
      <c r="H61" s="402" t="s">
        <v>978</v>
      </c>
      <c r="I61" s="402" t="s">
        <v>848</v>
      </c>
      <c r="J61" s="402" t="s">
        <v>30</v>
      </c>
    </row>
    <row r="62" spans="8:10" x14ac:dyDescent="0.3">
      <c r="H62" s="402" t="s">
        <v>972</v>
      </c>
      <c r="I62" s="402" t="s">
        <v>826</v>
      </c>
      <c r="J62" s="402" t="s">
        <v>30</v>
      </c>
    </row>
  </sheetData>
  <sortState xmlns:xlrd2="http://schemas.microsoft.com/office/spreadsheetml/2017/richdata2" ref="H2:J61">
    <sortCondition ref="H2:H6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AF50A-21F3-441B-92DE-D68D8815E73E}">
  <sheetPr codeName="Feuil13">
    <tabColor theme="0" tint="-0.34998626667073579"/>
  </sheetPr>
  <dimension ref="A1:K24"/>
  <sheetViews>
    <sheetView workbookViewId="0">
      <selection activeCell="V3" sqref="V3"/>
    </sheetView>
  </sheetViews>
  <sheetFormatPr baseColWidth="10" defaultColWidth="11.44140625" defaultRowHeight="14.4" outlineLevelCol="1" x14ac:dyDescent="0.3"/>
  <cols>
    <col min="1" max="1" width="23.33203125" customWidth="1"/>
    <col min="3" max="5" width="11.5546875" hidden="1" customWidth="1" outlineLevel="1"/>
    <col min="6" max="6" width="10.6640625" customWidth="1" collapsed="1"/>
    <col min="7" max="7" width="12" customWidth="1"/>
    <col min="9" max="9" width="19.109375" bestFit="1" customWidth="1"/>
  </cols>
  <sheetData>
    <row r="1" spans="1:11" ht="15" thickBot="1" x14ac:dyDescent="0.35"/>
    <row r="2" spans="1:11" x14ac:dyDescent="0.3">
      <c r="A2" s="123" t="s">
        <v>451</v>
      </c>
      <c r="B2" s="127">
        <f>Calcul!A3</f>
        <v>140000</v>
      </c>
      <c r="C2" s="127">
        <f>Calcul!A4</f>
        <v>0</v>
      </c>
      <c r="D2" s="127">
        <f>Calcul!A5</f>
        <v>0</v>
      </c>
      <c r="E2" s="127">
        <f>Calcul!A6</f>
        <v>0</v>
      </c>
      <c r="F2" s="125"/>
      <c r="G2" s="128" t="s">
        <v>509</v>
      </c>
      <c r="I2" s="241" t="s">
        <v>979</v>
      </c>
      <c r="J2" s="237" t="e">
        <f>B3+B4+B5+B6+B10+B11+B12+B15+B16+B7+B17+B18+B20+B21</f>
        <v>#N/A</v>
      </c>
      <c r="K2" s="236" t="e">
        <f>J2/J5</f>
        <v>#N/A</v>
      </c>
    </row>
    <row r="3" spans="1:11" x14ac:dyDescent="0.3">
      <c r="A3" s="120" t="s">
        <v>452</v>
      </c>
      <c r="B3" s="121" t="e">
        <f>Calcul!$BV$3/(1+'Paramètres Techniques'!B99)</f>
        <v>#N/A</v>
      </c>
      <c r="C3" s="121">
        <f>Calcul!$BV$4</f>
        <v>0</v>
      </c>
      <c r="D3" s="121">
        <f>Calcul!$BV$5</f>
        <v>0</v>
      </c>
      <c r="E3" s="121">
        <f>Calcul!$BV$6</f>
        <v>0</v>
      </c>
      <c r="F3" s="121"/>
      <c r="I3" s="242" t="s">
        <v>980</v>
      </c>
      <c r="J3" s="238" t="e">
        <f>B8+B13</f>
        <v>#N/A</v>
      </c>
      <c r="K3" s="236" t="e">
        <f>J3/J5</f>
        <v>#N/A</v>
      </c>
    </row>
    <row r="4" spans="1:11" ht="15" thickBot="1" x14ac:dyDescent="0.35">
      <c r="A4" s="120" t="s">
        <v>453</v>
      </c>
      <c r="B4" s="121" t="e">
        <f>(Calcul!$BY$3+Calcul!$CC$3)/(1+'Paramètres Techniques'!B99)</f>
        <v>#N/A</v>
      </c>
      <c r="C4" s="121">
        <f>Calcul!$BY$4+Calcul!$CC$4</f>
        <v>0</v>
      </c>
      <c r="D4" s="121">
        <f>Calcul!$BY$5+Calcul!$CC$5</f>
        <v>0</v>
      </c>
      <c r="E4" s="121">
        <f>Calcul!$BY$6+Calcul!$CC$6</f>
        <v>0</v>
      </c>
      <c r="F4" s="121"/>
      <c r="I4" s="243" t="s">
        <v>981</v>
      </c>
      <c r="J4" s="239" t="e">
        <f>B9+B14+B19</f>
        <v>#N/A</v>
      </c>
      <c r="K4" s="236" t="e">
        <f>J4/J5</f>
        <v>#N/A</v>
      </c>
    </row>
    <row r="5" spans="1:11" ht="15" thickBot="1" x14ac:dyDescent="0.35">
      <c r="A5" s="120" t="s">
        <v>454</v>
      </c>
      <c r="B5" s="121" t="e">
        <f>Calcul!$CV$3/(1+'Paramètres Techniques'!B99)</f>
        <v>#N/A</v>
      </c>
      <c r="C5" s="121">
        <f>Calcul!$CV$4</f>
        <v>0</v>
      </c>
      <c r="D5" s="121">
        <f>Calcul!$CV$5</f>
        <v>0</v>
      </c>
      <c r="E5" s="121">
        <f>Calcul!$CV$6</f>
        <v>0</v>
      </c>
      <c r="F5" s="121"/>
      <c r="I5" s="244" t="s">
        <v>982</v>
      </c>
      <c r="J5" s="240" t="e">
        <f>J2+J3+J4</f>
        <v>#N/A</v>
      </c>
    </row>
    <row r="6" spans="1:11" x14ac:dyDescent="0.3">
      <c r="A6" s="120" t="s">
        <v>455</v>
      </c>
      <c r="B6" s="121" t="e">
        <f>(Calcul!$CY$3+Calcul!$DC$3)/(1+'Paramètres Techniques'!B99)</f>
        <v>#N/A</v>
      </c>
      <c r="C6" s="121">
        <f>Calcul!$CY$4+Calcul!$DC$4</f>
        <v>0</v>
      </c>
      <c r="D6" s="121">
        <f>Calcul!$CY$5+Calcul!$DC$5</f>
        <v>0</v>
      </c>
      <c r="E6" s="121">
        <f>Calcul!$CY$6+Calcul!$DC$6</f>
        <v>0</v>
      </c>
      <c r="F6" s="121"/>
    </row>
    <row r="7" spans="1:11" x14ac:dyDescent="0.3">
      <c r="A7" s="120" t="s">
        <v>132</v>
      </c>
      <c r="B7" s="121">
        <f>(Calcul!$DL$3+Calcul!$DI$3)/(1+'Paramètres Techniques'!B99)</f>
        <v>0</v>
      </c>
      <c r="C7" s="121">
        <f>Calcul!$DL$4+Calcul!$DI$4</f>
        <v>0</v>
      </c>
      <c r="D7" s="121">
        <f>Calcul!$DL$5+Calcul!$DI$5</f>
        <v>0</v>
      </c>
      <c r="E7" s="121">
        <f>Calcul!$DL$6+Calcul!$DI$6</f>
        <v>0</v>
      </c>
      <c r="F7" s="121"/>
    </row>
    <row r="8" spans="1:11" x14ac:dyDescent="0.3">
      <c r="A8" s="234" t="s">
        <v>983</v>
      </c>
      <c r="B8" s="235" t="e">
        <f>((B3+B4+B5+B6+B7)*(1+'Paramètres Techniques'!B99)*0)</f>
        <v>#N/A</v>
      </c>
      <c r="C8" s="121"/>
      <c r="D8" s="121"/>
      <c r="E8" s="121"/>
      <c r="F8" s="121"/>
    </row>
    <row r="9" spans="1:11" x14ac:dyDescent="0.3">
      <c r="A9" s="234" t="s">
        <v>984</v>
      </c>
      <c r="B9" s="235" t="e">
        <f>(B3+B4+B5+B6+B7)*('Paramètres Techniques'!B99)</f>
        <v>#N/A</v>
      </c>
      <c r="C9" s="121"/>
      <c r="D9" s="121"/>
      <c r="E9" s="121"/>
      <c r="F9" s="121"/>
    </row>
    <row r="10" spans="1:11" x14ac:dyDescent="0.3">
      <c r="A10" s="120" t="s">
        <v>456</v>
      </c>
      <c r="B10" s="121" t="e">
        <f>Calcul!$DW$3</f>
        <v>#N/A</v>
      </c>
      <c r="C10" s="121">
        <f>Calcul!$DW$4</f>
        <v>0</v>
      </c>
      <c r="D10" s="121">
        <f>Calcul!$DW$5</f>
        <v>0</v>
      </c>
      <c r="E10" s="121">
        <f>Calcul!$DW$6</f>
        <v>0</v>
      </c>
      <c r="F10" s="121"/>
    </row>
    <row r="11" spans="1:11" x14ac:dyDescent="0.3">
      <c r="A11" s="120" t="s">
        <v>457</v>
      </c>
      <c r="B11" s="121" t="e">
        <f>(Calcul!$BE$3+Calcul!$BF$3+Calcul!BJ3+Calcul!BK3)/(1+'Paramètres Techniques'!B99)/1.13</f>
        <v>#N/A</v>
      </c>
      <c r="C11" s="121">
        <f>Calcul!$BE$4+Calcul!$BF$4</f>
        <v>0</v>
      </c>
      <c r="D11" s="121">
        <f>Calcul!$BE$5+Calcul!$BF$5</f>
        <v>0</v>
      </c>
      <c r="E11" s="121">
        <f>Calcul!$BE$6+Calcul!$BF$6</f>
        <v>0</v>
      </c>
      <c r="F11" s="121"/>
    </row>
    <row r="12" spans="1:11" x14ac:dyDescent="0.3">
      <c r="A12" s="120" t="s">
        <v>514</v>
      </c>
      <c r="B12" s="121" t="e">
        <f>(Calcul!$BA$3+Calcul!$AZ$3+Calcul!$AQ$3+Calcul!$AP$3)/(1+'Paramètres Techniques'!B99)/1.13</f>
        <v>#N/A</v>
      </c>
      <c r="C12" s="121">
        <f>Calcul!$BA$4+Calcul!$AZ$4+Calcul!$AQ$4+Calcul!$AP$4</f>
        <v>0</v>
      </c>
      <c r="D12" s="121">
        <f>Calcul!$BA$5+Calcul!$AZ$5+Calcul!$AQ$5+Calcul!$AP$5</f>
        <v>0</v>
      </c>
      <c r="E12" s="121">
        <f>Calcul!$BA$6+Calcul!$AZ$6+Calcul!$AQ$6+Calcul!$AP$6</f>
        <v>0</v>
      </c>
      <c r="F12" s="121"/>
    </row>
    <row r="13" spans="1:11" x14ac:dyDescent="0.3">
      <c r="A13" s="234" t="s">
        <v>985</v>
      </c>
      <c r="B13" s="235" t="e">
        <f>B11*0.13+B12*0.13</f>
        <v>#N/A</v>
      </c>
      <c r="C13" s="235"/>
      <c r="D13" s="235"/>
      <c r="E13" s="235"/>
      <c r="F13" s="121"/>
    </row>
    <row r="14" spans="1:11" x14ac:dyDescent="0.3">
      <c r="A14" s="234" t="s">
        <v>986</v>
      </c>
      <c r="B14" s="235" t="e">
        <f>(B12+B11)*1.13*('Paramètres Techniques'!B99)+B15*('Paramètres Techniques'!B99)</f>
        <v>#N/A</v>
      </c>
      <c r="C14" s="235"/>
      <c r="D14" s="235"/>
      <c r="E14" s="235"/>
      <c r="F14" s="121"/>
    </row>
    <row r="15" spans="1:11" x14ac:dyDescent="0.3">
      <c r="A15" s="120" t="s">
        <v>459</v>
      </c>
      <c r="B15" s="121">
        <f>(Calcul!$DN$3+Calcul!$DO$3+Calcul!$DP$3+Calcul!$DQ$3)/(1+'Paramètres Techniques'!B99)</f>
        <v>0</v>
      </c>
      <c r="C15" s="121">
        <f>Calcul!$DN$4+Calcul!$DO$4+Calcul!$DP$4+Calcul!$DQ$4</f>
        <v>0</v>
      </c>
      <c r="D15" s="121">
        <f>Calcul!$DN$5+Calcul!$DO$5+Calcul!$DP$5+Calcul!$DQ$5</f>
        <v>0</v>
      </c>
      <c r="E15" s="121">
        <f>Calcul!$DN$6+Calcul!$DO$6+Calcul!$DP$6+Calcul!$DQ$6</f>
        <v>0</v>
      </c>
      <c r="F15" s="121"/>
    </row>
    <row r="16" spans="1:11" x14ac:dyDescent="0.3">
      <c r="A16" s="120" t="s">
        <v>460</v>
      </c>
      <c r="B16" s="121" t="e">
        <f>Calcul!$DS$3+Calcul!$DU$3</f>
        <v>#VALUE!</v>
      </c>
      <c r="C16" s="121">
        <f>Calcul!$DS$4+Calcul!$DU$4</f>
        <v>0</v>
      </c>
      <c r="D16" s="121">
        <f>Calcul!$DS$5+Calcul!$DU$5</f>
        <v>0</v>
      </c>
      <c r="E16" s="121">
        <f>Calcul!$DS$6+Calcul!$DU$6</f>
        <v>0</v>
      </c>
      <c r="F16" s="121"/>
    </row>
    <row r="17" spans="1:7" x14ac:dyDescent="0.3">
      <c r="A17" s="120" t="s">
        <v>461</v>
      </c>
      <c r="B17" s="121" t="e">
        <f>Calcul!$DX$3</f>
        <v>#N/A</v>
      </c>
      <c r="C17" s="121">
        <f>Calcul!$DX$4</f>
        <v>0</v>
      </c>
      <c r="D17" s="121">
        <f>Calcul!$DX$5</f>
        <v>0</v>
      </c>
      <c r="E17" s="121">
        <f>Calcul!$DX$6</f>
        <v>0</v>
      </c>
      <c r="F17" s="121"/>
    </row>
    <row r="18" spans="1:7" x14ac:dyDescent="0.3">
      <c r="A18" s="120" t="s">
        <v>444</v>
      </c>
      <c r="B18" s="121" t="e">
        <f>Calcul!$DY$3</f>
        <v>#N/A</v>
      </c>
      <c r="C18" s="121">
        <f>Calcul!$DY$4</f>
        <v>0</v>
      </c>
      <c r="D18" s="121">
        <f>Calcul!$DY$5</f>
        <v>0</v>
      </c>
      <c r="E18" s="121">
        <f>Calcul!$DY$6</f>
        <v>0</v>
      </c>
      <c r="F18" s="121"/>
    </row>
    <row r="19" spans="1:7" x14ac:dyDescent="0.3">
      <c r="A19" s="234" t="s">
        <v>462</v>
      </c>
      <c r="B19" s="235">
        <f>Calcul!$DZ$3</f>
        <v>50</v>
      </c>
      <c r="C19" s="235">
        <f>Calcul!$DZ$4</f>
        <v>0</v>
      </c>
      <c r="D19" s="235">
        <f>Calcul!$DZ$5</f>
        <v>0</v>
      </c>
      <c r="E19" s="235">
        <f>Calcul!$DZ$6</f>
        <v>0</v>
      </c>
      <c r="F19" s="235"/>
    </row>
    <row r="20" spans="1:7" x14ac:dyDescent="0.3">
      <c r="A20" s="120" t="s">
        <v>463</v>
      </c>
      <c r="B20" s="121"/>
      <c r="C20" s="122"/>
      <c r="D20" s="122"/>
      <c r="E20" s="122"/>
      <c r="F20" s="121"/>
    </row>
    <row r="21" spans="1:7" x14ac:dyDescent="0.3">
      <c r="A21" s="120" t="s">
        <v>464</v>
      </c>
      <c r="B21" s="121"/>
      <c r="C21" s="122"/>
      <c r="D21" s="122"/>
      <c r="E21" s="122"/>
      <c r="F21" s="121"/>
    </row>
    <row r="22" spans="1:7" x14ac:dyDescent="0.3">
      <c r="A22" s="123" t="s">
        <v>465</v>
      </c>
      <c r="B22" s="124" t="e">
        <f>SUM(B3:B19)</f>
        <v>#N/A</v>
      </c>
      <c r="C22" s="124">
        <f t="shared" ref="C22:D22" si="0">SUM(C3:C19)</f>
        <v>0</v>
      </c>
      <c r="D22" s="124">
        <f t="shared" si="0"/>
        <v>0</v>
      </c>
      <c r="E22" s="125"/>
      <c r="F22" s="126">
        <f>SUM(F3:F21)</f>
        <v>0</v>
      </c>
      <c r="G22" s="156"/>
    </row>
    <row r="23" spans="1:7" x14ac:dyDescent="0.3">
      <c r="B23" s="114" t="e">
        <f>B22-Calcul!EB3</f>
        <v>#N/A</v>
      </c>
      <c r="F23" s="119">
        <f>F22-F21</f>
        <v>0</v>
      </c>
      <c r="G23" s="156"/>
    </row>
    <row r="24" spans="1:7" x14ac:dyDescent="0.3">
      <c r="C24" s="156"/>
      <c r="D24" s="156"/>
      <c r="F24" s="119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A9485-47BE-4F11-80A6-150ECE20F477}">
  <sheetPr>
    <tabColor rgb="FFCC66FF"/>
  </sheetPr>
  <dimension ref="A1:G100"/>
  <sheetViews>
    <sheetView tabSelected="1" topLeftCell="A82" workbookViewId="0">
      <selection activeCell="B96" sqref="B96"/>
    </sheetView>
  </sheetViews>
  <sheetFormatPr baseColWidth="10" defaultRowHeight="14.4" x14ac:dyDescent="0.3"/>
  <cols>
    <col min="1" max="1" width="55.44140625" bestFit="1" customWidth="1"/>
    <col min="2" max="2" width="58.6640625" bestFit="1" customWidth="1"/>
    <col min="3" max="3" width="23.44140625" bestFit="1" customWidth="1"/>
    <col min="4" max="4" width="14.109375" bestFit="1" customWidth="1"/>
    <col min="5" max="5" width="14.88671875" bestFit="1" customWidth="1"/>
    <col min="6" max="6" width="10.77734375" bestFit="1" customWidth="1"/>
    <col min="7" max="7" width="15.44140625" bestFit="1" customWidth="1"/>
  </cols>
  <sheetData>
    <row r="1" spans="1:5" ht="18" x14ac:dyDescent="0.35">
      <c r="A1" s="462" t="s">
        <v>991</v>
      </c>
    </row>
    <row r="3" spans="1:5" x14ac:dyDescent="0.3">
      <c r="A3" s="463" t="s">
        <v>992</v>
      </c>
    </row>
    <row r="4" spans="1:5" x14ac:dyDescent="0.3">
      <c r="A4" s="464" t="s">
        <v>993</v>
      </c>
      <c r="B4" s="464" t="s">
        <v>994</v>
      </c>
      <c r="C4" s="464" t="s">
        <v>995</v>
      </c>
      <c r="D4" s="464" t="s">
        <v>996</v>
      </c>
      <c r="E4" s="464" t="s">
        <v>997</v>
      </c>
    </row>
    <row r="5" spans="1:5" x14ac:dyDescent="0.3">
      <c r="A5" t="s">
        <v>11</v>
      </c>
      <c r="B5" t="s">
        <v>998</v>
      </c>
      <c r="C5" t="s">
        <v>999</v>
      </c>
      <c r="D5">
        <v>1</v>
      </c>
      <c r="E5">
        <v>330</v>
      </c>
    </row>
    <row r="6" spans="1:5" x14ac:dyDescent="0.3">
      <c r="A6" t="s">
        <v>139</v>
      </c>
      <c r="B6" t="s">
        <v>998</v>
      </c>
      <c r="C6" t="s">
        <v>999</v>
      </c>
      <c r="D6">
        <v>1</v>
      </c>
      <c r="E6">
        <v>330</v>
      </c>
    </row>
    <row r="7" spans="1:5" x14ac:dyDescent="0.3">
      <c r="A7" t="s">
        <v>141</v>
      </c>
      <c r="B7" t="s">
        <v>998</v>
      </c>
      <c r="C7" t="s">
        <v>999</v>
      </c>
      <c r="D7">
        <v>1</v>
      </c>
      <c r="E7">
        <v>330</v>
      </c>
    </row>
    <row r="8" spans="1:5" x14ac:dyDescent="0.3">
      <c r="A8" t="s">
        <v>147</v>
      </c>
      <c r="B8" t="s">
        <v>998</v>
      </c>
      <c r="C8" t="s">
        <v>999</v>
      </c>
      <c r="D8">
        <v>1</v>
      </c>
      <c r="E8">
        <v>330</v>
      </c>
    </row>
    <row r="9" spans="1:5" x14ac:dyDescent="0.3">
      <c r="A9" t="s">
        <v>155</v>
      </c>
      <c r="B9" t="s">
        <v>998</v>
      </c>
      <c r="C9" t="s">
        <v>999</v>
      </c>
      <c r="D9">
        <v>1</v>
      </c>
      <c r="E9">
        <v>330</v>
      </c>
    </row>
    <row r="10" spans="1:5" x14ac:dyDescent="0.3">
      <c r="A10" t="s">
        <v>170</v>
      </c>
      <c r="B10" t="s">
        <v>998</v>
      </c>
      <c r="C10" t="s">
        <v>999</v>
      </c>
      <c r="D10">
        <v>1</v>
      </c>
      <c r="E10">
        <v>330</v>
      </c>
    </row>
    <row r="11" spans="1:5" x14ac:dyDescent="0.3">
      <c r="A11" t="s">
        <v>174</v>
      </c>
      <c r="B11" t="s">
        <v>1000</v>
      </c>
      <c r="C11" t="s">
        <v>175</v>
      </c>
      <c r="D11">
        <v>1.0660700000000001</v>
      </c>
      <c r="E11">
        <v>330</v>
      </c>
    </row>
    <row r="13" spans="1:5" x14ac:dyDescent="0.3">
      <c r="A13" s="463" t="s">
        <v>1001</v>
      </c>
    </row>
    <row r="14" spans="1:5" x14ac:dyDescent="0.3">
      <c r="A14" s="464" t="s">
        <v>1002</v>
      </c>
      <c r="B14" s="464" t="s">
        <v>1003</v>
      </c>
      <c r="C14" s="464" t="s">
        <v>1004</v>
      </c>
    </row>
    <row r="15" spans="1:5" x14ac:dyDescent="0.3">
      <c r="A15" t="s">
        <v>1005</v>
      </c>
      <c r="B15">
        <v>0.2</v>
      </c>
      <c r="C15" t="s">
        <v>1006</v>
      </c>
    </row>
    <row r="16" spans="1:5" x14ac:dyDescent="0.3">
      <c r="A16" t="s">
        <v>1007</v>
      </c>
      <c r="B16">
        <v>0.8</v>
      </c>
      <c r="C16" t="s">
        <v>1008</v>
      </c>
    </row>
    <row r="17" spans="1:3" x14ac:dyDescent="0.3">
      <c r="A17" t="s">
        <v>1009</v>
      </c>
      <c r="B17">
        <v>0</v>
      </c>
    </row>
    <row r="18" spans="1:3" x14ac:dyDescent="0.3">
      <c r="A18" t="s">
        <v>1010</v>
      </c>
      <c r="B18">
        <v>8.9999999999999993E-3</v>
      </c>
      <c r="C18" t="s">
        <v>1011</v>
      </c>
    </row>
    <row r="19" spans="1:3" x14ac:dyDescent="0.3">
      <c r="A19" t="s">
        <v>1012</v>
      </c>
      <c r="B19">
        <v>14.81</v>
      </c>
      <c r="C19" t="s">
        <v>1013</v>
      </c>
    </row>
    <row r="20" spans="1:3" x14ac:dyDescent="0.3">
      <c r="A20" t="s">
        <v>1014</v>
      </c>
      <c r="B20">
        <v>6.3E-2</v>
      </c>
      <c r="C20" t="s">
        <v>1011</v>
      </c>
    </row>
    <row r="21" spans="1:3" x14ac:dyDescent="0.3">
      <c r="A21" t="s">
        <v>1015</v>
      </c>
      <c r="B21">
        <v>50</v>
      </c>
      <c r="C21" t="s">
        <v>1016</v>
      </c>
    </row>
    <row r="22" spans="1:3" x14ac:dyDescent="0.3">
      <c r="A22" t="s">
        <v>318</v>
      </c>
      <c r="B22">
        <v>4</v>
      </c>
      <c r="C22" t="s">
        <v>1017</v>
      </c>
    </row>
    <row r="23" spans="1:3" x14ac:dyDescent="0.3">
      <c r="A23" t="s">
        <v>1018</v>
      </c>
      <c r="B23">
        <v>18</v>
      </c>
      <c r="C23" t="s">
        <v>1019</v>
      </c>
    </row>
    <row r="24" spans="1:3" x14ac:dyDescent="0.3">
      <c r="A24" t="s">
        <v>1020</v>
      </c>
      <c r="B24">
        <v>330</v>
      </c>
      <c r="C24" t="s">
        <v>1021</v>
      </c>
    </row>
    <row r="26" spans="1:3" x14ac:dyDescent="0.3">
      <c r="A26" s="463" t="s">
        <v>1022</v>
      </c>
    </row>
    <row r="27" spans="1:3" x14ac:dyDescent="0.3">
      <c r="A27" s="464" t="s">
        <v>1023</v>
      </c>
      <c r="B27" s="464" t="s">
        <v>800</v>
      </c>
      <c r="C27" s="464" t="s">
        <v>1024</v>
      </c>
    </row>
    <row r="28" spans="1:3" x14ac:dyDescent="0.3">
      <c r="A28" t="s">
        <v>1025</v>
      </c>
      <c r="B28">
        <v>240</v>
      </c>
    </row>
    <row r="29" spans="1:3" x14ac:dyDescent="0.3">
      <c r="A29" t="s">
        <v>514</v>
      </c>
      <c r="B29">
        <v>140</v>
      </c>
    </row>
    <row r="30" spans="1:3" x14ac:dyDescent="0.3">
      <c r="A30" t="s">
        <v>1026</v>
      </c>
      <c r="B30">
        <v>530</v>
      </c>
    </row>
    <row r="31" spans="1:3" x14ac:dyDescent="0.3">
      <c r="A31" t="s">
        <v>44</v>
      </c>
      <c r="B31">
        <v>235</v>
      </c>
    </row>
    <row r="32" spans="1:3" x14ac:dyDescent="0.3">
      <c r="A32" t="s">
        <v>45</v>
      </c>
      <c r="B32">
        <v>235</v>
      </c>
    </row>
    <row r="33" spans="1:7" x14ac:dyDescent="0.3">
      <c r="A33" t="s">
        <v>1027</v>
      </c>
      <c r="B33">
        <v>45</v>
      </c>
      <c r="C33" t="s">
        <v>1028</v>
      </c>
    </row>
    <row r="34" spans="1:7" x14ac:dyDescent="0.3">
      <c r="A34" t="s">
        <v>1029</v>
      </c>
      <c r="B34">
        <v>215</v>
      </c>
    </row>
    <row r="36" spans="1:7" x14ac:dyDescent="0.3">
      <c r="A36" s="463" t="s">
        <v>1030</v>
      </c>
    </row>
    <row r="37" spans="1:7" x14ac:dyDescent="0.3">
      <c r="A37" s="464" t="s">
        <v>1031</v>
      </c>
      <c r="B37" s="464" t="s">
        <v>1032</v>
      </c>
      <c r="C37" s="464" t="s">
        <v>1033</v>
      </c>
      <c r="D37" s="464" t="s">
        <v>1034</v>
      </c>
      <c r="E37" s="464" t="s">
        <v>1035</v>
      </c>
    </row>
    <row r="38" spans="1:7" x14ac:dyDescent="0.3">
      <c r="A38" t="s">
        <v>1036</v>
      </c>
      <c r="B38">
        <v>21.527999999999999</v>
      </c>
      <c r="C38">
        <v>2</v>
      </c>
      <c r="D38">
        <v>100</v>
      </c>
      <c r="E38">
        <v>0.25</v>
      </c>
    </row>
    <row r="39" spans="1:7" x14ac:dyDescent="0.3">
      <c r="A39" t="s">
        <v>1037</v>
      </c>
      <c r="B39">
        <v>26.916</v>
      </c>
      <c r="C39">
        <v>10</v>
      </c>
      <c r="D39">
        <v>100</v>
      </c>
      <c r="E39">
        <v>0.25</v>
      </c>
    </row>
    <row r="40" spans="1:7" x14ac:dyDescent="0.3">
      <c r="A40" t="s">
        <v>1038</v>
      </c>
      <c r="B40">
        <v>11.34</v>
      </c>
      <c r="C40">
        <v>2</v>
      </c>
      <c r="D40">
        <v>100</v>
      </c>
      <c r="E40">
        <v>1</v>
      </c>
    </row>
    <row r="41" spans="1:7" x14ac:dyDescent="0.3">
      <c r="A41" t="s">
        <v>1039</v>
      </c>
      <c r="B41">
        <v>7.56</v>
      </c>
      <c r="C41">
        <v>10</v>
      </c>
      <c r="D41">
        <v>100</v>
      </c>
      <c r="E41">
        <v>0.25</v>
      </c>
    </row>
    <row r="43" spans="1:7" x14ac:dyDescent="0.3">
      <c r="A43" s="463" t="s">
        <v>1040</v>
      </c>
    </row>
    <row r="44" spans="1:7" x14ac:dyDescent="0.3">
      <c r="A44" s="464" t="s">
        <v>128</v>
      </c>
      <c r="B44" s="464" t="s">
        <v>1031</v>
      </c>
      <c r="C44" s="464" t="s">
        <v>1041</v>
      </c>
      <c r="D44" s="464" t="s">
        <v>1042</v>
      </c>
      <c r="E44" s="464" t="s">
        <v>1043</v>
      </c>
      <c r="F44" s="464" t="s">
        <v>1044</v>
      </c>
      <c r="G44" s="464" t="s">
        <v>1045</v>
      </c>
    </row>
    <row r="45" spans="1:7" x14ac:dyDescent="0.3">
      <c r="A45" t="s">
        <v>11</v>
      </c>
      <c r="B45" t="s">
        <v>1046</v>
      </c>
      <c r="C45">
        <v>200</v>
      </c>
      <c r="D45">
        <v>333</v>
      </c>
      <c r="E45">
        <v>210</v>
      </c>
      <c r="F45">
        <v>3600</v>
      </c>
      <c r="G45">
        <v>25</v>
      </c>
    </row>
    <row r="46" spans="1:7" x14ac:dyDescent="0.3">
      <c r="A46" t="s">
        <v>11</v>
      </c>
      <c r="B46" t="s">
        <v>132</v>
      </c>
      <c r="E46">
        <v>107</v>
      </c>
    </row>
    <row r="48" spans="1:7" x14ac:dyDescent="0.3">
      <c r="A48" s="463" t="s">
        <v>1047</v>
      </c>
    </row>
    <row r="49" spans="1:4" x14ac:dyDescent="0.3">
      <c r="A49" s="464" t="s">
        <v>128</v>
      </c>
      <c r="B49" s="464" t="s">
        <v>1031</v>
      </c>
      <c r="C49" s="464" t="s">
        <v>504</v>
      </c>
      <c r="D49" s="464" t="s">
        <v>1048</v>
      </c>
    </row>
    <row r="50" spans="1:4" x14ac:dyDescent="0.3">
      <c r="A50" t="s">
        <v>11</v>
      </c>
      <c r="B50" t="s">
        <v>1046</v>
      </c>
      <c r="D50">
        <v>980</v>
      </c>
    </row>
    <row r="51" spans="1:4" x14ac:dyDescent="0.3">
      <c r="A51" t="s">
        <v>139</v>
      </c>
      <c r="B51" t="s">
        <v>1046</v>
      </c>
      <c r="D51">
        <v>980</v>
      </c>
    </row>
    <row r="52" spans="1:4" x14ac:dyDescent="0.3">
      <c r="A52" t="s">
        <v>141</v>
      </c>
      <c r="B52" t="s">
        <v>1046</v>
      </c>
      <c r="D52">
        <v>980</v>
      </c>
    </row>
    <row r="53" spans="1:4" x14ac:dyDescent="0.3">
      <c r="A53" t="s">
        <v>147</v>
      </c>
      <c r="B53" t="s">
        <v>1046</v>
      </c>
      <c r="D53">
        <v>980</v>
      </c>
    </row>
    <row r="54" spans="1:4" x14ac:dyDescent="0.3">
      <c r="A54" t="s">
        <v>155</v>
      </c>
      <c r="B54" t="s">
        <v>1046</v>
      </c>
      <c r="D54">
        <v>980</v>
      </c>
    </row>
    <row r="55" spans="1:4" x14ac:dyDescent="0.3">
      <c r="A55" t="s">
        <v>170</v>
      </c>
      <c r="B55" t="s">
        <v>1046</v>
      </c>
      <c r="D55">
        <v>980</v>
      </c>
    </row>
    <row r="56" spans="1:4" x14ac:dyDescent="0.3">
      <c r="A56" t="s">
        <v>174</v>
      </c>
      <c r="B56" t="s">
        <v>1046</v>
      </c>
      <c r="D56">
        <v>981</v>
      </c>
    </row>
    <row r="57" spans="1:4" x14ac:dyDescent="0.3">
      <c r="A57" t="s">
        <v>11</v>
      </c>
      <c r="B57" t="s">
        <v>132</v>
      </c>
      <c r="C57" t="s">
        <v>339</v>
      </c>
      <c r="D57">
        <v>305</v>
      </c>
    </row>
    <row r="58" spans="1:4" x14ac:dyDescent="0.3">
      <c r="A58" t="s">
        <v>139</v>
      </c>
      <c r="B58" t="s">
        <v>132</v>
      </c>
      <c r="C58" t="s">
        <v>340</v>
      </c>
      <c r="D58">
        <v>356</v>
      </c>
    </row>
    <row r="59" spans="1:4" x14ac:dyDescent="0.3">
      <c r="A59" t="s">
        <v>141</v>
      </c>
      <c r="B59" t="s">
        <v>132</v>
      </c>
      <c r="C59" t="s">
        <v>341</v>
      </c>
      <c r="D59">
        <v>330</v>
      </c>
    </row>
    <row r="60" spans="1:4" x14ac:dyDescent="0.3">
      <c r="A60" t="s">
        <v>147</v>
      </c>
      <c r="B60" t="s">
        <v>132</v>
      </c>
      <c r="C60" t="s">
        <v>342</v>
      </c>
      <c r="D60">
        <v>320</v>
      </c>
    </row>
    <row r="61" spans="1:4" x14ac:dyDescent="0.3">
      <c r="A61" t="s">
        <v>155</v>
      </c>
      <c r="B61" t="s">
        <v>132</v>
      </c>
      <c r="C61" t="s">
        <v>343</v>
      </c>
      <c r="D61">
        <v>320</v>
      </c>
    </row>
    <row r="62" spans="1:4" x14ac:dyDescent="0.3">
      <c r="A62" t="s">
        <v>174</v>
      </c>
      <c r="B62" t="s">
        <v>132</v>
      </c>
      <c r="C62" t="s">
        <v>344</v>
      </c>
      <c r="D62">
        <v>320</v>
      </c>
    </row>
    <row r="63" spans="1:4" x14ac:dyDescent="0.3">
      <c r="A63" t="s">
        <v>170</v>
      </c>
      <c r="B63" t="s">
        <v>132</v>
      </c>
      <c r="C63" t="s">
        <v>345</v>
      </c>
      <c r="D63">
        <v>305</v>
      </c>
    </row>
    <row r="65" spans="1:7" x14ac:dyDescent="0.3">
      <c r="A65" s="463" t="s">
        <v>1049</v>
      </c>
    </row>
    <row r="66" spans="1:7" x14ac:dyDescent="0.3">
      <c r="A66" s="464" t="s">
        <v>128</v>
      </c>
      <c r="B66" s="464" t="s">
        <v>477</v>
      </c>
      <c r="C66" s="464" t="s">
        <v>1023</v>
      </c>
      <c r="D66" s="464" t="s">
        <v>1050</v>
      </c>
      <c r="E66" s="464" t="s">
        <v>495</v>
      </c>
      <c r="F66" s="464" t="s">
        <v>1051</v>
      </c>
      <c r="G66" s="464" t="s">
        <v>1052</v>
      </c>
    </row>
    <row r="67" spans="1:7" x14ac:dyDescent="0.3">
      <c r="A67" t="s">
        <v>11</v>
      </c>
      <c r="B67" t="s">
        <v>339</v>
      </c>
      <c r="C67" t="s">
        <v>512</v>
      </c>
      <c r="D67">
        <v>1.25</v>
      </c>
      <c r="E67">
        <v>100</v>
      </c>
      <c r="F67">
        <v>0</v>
      </c>
      <c r="G67">
        <v>4000</v>
      </c>
    </row>
    <row r="68" spans="1:7" x14ac:dyDescent="0.3">
      <c r="A68" t="s">
        <v>11</v>
      </c>
      <c r="B68" t="s">
        <v>339</v>
      </c>
      <c r="C68" t="s">
        <v>43</v>
      </c>
      <c r="D68">
        <v>1</v>
      </c>
      <c r="E68">
        <v>100</v>
      </c>
      <c r="F68">
        <v>0</v>
      </c>
      <c r="G68">
        <v>4000</v>
      </c>
    </row>
    <row r="69" spans="1:7" x14ac:dyDescent="0.3">
      <c r="A69" t="s">
        <v>11</v>
      </c>
      <c r="B69" t="s">
        <v>339</v>
      </c>
      <c r="C69" t="s">
        <v>44</v>
      </c>
      <c r="D69">
        <v>0.58330000000000004</v>
      </c>
      <c r="E69">
        <v>100</v>
      </c>
      <c r="F69">
        <v>0</v>
      </c>
      <c r="G69">
        <v>4500</v>
      </c>
    </row>
    <row r="70" spans="1:7" x14ac:dyDescent="0.3">
      <c r="A70" t="s">
        <v>11</v>
      </c>
      <c r="B70" t="s">
        <v>339</v>
      </c>
      <c r="C70" t="s">
        <v>45</v>
      </c>
      <c r="D70">
        <v>0.5</v>
      </c>
      <c r="E70">
        <v>100</v>
      </c>
      <c r="F70">
        <v>0</v>
      </c>
      <c r="G70">
        <v>4500</v>
      </c>
    </row>
    <row r="71" spans="1:7" x14ac:dyDescent="0.3">
      <c r="A71" t="s">
        <v>11</v>
      </c>
      <c r="B71" t="s">
        <v>339</v>
      </c>
      <c r="C71" t="s">
        <v>42</v>
      </c>
      <c r="D71">
        <v>1.2</v>
      </c>
      <c r="E71">
        <v>100</v>
      </c>
      <c r="F71">
        <v>0</v>
      </c>
      <c r="G71">
        <v>4000</v>
      </c>
    </row>
    <row r="72" spans="1:7" x14ac:dyDescent="0.3">
      <c r="A72" t="s">
        <v>11</v>
      </c>
      <c r="B72" t="s">
        <v>339</v>
      </c>
      <c r="C72" t="s">
        <v>514</v>
      </c>
      <c r="D72">
        <v>0.5</v>
      </c>
      <c r="E72">
        <v>100</v>
      </c>
      <c r="F72">
        <v>0</v>
      </c>
      <c r="G72">
        <v>4500</v>
      </c>
    </row>
    <row r="73" spans="1:7" x14ac:dyDescent="0.3">
      <c r="A73" t="s">
        <v>11</v>
      </c>
      <c r="B73" t="s">
        <v>339</v>
      </c>
      <c r="C73" t="s">
        <v>161</v>
      </c>
      <c r="D73">
        <v>0.16669999999999999</v>
      </c>
      <c r="E73">
        <v>0</v>
      </c>
      <c r="F73">
        <v>0</v>
      </c>
      <c r="G73">
        <v>99999</v>
      </c>
    </row>
    <row r="74" spans="1:7" x14ac:dyDescent="0.3">
      <c r="A74" t="s">
        <v>139</v>
      </c>
      <c r="B74" t="s">
        <v>340</v>
      </c>
      <c r="C74" t="s">
        <v>512</v>
      </c>
      <c r="D74">
        <v>1.25</v>
      </c>
      <c r="E74">
        <v>100</v>
      </c>
      <c r="F74">
        <v>0</v>
      </c>
      <c r="G74">
        <v>4000</v>
      </c>
    </row>
    <row r="75" spans="1:7" x14ac:dyDescent="0.3">
      <c r="A75" t="s">
        <v>139</v>
      </c>
      <c r="B75" t="s">
        <v>340</v>
      </c>
      <c r="C75" t="s">
        <v>43</v>
      </c>
      <c r="D75">
        <v>1</v>
      </c>
      <c r="E75">
        <v>100</v>
      </c>
      <c r="F75">
        <v>0</v>
      </c>
      <c r="G75">
        <v>4000</v>
      </c>
    </row>
    <row r="76" spans="1:7" x14ac:dyDescent="0.3">
      <c r="A76" t="s">
        <v>139</v>
      </c>
      <c r="B76" t="s">
        <v>340</v>
      </c>
      <c r="C76" t="s">
        <v>44</v>
      </c>
      <c r="D76">
        <v>0.58330000000000004</v>
      </c>
      <c r="E76">
        <v>100</v>
      </c>
      <c r="F76">
        <v>0</v>
      </c>
      <c r="G76">
        <v>4500</v>
      </c>
    </row>
    <row r="77" spans="1:7" x14ac:dyDescent="0.3">
      <c r="A77" t="s">
        <v>139</v>
      </c>
      <c r="B77" t="s">
        <v>340</v>
      </c>
      <c r="C77" t="s">
        <v>45</v>
      </c>
      <c r="D77">
        <v>0.5</v>
      </c>
      <c r="E77">
        <v>100</v>
      </c>
      <c r="F77">
        <v>0</v>
      </c>
      <c r="G77">
        <v>4500</v>
      </c>
    </row>
    <row r="78" spans="1:7" x14ac:dyDescent="0.3">
      <c r="A78" t="s">
        <v>139</v>
      </c>
      <c r="B78" t="s">
        <v>340</v>
      </c>
      <c r="C78" t="s">
        <v>42</v>
      </c>
      <c r="D78">
        <v>1.2</v>
      </c>
      <c r="E78">
        <v>100</v>
      </c>
      <c r="F78">
        <v>0</v>
      </c>
      <c r="G78">
        <v>4000</v>
      </c>
    </row>
    <row r="79" spans="1:7" x14ac:dyDescent="0.3">
      <c r="A79" t="s">
        <v>139</v>
      </c>
      <c r="B79" t="s">
        <v>340</v>
      </c>
      <c r="C79" t="s">
        <v>514</v>
      </c>
      <c r="D79">
        <v>0.5</v>
      </c>
      <c r="E79">
        <v>100</v>
      </c>
      <c r="F79">
        <v>0</v>
      </c>
      <c r="G79">
        <v>4500</v>
      </c>
    </row>
    <row r="80" spans="1:7" x14ac:dyDescent="0.3">
      <c r="A80" t="s">
        <v>139</v>
      </c>
      <c r="B80" t="s">
        <v>340</v>
      </c>
      <c r="C80" t="s">
        <v>161</v>
      </c>
      <c r="D80">
        <v>0.16669999999999999</v>
      </c>
      <c r="E80">
        <v>0</v>
      </c>
      <c r="F80">
        <v>0</v>
      </c>
      <c r="G80">
        <v>99999</v>
      </c>
    </row>
    <row r="81" spans="1:7" x14ac:dyDescent="0.3">
      <c r="A81" t="s">
        <v>147</v>
      </c>
      <c r="B81" t="s">
        <v>342</v>
      </c>
      <c r="C81" t="s">
        <v>512</v>
      </c>
      <c r="D81">
        <v>1.25</v>
      </c>
      <c r="E81">
        <v>100</v>
      </c>
      <c r="F81">
        <v>0</v>
      </c>
      <c r="G81">
        <v>4000</v>
      </c>
    </row>
    <row r="82" spans="1:7" x14ac:dyDescent="0.3">
      <c r="A82" t="s">
        <v>147</v>
      </c>
      <c r="B82" t="s">
        <v>342</v>
      </c>
      <c r="C82" t="s">
        <v>43</v>
      </c>
      <c r="D82">
        <v>1</v>
      </c>
      <c r="E82">
        <v>100</v>
      </c>
      <c r="F82">
        <v>0</v>
      </c>
      <c r="G82">
        <v>4000</v>
      </c>
    </row>
    <row r="83" spans="1:7" x14ac:dyDescent="0.3">
      <c r="A83" t="s">
        <v>147</v>
      </c>
      <c r="B83" t="s">
        <v>342</v>
      </c>
      <c r="C83" t="s">
        <v>44</v>
      </c>
      <c r="D83">
        <v>0.58330000000000004</v>
      </c>
      <c r="E83">
        <v>100</v>
      </c>
      <c r="F83">
        <v>0</v>
      </c>
      <c r="G83">
        <v>4500</v>
      </c>
    </row>
    <row r="84" spans="1:7" x14ac:dyDescent="0.3">
      <c r="A84" t="s">
        <v>147</v>
      </c>
      <c r="B84" t="s">
        <v>342</v>
      </c>
      <c r="C84" t="s">
        <v>45</v>
      </c>
      <c r="D84">
        <v>0.5</v>
      </c>
      <c r="E84">
        <v>100</v>
      </c>
      <c r="F84">
        <v>0</v>
      </c>
      <c r="G84">
        <v>4500</v>
      </c>
    </row>
    <row r="85" spans="1:7" x14ac:dyDescent="0.3">
      <c r="A85" t="s">
        <v>147</v>
      </c>
      <c r="B85" t="s">
        <v>342</v>
      </c>
      <c r="C85" t="s">
        <v>42</v>
      </c>
      <c r="D85">
        <v>1.2</v>
      </c>
      <c r="E85">
        <v>100</v>
      </c>
      <c r="F85">
        <v>0</v>
      </c>
      <c r="G85">
        <v>4000</v>
      </c>
    </row>
    <row r="86" spans="1:7" x14ac:dyDescent="0.3">
      <c r="A86" t="s">
        <v>147</v>
      </c>
      <c r="B86" t="s">
        <v>342</v>
      </c>
      <c r="C86" t="s">
        <v>514</v>
      </c>
      <c r="D86">
        <v>0.5</v>
      </c>
      <c r="E86">
        <v>100</v>
      </c>
      <c r="F86">
        <v>0</v>
      </c>
      <c r="G86">
        <v>4500</v>
      </c>
    </row>
    <row r="87" spans="1:7" x14ac:dyDescent="0.3">
      <c r="A87" t="s">
        <v>147</v>
      </c>
      <c r="B87" t="s">
        <v>342</v>
      </c>
      <c r="C87" t="s">
        <v>161</v>
      </c>
      <c r="D87">
        <v>0.16669999999999999</v>
      </c>
      <c r="E87">
        <v>0</v>
      </c>
      <c r="F87">
        <v>0</v>
      </c>
      <c r="G87">
        <v>99999</v>
      </c>
    </row>
    <row r="88" spans="1:7" x14ac:dyDescent="0.3">
      <c r="A88" t="s">
        <v>141</v>
      </c>
      <c r="B88" t="s">
        <v>341</v>
      </c>
      <c r="C88" t="s">
        <v>45</v>
      </c>
      <c r="D88">
        <v>0.25</v>
      </c>
      <c r="E88">
        <v>100</v>
      </c>
      <c r="F88">
        <v>0.02</v>
      </c>
      <c r="G88">
        <v>2400</v>
      </c>
    </row>
    <row r="90" spans="1:7" x14ac:dyDescent="0.3">
      <c r="A90" s="463" t="s">
        <v>1053</v>
      </c>
    </row>
    <row r="91" spans="1:7" x14ac:dyDescent="0.3">
      <c r="A91" s="464" t="s">
        <v>1054</v>
      </c>
      <c r="B91" s="464" t="s">
        <v>1055</v>
      </c>
    </row>
    <row r="92" spans="1:7" x14ac:dyDescent="0.3">
      <c r="A92" t="s">
        <v>813</v>
      </c>
      <c r="B92">
        <v>0.97631999999999997</v>
      </c>
    </row>
    <row r="94" spans="1:7" x14ac:dyDescent="0.3">
      <c r="A94" s="463" t="s">
        <v>1056</v>
      </c>
    </row>
    <row r="95" spans="1:7" x14ac:dyDescent="0.3">
      <c r="A95" s="464" t="s">
        <v>1057</v>
      </c>
      <c r="B95" s="464" t="s">
        <v>1058</v>
      </c>
    </row>
    <row r="96" spans="1:7" x14ac:dyDescent="0.3">
      <c r="A96" t="s">
        <v>1059</v>
      </c>
      <c r="B96" t="s">
        <v>1060</v>
      </c>
    </row>
    <row r="97" spans="1:2" x14ac:dyDescent="0.3">
      <c r="A97" t="s">
        <v>1061</v>
      </c>
      <c r="B97" t="s">
        <v>1062</v>
      </c>
    </row>
    <row r="98" spans="1:2" x14ac:dyDescent="0.3">
      <c r="A98" t="s">
        <v>1063</v>
      </c>
      <c r="B98" t="s">
        <v>1064</v>
      </c>
    </row>
    <row r="99" spans="1:2" x14ac:dyDescent="0.3">
      <c r="A99" t="s">
        <v>1065</v>
      </c>
      <c r="B99" t="s">
        <v>1066</v>
      </c>
    </row>
    <row r="100" spans="1:2" x14ac:dyDescent="0.3">
      <c r="A100" t="s">
        <v>13</v>
      </c>
      <c r="B100" t="s">
        <v>1067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NBIBC76CSZ37LUNOX5GZVA3JYVUGS6A7:ms-officescript%3A%2F%2Fonedrive_business_sharinglink%2Fu!aHR0cHM6Ly9hdXRham9ub25saW5lLW15LnNoYXJlcG9pbnQuY29tLzp1Oi9nL3BlcnNvbmFsL2RvbWluaWNfbWF6dXJfYXV0YWpvbl9jb20vRWNLV2RfWFJycjlObW9OcHhXaHBlQjhCNHRyb1BaTEp4cFgtalM4NkdTOXJRZ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54C4F6F112144E974B67744E87C306" ma:contentTypeVersion="3" ma:contentTypeDescription="Create a new document." ma:contentTypeScope="" ma:versionID="7327c09ff60e18c3886652f10b8e123e">
  <xsd:schema xmlns:xsd="http://www.w3.org/2001/XMLSchema" xmlns:xs="http://www.w3.org/2001/XMLSchema" xmlns:p="http://schemas.microsoft.com/office/2006/metadata/properties" xmlns:ns2="ef23d9f5-e33d-48ce-8f97-50a8133fd107" targetNamespace="http://schemas.microsoft.com/office/2006/metadata/properties" ma:root="true" ma:fieldsID="a8d57d6b6d5be40a39d32e73ad633c6b" ns2:_="">
    <xsd:import namespace="ef23d9f5-e33d-48ce-8f97-50a8133fd1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23d9f5-e33d-48ce-8f97-50a8133fd1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850D78-582F-4F60-8E66-95E2848410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E2F918-9155-4A94-81C5-CEF3E933930C}">
  <ds:schemaRefs>
    <ds:schemaRef ds:uri="http://purl.org/dc/elements/1.1/"/>
    <ds:schemaRef ds:uri="http://schemas.openxmlformats.org/package/2006/metadata/core-properties"/>
    <ds:schemaRef ds:uri="http://www.w3.org/XML/1998/namespace"/>
    <ds:schemaRef ds:uri="ef23d9f5-e33d-48ce-8f97-50a8133fd107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C999314-E4B7-4647-A82F-A01ABEE20DA9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8A50AA3C-7B0C-4484-BB8B-8690C26DEC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23d9f5-e33d-48ce-8f97-50a8133fd1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Données Devis</vt:lpstr>
      <vt:lpstr>Résultat</vt:lpstr>
      <vt:lpstr>Lettre Devis</vt:lpstr>
      <vt:lpstr>Pantonier Dorures </vt:lpstr>
      <vt:lpstr>Index</vt:lpstr>
      <vt:lpstr>Pose</vt:lpstr>
      <vt:lpstr>Calcul</vt:lpstr>
      <vt:lpstr>Détail cout</vt:lpstr>
      <vt:lpstr>Paramètres Techniques</vt:lpstr>
      <vt:lpstr>Code Couleur</vt:lpstr>
      <vt:lpstr>Liste MP</vt:lpstr>
      <vt:lpstr>Feuil1</vt:lpstr>
      <vt:lpstr>Détail cout (2)</vt:lpstr>
      <vt:lpstr>ExportApp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MAZUR Dominic</dc:creator>
  <cp:keywords/>
  <dc:description/>
  <cp:lastModifiedBy>PETIT Sébastien</cp:lastModifiedBy>
  <cp:revision/>
  <cp:lastPrinted>2026-03-16T10:45:39Z</cp:lastPrinted>
  <dcterms:created xsi:type="dcterms:W3CDTF">2025-04-22T14:04:37Z</dcterms:created>
  <dcterms:modified xsi:type="dcterms:W3CDTF">2026-06-25T11:38:46Z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0x010100E254C4F6F112144E974B67744E87C306</vt:lpwstr>
  </property>
</Properties>
</file>