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SABÁTICO/Libro de Métodos Numéricos/Manuscrito/Libro de Métodos Numéricos/Subrutinas/Proyectos/proy4/Juego de empresas simple con cadenas de Markov/GamaAlta/"/>
    </mc:Choice>
  </mc:AlternateContent>
  <xr:revisionPtr revIDLastSave="0" documentId="13_ncr:1_{4E4A5747-CD9C-E949-86A3-CB6268ADB6D2}" xr6:coauthVersionLast="47" xr6:coauthVersionMax="47" xr10:uidLastSave="{00000000-0000-0000-0000-000000000000}"/>
  <bookViews>
    <workbookView xWindow="3340" yWindow="3440" windowWidth="30820" windowHeight="20820" xr2:uid="{E42F6E7C-11C8-B74F-B74B-5651D81C73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3" i="1"/>
  <c r="D12" i="1" s="1"/>
  <c r="B8" i="1"/>
  <c r="B30" i="1"/>
  <c r="J5" i="1"/>
  <c r="I3" i="1"/>
  <c r="G11" i="1"/>
  <c r="J4" i="1"/>
  <c r="F3" i="1"/>
  <c r="F8" i="1"/>
  <c r="E9" i="1"/>
  <c r="D6" i="1"/>
  <c r="I6" i="1"/>
  <c r="H6" i="1"/>
  <c r="H3" i="1" s="1"/>
  <c r="G6" i="1"/>
  <c r="G3" i="1"/>
  <c r="G12" i="1" s="1"/>
  <c r="F6" i="1"/>
  <c r="H24" i="1"/>
  <c r="F27" i="1"/>
  <c r="B17" i="1"/>
  <c r="B16" i="1"/>
  <c r="I10" i="1"/>
  <c r="H10" i="1"/>
  <c r="G10" i="1"/>
  <c r="F10" i="1"/>
  <c r="E10" i="1"/>
  <c r="D10" i="1"/>
  <c r="C10" i="1"/>
  <c r="I9" i="1"/>
  <c r="H9" i="1"/>
  <c r="G9" i="1"/>
  <c r="F9" i="1"/>
  <c r="D9" i="1"/>
  <c r="I8" i="1"/>
  <c r="H8" i="1"/>
  <c r="G8" i="1"/>
  <c r="E8" i="1"/>
  <c r="D8" i="1"/>
  <c r="C8" i="1"/>
  <c r="B9" i="1"/>
  <c r="B10" i="1"/>
  <c r="B6" i="1"/>
  <c r="B3" i="1" s="1"/>
  <c r="H12" i="1" l="1"/>
  <c r="I12" i="1"/>
  <c r="H11" i="1"/>
  <c r="I11" i="1"/>
  <c r="B11" i="1"/>
  <c r="F28" i="1"/>
  <c r="D19" i="1"/>
  <c r="D20" i="1"/>
  <c r="D11" i="1"/>
  <c r="B12" i="1"/>
  <c r="B20" i="1"/>
  <c r="B19" i="1"/>
  <c r="D23" i="1" l="1"/>
  <c r="D32" i="1"/>
  <c r="B18" i="1"/>
  <c r="B21" i="1"/>
  <c r="B32" i="1"/>
  <c r="B23" i="1"/>
  <c r="B27" i="1" s="1"/>
  <c r="C27" i="1" s="1"/>
  <c r="F12" i="1"/>
  <c r="H25" i="1"/>
  <c r="H27" i="1" s="1"/>
  <c r="F11" i="1"/>
  <c r="E6" i="1"/>
  <c r="E3" i="1" s="1"/>
  <c r="E11" i="1" l="1"/>
  <c r="E19" i="1"/>
  <c r="E20" i="1"/>
  <c r="E12" i="1"/>
  <c r="E32" i="1" l="1"/>
  <c r="E23" i="1"/>
  <c r="C6" i="1"/>
  <c r="C3" i="1" l="1"/>
  <c r="C20" i="1" l="1"/>
  <c r="C11" i="1"/>
  <c r="C12" i="1"/>
  <c r="C19" i="1"/>
  <c r="C32" i="1" l="1"/>
  <c r="C23" i="1"/>
</calcChain>
</file>

<file path=xl/sharedStrings.xml><?xml version="1.0" encoding="utf-8"?>
<sst xmlns="http://schemas.openxmlformats.org/spreadsheetml/2006/main" count="36" uniqueCount="33">
  <si>
    <t>Concepto</t>
  </si>
  <si>
    <t>Peugeot</t>
  </si>
  <si>
    <t>PVP/ud</t>
  </si>
  <si>
    <t>Costes Fijos (mensual)</t>
  </si>
  <si>
    <t>Presupuesto Inicial</t>
  </si>
  <si>
    <t>Costes variables/ud</t>
  </si>
  <si>
    <t>Costes de stock/ud</t>
  </si>
  <si>
    <t>Costes de no servicio/ud</t>
  </si>
  <si>
    <t>Costes de ruptura/ud</t>
  </si>
  <si>
    <t>Inversión Marketing (mensual)</t>
  </si>
  <si>
    <t>Inversión Mej. Tecn. (mensual)</t>
  </si>
  <si>
    <t>Unidades Frabricadas totales</t>
  </si>
  <si>
    <t xml:space="preserve">Mercedes </t>
  </si>
  <si>
    <t>35 HP</t>
  </si>
  <si>
    <t>Type 36 6 HP</t>
  </si>
  <si>
    <t>Penhard et Levassor</t>
  </si>
  <si>
    <t>30 HP</t>
  </si>
  <si>
    <t>Mors</t>
  </si>
  <si>
    <t>60 HP</t>
  </si>
  <si>
    <t>Mercedes</t>
  </si>
  <si>
    <t>DMG 8 HP</t>
  </si>
  <si>
    <t>Type 33 5 HP</t>
  </si>
  <si>
    <t>A2 7 HP</t>
  </si>
  <si>
    <t>Tonneau 10 HP</t>
  </si>
  <si>
    <t>Precio Medio Gama Alta</t>
  </si>
  <si>
    <t>Precio Medio Gama Baja</t>
  </si>
  <si>
    <t>7.5% Presupuesto máximo (Mejoras Tecnológicas Max)</t>
  </si>
  <si>
    <t>10% Presupuesto máximo (Marketing Max)</t>
  </si>
  <si>
    <t>Presup Old</t>
  </si>
  <si>
    <t>IMTecnolog Old</t>
  </si>
  <si>
    <t>% de Pres para Marketing</t>
  </si>
  <si>
    <t>% de Pres para Mej. Tecn.</t>
  </si>
  <si>
    <t>% Beneficio (Marketing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</si>
</sst>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9" formatCode="0.0000"/>
  </numFmts>
  <fonts count="3" x14ac:knownFonts="1">
    <font>
      <sz val="12"/>
      <color theme="1"/>
      <name val="Calibri"/>
      <family val="2"/>
      <scheme val="minor"/>
    </font>
    <font>
      <sz val="20"/>
      <color rgb="FF000000"/>
      <name val="Helvetica"/>
      <family val="2"/>
    </font>
    <font>
      <sz val="2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Fill="1"/>
    <xf numFmtId="1" fontId="2" fillId="0" borderId="0" xfId="0" applyNumberFormat="1" applyFont="1" applyFill="1"/>
    <xf numFmtId="10" fontId="0" fillId="0" borderId="0" xfId="0" applyNumberFormat="1"/>
    <xf numFmtId="165" fontId="2" fillId="0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165" fontId="2" fillId="2" borderId="0" xfId="0" applyNumberFormat="1" applyFont="1" applyFill="1"/>
    <xf numFmtId="16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06B8-ECD9-3647-825F-6DE5FED5007B}">
  <dimension ref="A1:J32"/>
  <sheetViews>
    <sheetView tabSelected="1" workbookViewId="0">
      <selection activeCell="E8" sqref="E8"/>
    </sheetView>
  </sheetViews>
  <sheetFormatPr baseColWidth="10" defaultRowHeight="16" x14ac:dyDescent="0.2"/>
  <cols>
    <col min="1" max="1" width="48.5" bestFit="1" customWidth="1"/>
    <col min="2" max="2" width="17.33203125" bestFit="1" customWidth="1"/>
    <col min="3" max="3" width="22.1640625" bestFit="1" customWidth="1"/>
    <col min="4" max="4" width="33" bestFit="1" customWidth="1"/>
    <col min="5" max="5" width="12.5" bestFit="1" customWidth="1"/>
    <col min="6" max="6" width="17.83203125" bestFit="1" customWidth="1"/>
    <col min="7" max="7" width="22.1640625" bestFit="1" customWidth="1"/>
    <col min="8" max="8" width="33" bestFit="1" customWidth="1"/>
    <col min="9" max="9" width="25" bestFit="1" customWidth="1"/>
  </cols>
  <sheetData>
    <row r="1" spans="1:10" ht="26" x14ac:dyDescent="0.3">
      <c r="A1" s="3" t="s">
        <v>0</v>
      </c>
      <c r="B1" s="3" t="s">
        <v>12</v>
      </c>
      <c r="C1" s="2" t="s">
        <v>1</v>
      </c>
      <c r="D1" s="3" t="s">
        <v>15</v>
      </c>
      <c r="E1" s="3" t="s">
        <v>17</v>
      </c>
      <c r="F1" s="3" t="s">
        <v>19</v>
      </c>
      <c r="G1" s="2" t="s">
        <v>1</v>
      </c>
      <c r="H1" s="3" t="s">
        <v>15</v>
      </c>
      <c r="I1" s="3" t="s">
        <v>17</v>
      </c>
    </row>
    <row r="2" spans="1:10" ht="26" x14ac:dyDescent="0.3">
      <c r="A2" s="3"/>
      <c r="B2" s="3" t="s">
        <v>13</v>
      </c>
      <c r="C2" s="2" t="s">
        <v>14</v>
      </c>
      <c r="D2" s="3" t="s">
        <v>16</v>
      </c>
      <c r="E2" s="3" t="s">
        <v>18</v>
      </c>
      <c r="F2" s="3" t="s">
        <v>20</v>
      </c>
      <c r="G2" s="2" t="s">
        <v>21</v>
      </c>
      <c r="H2" s="3" t="s">
        <v>22</v>
      </c>
      <c r="I2" s="3" t="s">
        <v>23</v>
      </c>
    </row>
    <row r="3" spans="1:10" ht="26" x14ac:dyDescent="0.3">
      <c r="A3" s="3" t="s">
        <v>4</v>
      </c>
      <c r="B3" s="4">
        <f>(B4*(B7+B13*B5)+B6*6)/(1+B13-B14)</f>
        <v>505862.90341463411</v>
      </c>
      <c r="C3" s="4">
        <f>(C4*(C7+C13*C5)+C6*6)/(1+C13-C14)</f>
        <v>100472.19512195121</v>
      </c>
      <c r="D3" s="4">
        <f>(D4*(D7+D13*D5)+D6*6)/(1+D13-D14)</f>
        <v>460422.43902439019</v>
      </c>
      <c r="E3" s="4">
        <f>(E4*(E7+E13*E5)+E6*6)/(1+E13-E14)</f>
        <v>439445.85365853651</v>
      </c>
      <c r="F3" s="9">
        <f>(F4*(F7+F13*F5)+F6*6)/(1+F13-F14)</f>
        <v>175587.14587737844</v>
      </c>
      <c r="G3" s="9">
        <f t="shared" ref="G3:I3" si="0">(G4*(G7+G13*G5)+G6*6)/(1+G13-G14)</f>
        <v>59492.600422832984</v>
      </c>
      <c r="H3" s="9">
        <f t="shared" si="0"/>
        <v>331203.83693045564</v>
      </c>
      <c r="I3" s="9">
        <f>(I4*(I7+I13*I5)+I6*6)/(1+I13-I14)</f>
        <v>456470.5882352941</v>
      </c>
    </row>
    <row r="4" spans="1:10" ht="26" x14ac:dyDescent="0.3">
      <c r="A4" s="3" t="s">
        <v>11</v>
      </c>
      <c r="B4" s="3">
        <v>36</v>
      </c>
      <c r="C4" s="3">
        <v>28</v>
      </c>
      <c r="D4" s="3">
        <v>27</v>
      </c>
      <c r="E4" s="3">
        <v>24</v>
      </c>
      <c r="F4" s="10">
        <v>36</v>
      </c>
      <c r="G4" s="10">
        <v>21</v>
      </c>
      <c r="H4" s="10">
        <v>83</v>
      </c>
      <c r="I4" s="10">
        <v>100</v>
      </c>
      <c r="J4">
        <f>SUM(F4:I4)</f>
        <v>240</v>
      </c>
    </row>
    <row r="5" spans="1:10" ht="26" x14ac:dyDescent="0.3">
      <c r="A5" s="3" t="s">
        <v>2</v>
      </c>
      <c r="B5" s="5">
        <v>24000</v>
      </c>
      <c r="C5" s="3">
        <v>5000</v>
      </c>
      <c r="D5" s="3">
        <v>25000</v>
      </c>
      <c r="E5" s="3">
        <v>27000</v>
      </c>
      <c r="F5" s="10">
        <v>8000</v>
      </c>
      <c r="G5" s="10">
        <v>4000</v>
      </c>
      <c r="H5" s="10">
        <v>7000</v>
      </c>
      <c r="I5" s="10">
        <v>7500</v>
      </c>
      <c r="J5">
        <f>AVERAGE(F5:I5)</f>
        <v>6625</v>
      </c>
    </row>
    <row r="6" spans="1:10" ht="26" x14ac:dyDescent="0.3">
      <c r="A6" s="3" t="s">
        <v>3</v>
      </c>
      <c r="B6" s="4">
        <f>B4*(B5-B7)*0.089/6</f>
        <v>7032.2459999999992</v>
      </c>
      <c r="C6" s="4">
        <f t="shared" ref="C6:E7" si="1">C4*(C5-C7)*0.089/6</f>
        <v>830.66666666666663</v>
      </c>
      <c r="D6" s="4">
        <f t="shared" si="1"/>
        <v>4405.5</v>
      </c>
      <c r="E6" s="4">
        <f t="shared" si="1"/>
        <v>4272</v>
      </c>
      <c r="F6" s="9">
        <f>F4*(F5-F7)*0.15/6</f>
        <v>4227.3</v>
      </c>
      <c r="G6" s="9">
        <f t="shared" ref="G6:I6" si="2">G4*(G5-G7)*0.15/6</f>
        <v>945</v>
      </c>
      <c r="H6" s="9">
        <f t="shared" si="2"/>
        <v>8300</v>
      </c>
      <c r="I6" s="9">
        <f t="shared" si="2"/>
        <v>10000</v>
      </c>
    </row>
    <row r="7" spans="1:10" ht="26" x14ac:dyDescent="0.3">
      <c r="A7" s="3" t="s">
        <v>5</v>
      </c>
      <c r="B7" s="3">
        <v>10831</v>
      </c>
      <c r="C7" s="4">
        <v>3000</v>
      </c>
      <c r="D7" s="3">
        <v>14000</v>
      </c>
      <c r="E7" s="3">
        <v>15000</v>
      </c>
      <c r="F7" s="9">
        <v>3303</v>
      </c>
      <c r="G7" s="10">
        <v>2200</v>
      </c>
      <c r="H7" s="10">
        <v>3000</v>
      </c>
      <c r="I7" s="10">
        <v>3500</v>
      </c>
    </row>
    <row r="8" spans="1:10" ht="26" x14ac:dyDescent="0.3">
      <c r="A8" s="3" t="s">
        <v>6</v>
      </c>
      <c r="B8" s="4">
        <f>B5*0.05/12</f>
        <v>100</v>
      </c>
      <c r="C8" s="4">
        <f t="shared" ref="C8:I9" si="3">C5*0.05/12</f>
        <v>20.833333333333332</v>
      </c>
      <c r="D8" s="4">
        <f t="shared" si="3"/>
        <v>104.16666666666667</v>
      </c>
      <c r="E8" s="4">
        <f t="shared" si="3"/>
        <v>112.5</v>
      </c>
      <c r="F8" s="9">
        <f>F5*0.05/12</f>
        <v>33.333333333333336</v>
      </c>
      <c r="G8" s="9">
        <f t="shared" si="3"/>
        <v>16.666666666666668</v>
      </c>
      <c r="H8" s="9">
        <f t="shared" si="3"/>
        <v>29.166666666666668</v>
      </c>
      <c r="I8" s="9">
        <f t="shared" si="3"/>
        <v>31.25</v>
      </c>
    </row>
    <row r="9" spans="1:10" ht="26" x14ac:dyDescent="0.3">
      <c r="A9" s="3" t="s">
        <v>7</v>
      </c>
      <c r="B9" s="4">
        <f>B5*0.03/12</f>
        <v>60</v>
      </c>
      <c r="C9" s="4">
        <f t="shared" ref="C9:I9" si="4">C5*0.03/12</f>
        <v>12.5</v>
      </c>
      <c r="D9" s="4">
        <f t="shared" si="4"/>
        <v>62.5</v>
      </c>
      <c r="E9" s="4">
        <f t="shared" si="4"/>
        <v>67.5</v>
      </c>
      <c r="F9" s="9">
        <f t="shared" si="4"/>
        <v>20</v>
      </c>
      <c r="G9" s="9">
        <f t="shared" si="4"/>
        <v>10</v>
      </c>
      <c r="H9" s="9">
        <f t="shared" si="4"/>
        <v>17.5</v>
      </c>
      <c r="I9" s="9">
        <f t="shared" si="4"/>
        <v>18.75</v>
      </c>
    </row>
    <row r="10" spans="1:10" ht="26" x14ac:dyDescent="0.3">
      <c r="A10" s="3" t="s">
        <v>8</v>
      </c>
      <c r="B10" s="4">
        <f>B5*0.1/12</f>
        <v>200</v>
      </c>
      <c r="C10" s="4">
        <f t="shared" ref="C10:I10" si="5">C5*0.1/12</f>
        <v>41.666666666666664</v>
      </c>
      <c r="D10" s="4">
        <f t="shared" si="5"/>
        <v>208.33333333333334</v>
      </c>
      <c r="E10" s="4">
        <f t="shared" si="5"/>
        <v>225</v>
      </c>
      <c r="F10" s="9">
        <f t="shared" si="5"/>
        <v>66.666666666666671</v>
      </c>
      <c r="G10" s="9">
        <f t="shared" si="5"/>
        <v>33.333333333333336</v>
      </c>
      <c r="H10" s="9">
        <f t="shared" si="5"/>
        <v>58.333333333333336</v>
      </c>
      <c r="I10" s="9">
        <f t="shared" si="5"/>
        <v>62.5</v>
      </c>
    </row>
    <row r="11" spans="1:10" ht="26" x14ac:dyDescent="0.3">
      <c r="A11" s="3" t="s">
        <v>9</v>
      </c>
      <c r="B11" s="6">
        <f>B4*B5*B13/6-B3*B13/6</f>
        <v>5968.9516097560972</v>
      </c>
      <c r="C11" s="6">
        <f>C4*C5*C13/6-C3*C13/6</f>
        <v>658.79674796747963</v>
      </c>
      <c r="D11" s="6">
        <f t="shared" ref="C11:E11" si="6">D4*D5*D13/6-D3*D13/6</f>
        <v>3576.2926829268299</v>
      </c>
      <c r="E11" s="6">
        <f t="shared" si="6"/>
        <v>3475.9024390243912</v>
      </c>
      <c r="F11" s="9">
        <f>F4*F5*F13/6-F3*F13/6</f>
        <v>4121.8046511627908</v>
      </c>
      <c r="G11" s="9">
        <f t="shared" ref="G11:I11" si="7">G4*G5*G13/6-G3*G13/6</f>
        <v>898.60465116279056</v>
      </c>
      <c r="H11" s="9">
        <f t="shared" si="7"/>
        <v>3330.615507593925</v>
      </c>
      <c r="I11" s="9">
        <f t="shared" si="7"/>
        <v>4892.1568627450979</v>
      </c>
    </row>
    <row r="12" spans="1:10" ht="26" x14ac:dyDescent="0.3">
      <c r="A12" s="3" t="s">
        <v>10</v>
      </c>
      <c r="B12" s="6">
        <f>B3*B14/6</f>
        <v>6323.2862926829257</v>
      </c>
      <c r="C12" s="6">
        <f t="shared" ref="C12:E12" si="8">C3*C14/6</f>
        <v>1255.9024390243901</v>
      </c>
      <c r="D12" s="6">
        <f t="shared" si="8"/>
        <v>5755.2804878048773</v>
      </c>
      <c r="E12" s="6">
        <f t="shared" si="8"/>
        <v>5493.0731707317063</v>
      </c>
      <c r="F12" s="9">
        <f>F3*F14/6</f>
        <v>1097.4196617336152</v>
      </c>
      <c r="G12" s="9">
        <f t="shared" ref="G12:I12" si="9">G3*G14/6</f>
        <v>371.82875264270615</v>
      </c>
      <c r="H12" s="9">
        <f t="shared" si="9"/>
        <v>2070.0239808153478</v>
      </c>
      <c r="I12" s="9">
        <f t="shared" si="9"/>
        <v>2852.9411764705878</v>
      </c>
    </row>
    <row r="13" spans="1:10" ht="26" x14ac:dyDescent="0.3">
      <c r="A13" s="3" t="s">
        <v>30</v>
      </c>
      <c r="B13" s="8">
        <v>0.1</v>
      </c>
      <c r="C13" s="8">
        <v>0.1</v>
      </c>
      <c r="D13" s="8">
        <v>0.1</v>
      </c>
      <c r="E13" s="8">
        <v>0.1</v>
      </c>
      <c r="F13" s="11">
        <v>0.22</v>
      </c>
      <c r="G13" s="11">
        <v>0.22</v>
      </c>
      <c r="H13" s="11">
        <v>0.08</v>
      </c>
      <c r="I13" s="11">
        <v>0.1</v>
      </c>
    </row>
    <row r="14" spans="1:10" ht="26" x14ac:dyDescent="0.3">
      <c r="A14" s="3" t="s">
        <v>31</v>
      </c>
      <c r="B14" s="8">
        <v>7.4999999999999997E-2</v>
      </c>
      <c r="C14" s="8">
        <v>7.4999999999999997E-2</v>
      </c>
      <c r="D14" s="8">
        <v>7.4999999999999997E-2</v>
      </c>
      <c r="E14" s="8">
        <v>7.4999999999999997E-2</v>
      </c>
      <c r="F14" s="12">
        <v>3.7499999999999999E-2</v>
      </c>
      <c r="G14" s="12">
        <v>3.7499999999999999E-2</v>
      </c>
      <c r="H14" s="12">
        <v>3.7499999999999999E-2</v>
      </c>
      <c r="I14" s="12">
        <v>3.7499999999999999E-2</v>
      </c>
    </row>
    <row r="16" spans="1:10" x14ac:dyDescent="0.2">
      <c r="A16" t="s">
        <v>24</v>
      </c>
      <c r="B16" s="1">
        <f>AVERAGE(B5:E5)</f>
        <v>20250</v>
      </c>
    </row>
    <row r="17" spans="1:9" x14ac:dyDescent="0.2">
      <c r="A17" t="s">
        <v>25</v>
      </c>
      <c r="B17" s="1">
        <f>AVERAGE(F5:I5)</f>
        <v>6625</v>
      </c>
    </row>
    <row r="18" spans="1:9" x14ac:dyDescent="0.2">
      <c r="B18" s="1">
        <f>(B4*(B5-B7)-B6*6-B11*6-B12*6)*B13/6</f>
        <v>5968.9516097560982</v>
      </c>
    </row>
    <row r="19" spans="1:9" ht="26" x14ac:dyDescent="0.3">
      <c r="A19" t="s">
        <v>27</v>
      </c>
      <c r="B19" s="4">
        <f>B3/6*0.1</f>
        <v>8431.0483902439028</v>
      </c>
      <c r="C19" s="4">
        <f t="shared" ref="C19:E19" si="10">C3/6*0.1</f>
        <v>1674.5365853658536</v>
      </c>
      <c r="D19" s="4">
        <f t="shared" si="10"/>
        <v>7673.707317073171</v>
      </c>
      <c r="E19" s="4">
        <f t="shared" si="10"/>
        <v>7324.0975609756097</v>
      </c>
    </row>
    <row r="20" spans="1:9" ht="26" x14ac:dyDescent="0.3">
      <c r="A20" t="s">
        <v>26</v>
      </c>
      <c r="B20" s="4">
        <f>B3/6*0.075</f>
        <v>6323.2862926829266</v>
      </c>
      <c r="C20" s="4">
        <f t="shared" ref="C20:E20" si="11">C3/6*0.075</f>
        <v>1255.9024390243901</v>
      </c>
      <c r="D20" s="4">
        <f t="shared" si="11"/>
        <v>5755.2804878048773</v>
      </c>
      <c r="E20" s="4">
        <f t="shared" si="11"/>
        <v>5493.0731707317063</v>
      </c>
    </row>
    <row r="21" spans="1:9" ht="26" x14ac:dyDescent="0.3">
      <c r="A21" t="s">
        <v>32</v>
      </c>
      <c r="B21" s="4">
        <f>(B4*(B5-B7)/6-B6-B11-B12)*B13</f>
        <v>5968.9516097560982</v>
      </c>
    </row>
    <row r="22" spans="1:9" x14ac:dyDescent="0.2">
      <c r="A22" t="s">
        <v>28</v>
      </c>
      <c r="B22" s="1">
        <v>449857</v>
      </c>
      <c r="C22">
        <v>91504</v>
      </c>
      <c r="D22">
        <v>442233</v>
      </c>
      <c r="E22">
        <v>432312</v>
      </c>
      <c r="F22" s="1">
        <v>231593.47200000001</v>
      </c>
      <c r="G22">
        <v>62328</v>
      </c>
      <c r="H22">
        <v>765675</v>
      </c>
      <c r="I22">
        <v>1121000</v>
      </c>
    </row>
    <row r="23" spans="1:9" ht="26" x14ac:dyDescent="0.3">
      <c r="B23" s="4">
        <f>B4*B7+B6*6+B11*6+B12*6</f>
        <v>505862.90341463417</v>
      </c>
      <c r="C23" s="4">
        <f t="shared" ref="C23:E23" si="12">C4*C7+C6*6+C11*6+C12*6</f>
        <v>100472.19512195121</v>
      </c>
      <c r="D23" s="4">
        <f t="shared" si="12"/>
        <v>460422.43902439025</v>
      </c>
      <c r="E23" s="4">
        <f t="shared" si="12"/>
        <v>439445.85365853662</v>
      </c>
    </row>
    <row r="24" spans="1:9" x14ac:dyDescent="0.2">
      <c r="A24" t="s">
        <v>29</v>
      </c>
      <c r="B24">
        <v>7500</v>
      </c>
      <c r="C24">
        <v>420</v>
      </c>
      <c r="D24">
        <v>6300</v>
      </c>
      <c r="E24">
        <v>6000</v>
      </c>
      <c r="H24" s="1">
        <f>550000*1.239</f>
        <v>681450</v>
      </c>
    </row>
    <row r="25" spans="1:9" x14ac:dyDescent="0.2">
      <c r="B25" s="7">
        <v>7.4999999999999997E-2</v>
      </c>
      <c r="C25" s="7">
        <v>2.5000000000000001E-2</v>
      </c>
      <c r="D25" s="7">
        <v>0.04</v>
      </c>
      <c r="H25" s="1">
        <f>B3+F3</f>
        <v>681450.04929201258</v>
      </c>
    </row>
    <row r="27" spans="1:9" x14ac:dyDescent="0.2">
      <c r="B27" s="1">
        <f>B23-B22</f>
        <v>56005.903414634173</v>
      </c>
      <c r="C27">
        <f>B27/6</f>
        <v>9334.3172357723615</v>
      </c>
      <c r="F27" s="1">
        <f>B22+F22</f>
        <v>681450.47200000007</v>
      </c>
      <c r="H27">
        <f>H25/550000</f>
        <v>1.2390000896218412</v>
      </c>
    </row>
    <row r="28" spans="1:9" x14ac:dyDescent="0.2">
      <c r="F28" s="1">
        <f>F27-B3</f>
        <v>175587.56858536595</v>
      </c>
    </row>
    <row r="30" spans="1:9" x14ac:dyDescent="0.2">
      <c r="B30">
        <f>AVERAGE(B5:E5)</f>
        <v>20250</v>
      </c>
    </row>
    <row r="32" spans="1:9" x14ac:dyDescent="0.2">
      <c r="B32">
        <f>6*B7+B6+B11+B12</f>
        <v>84310.483902439024</v>
      </c>
      <c r="C32">
        <f>3*C7+C6+C11+C12</f>
        <v>11745.365853658535</v>
      </c>
      <c r="D32">
        <f>2*D7+D6+D11+D12</f>
        <v>41737.07317073171</v>
      </c>
      <c r="E32">
        <f>4*E7+E6+E11+E12</f>
        <v>73240.975609756089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2022-03-13T19:36:06Z</dcterms:created>
  <dcterms:modified xsi:type="dcterms:W3CDTF">2022-03-20T13:24:47Z</dcterms:modified>
</cp:coreProperties>
</file>