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Brandon\Dropbox\4013 Senior Design\Managerial Docs\Budget and Costing\"/>
    </mc:Choice>
  </mc:AlternateContent>
  <bookViews>
    <workbookView xWindow="0" yWindow="0" windowWidth="19200" windowHeight="7910"/>
  </bookViews>
  <sheets>
    <sheet name="Purchase History" sheetId="1" r:id="rId1"/>
    <sheet name="Deposit Tracking" sheetId="3" r:id="rId2"/>
    <sheet name="Figuring Sheet" sheetId="4" r:id="rId3"/>
    <sheet name="Refs" sheetId="2" r:id="rId4"/>
  </sheets>
  <definedNames>
    <definedName name="_xlnm._FilterDatabase" localSheetId="0" hidden="1">'Purchase History'!$B$1:$N$1</definedName>
    <definedName name="_xlnm._FilterDatabase" localSheetId="3" hidden="1">Refs!$A$1:$C$1</definedName>
    <definedName name="StudentNames">Refs!$A$2:$A$7</definedName>
    <definedName name="Vendors">Refs!$C$2:$C$15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7" i="1" l="1"/>
  <c r="G38" i="1"/>
  <c r="G39" i="1"/>
  <c r="G40" i="1"/>
  <c r="G41" i="1"/>
  <c r="G42" i="1"/>
  <c r="G43" i="1"/>
  <c r="G44" i="1"/>
  <c r="G45" i="1"/>
  <c r="G46" i="1"/>
  <c r="G47" i="1"/>
  <c r="G48" i="1"/>
  <c r="G49" i="1"/>
  <c r="B6" i="4"/>
  <c r="B5" i="4"/>
  <c r="B4" i="4"/>
  <c r="B3" i="4"/>
  <c r="B2" i="4"/>
  <c r="B1" i="4"/>
  <c r="G36" i="1"/>
  <c r="G53" i="1" l="1"/>
  <c r="G2" i="4"/>
  <c r="D3" i="4"/>
  <c r="D2" i="4"/>
  <c r="G27" i="1"/>
  <c r="K27" i="1"/>
  <c r="G35" i="1" l="1"/>
  <c r="G34" i="1"/>
  <c r="G33" i="1"/>
  <c r="G32" i="1"/>
  <c r="G31" i="1"/>
  <c r="G30" i="1"/>
  <c r="G29" i="1"/>
  <c r="K35" i="1"/>
  <c r="K34" i="1"/>
  <c r="K33" i="1"/>
  <c r="K32" i="1"/>
  <c r="K31" i="1"/>
  <c r="K28" i="1"/>
  <c r="K9" i="1"/>
  <c r="G28" i="1" l="1"/>
  <c r="G26" i="1"/>
  <c r="K26" i="1"/>
  <c r="K25" i="1"/>
  <c r="G25" i="1"/>
  <c r="K24" i="1"/>
  <c r="G24" i="1"/>
  <c r="G23" i="1"/>
  <c r="G22" i="1"/>
  <c r="G21" i="1"/>
  <c r="K18" i="1"/>
  <c r="K20" i="1"/>
  <c r="K19" i="1"/>
  <c r="K23" i="1"/>
  <c r="K22" i="1"/>
  <c r="K21" i="1"/>
  <c r="G17" i="1"/>
  <c r="K17" i="1"/>
  <c r="G10" i="1"/>
  <c r="K16" i="1"/>
  <c r="K15" i="1"/>
  <c r="K14" i="1"/>
  <c r="G3" i="1"/>
  <c r="G4" i="1"/>
  <c r="G5" i="1"/>
  <c r="G6" i="1"/>
  <c r="G7" i="1"/>
  <c r="G8" i="1"/>
  <c r="G9" i="1"/>
  <c r="G11" i="1"/>
  <c r="G12" i="1"/>
  <c r="G13" i="1"/>
  <c r="G14" i="1"/>
  <c r="G15" i="1"/>
  <c r="G16" i="1"/>
  <c r="G18" i="1"/>
  <c r="G19" i="1"/>
  <c r="G20" i="1"/>
  <c r="G2" i="1"/>
  <c r="K13" i="1"/>
  <c r="K12" i="1"/>
  <c r="K11" i="1"/>
  <c r="K10" i="1"/>
  <c r="F26" i="3" l="1"/>
  <c r="K7" i="1"/>
  <c r="K5" i="1" l="1"/>
  <c r="K4" i="1"/>
  <c r="K3" i="1"/>
  <c r="K2" i="1"/>
  <c r="F4" i="3"/>
  <c r="F6" i="3"/>
  <c r="F7" i="3"/>
  <c r="F8" i="3"/>
  <c r="F3" i="3"/>
  <c r="C26" i="3"/>
  <c r="H53" i="1" l="1"/>
  <c r="I53" i="1" s="1"/>
  <c r="G3" i="3"/>
  <c r="F5" i="3" l="1"/>
  <c r="G5" i="3" s="1"/>
  <c r="G4" i="3"/>
  <c r="G7" i="3"/>
  <c r="G8" i="3"/>
  <c r="G6" i="3"/>
</calcChain>
</file>

<file path=xl/sharedStrings.xml><?xml version="1.0" encoding="utf-8"?>
<sst xmlns="http://schemas.openxmlformats.org/spreadsheetml/2006/main" count="312" uniqueCount="117">
  <si>
    <t>Part Name</t>
  </si>
  <si>
    <t>Description</t>
  </si>
  <si>
    <t>Unit Cost</t>
  </si>
  <si>
    <t>Quantity</t>
  </si>
  <si>
    <t>Total Cost</t>
  </si>
  <si>
    <t>Requested By</t>
  </si>
  <si>
    <t>Ordered By</t>
  </si>
  <si>
    <t>Vendor</t>
  </si>
  <si>
    <t>URL</t>
  </si>
  <si>
    <t>Order Date</t>
  </si>
  <si>
    <t>Est Delivery Date</t>
  </si>
  <si>
    <t>Notes</t>
  </si>
  <si>
    <t>VSMB3940X01-GS08CT-ND</t>
  </si>
  <si>
    <t>EMITTER IR 940NM 100MA SMD 120 deg</t>
  </si>
  <si>
    <t>Brandon Hogue</t>
  </si>
  <si>
    <t>Digikey</t>
  </si>
  <si>
    <t>Prototype</t>
  </si>
  <si>
    <t xml:space="preserve">VSMB2943SLX01CT-ND </t>
  </si>
  <si>
    <t>EMITTER IR 940NM 100MA SMD 50 deg</t>
  </si>
  <si>
    <t xml:space="preserve">IRLD110PBF-ND </t>
  </si>
  <si>
    <t>MOSFET N-CH 100V 1A 4-DIP</t>
  </si>
  <si>
    <t xml:space="preserve">TSOP4856-ND </t>
  </si>
  <si>
    <t>PH.MODULE 56KHZ S.VIEW</t>
  </si>
  <si>
    <t>Shipping for above</t>
  </si>
  <si>
    <t>US Postal</t>
  </si>
  <si>
    <t>N/A</t>
  </si>
  <si>
    <t>PIC16F1788-I/SO</t>
  </si>
  <si>
    <t>PIC Microcontroller</t>
  </si>
  <si>
    <t>Benjamin Jepersen</t>
  </si>
  <si>
    <t>Date</t>
  </si>
  <si>
    <t>Name</t>
  </si>
  <si>
    <t>Amount</t>
  </si>
  <si>
    <t>Blake Schlesinger</t>
  </si>
  <si>
    <t>Individual Contributions:</t>
  </si>
  <si>
    <t>Derrian Glynn</t>
  </si>
  <si>
    <t>Austin Allen</t>
  </si>
  <si>
    <t>Total Deposits:</t>
  </si>
  <si>
    <t>Team Members</t>
  </si>
  <si>
    <t>Vendors</t>
  </si>
  <si>
    <t>Alibabba/Aliexpress</t>
  </si>
  <si>
    <t>Amazon</t>
  </si>
  <si>
    <t>eBay</t>
  </si>
  <si>
    <t>Mouser</t>
  </si>
  <si>
    <t>MicrochipDirect</t>
  </si>
  <si>
    <t>MCU</t>
  </si>
  <si>
    <t>FedEx</t>
  </si>
  <si>
    <t xml:space="preserve">198000326-0 </t>
  </si>
  <si>
    <t>HobbyKing</t>
  </si>
  <si>
    <t>Power</t>
  </si>
  <si>
    <t>SparkFun</t>
  </si>
  <si>
    <t>PRT-10401</t>
  </si>
  <si>
    <t>SparkFun LiPo Charger Basic - Mini-USB</t>
  </si>
  <si>
    <t>Tenergy 32002 Protection Circuit Module</t>
  </si>
  <si>
    <t>TENERGY-LIPO-PCB-3V7-RND</t>
  </si>
  <si>
    <t>Shipping</t>
  </si>
  <si>
    <t>BatteryJunction</t>
  </si>
  <si>
    <t>Pololu 5V Step-Up Voltage Regulator</t>
  </si>
  <si>
    <t>U1V10F5</t>
  </si>
  <si>
    <t>Pololu</t>
  </si>
  <si>
    <t>Cherry PRK22J5DBBNN</t>
  </si>
  <si>
    <t>SWITCH ROCKER SPST 6A 125V</t>
  </si>
  <si>
    <t>E-Switch PS1024ARED</t>
  </si>
  <si>
    <t>SWITCH PUSH SPST-NO 3A 125V</t>
  </si>
  <si>
    <t>TSOP34156</t>
  </si>
  <si>
    <t>IR LED 60 DEG</t>
  </si>
  <si>
    <t>SFH 4547</t>
  </si>
  <si>
    <t>SFH 4545</t>
  </si>
  <si>
    <t>IR LED 10 DEG</t>
  </si>
  <si>
    <t>7.2kOHM Resistor</t>
  </si>
  <si>
    <t>1N4148</t>
  </si>
  <si>
    <t>High-speed diode</t>
  </si>
  <si>
    <t>2SC3649S-TD-E</t>
  </si>
  <si>
    <t>NPN Transistor</t>
  </si>
  <si>
    <t>5V 4 INPUT NAND</t>
  </si>
  <si>
    <t>IR Transmit</t>
  </si>
  <si>
    <t>IR Receive</t>
  </si>
  <si>
    <t>NAND4 (x2)</t>
  </si>
  <si>
    <t>Knowles 2403 SMD speaker</t>
  </si>
  <si>
    <t>SMD speaker</t>
  </si>
  <si>
    <t>Sound</t>
  </si>
  <si>
    <t>Adafruit</t>
  </si>
  <si>
    <t>Audio FX Sound Board</t>
  </si>
  <si>
    <t>MMA7341LC</t>
  </si>
  <si>
    <t>3-Axis Accelerometer/Voltage Regulator</t>
  </si>
  <si>
    <t>Accelerometer</t>
  </si>
  <si>
    <t>4 pack Walkera 3.7V 1600mAh LiPoly Battery</t>
  </si>
  <si>
    <t>28-pin IC socket</t>
  </si>
  <si>
    <t>1 k-ohm resistor</t>
  </si>
  <si>
    <t>Momentary pushbutton</t>
  </si>
  <si>
    <t>Diode</t>
  </si>
  <si>
    <t>Male header pins</t>
  </si>
  <si>
    <t>120 LED Strip - 2M</t>
  </si>
  <si>
    <t>APA102 LED Strip</t>
  </si>
  <si>
    <t>1k ohm resistor</t>
  </si>
  <si>
    <t>3.3 OHM Resistor</t>
  </si>
  <si>
    <t>6.6 OHM Resistor</t>
  </si>
  <si>
    <t>12 OHM Resistor</t>
  </si>
  <si>
    <t>11 OHM Resistor</t>
  </si>
  <si>
    <t>The 10/6 Big Purchase</t>
  </si>
  <si>
    <t>Index</t>
  </si>
  <si>
    <t>PIC</t>
  </si>
  <si>
    <t>RGB LED</t>
  </si>
  <si>
    <t>AdaFruit</t>
  </si>
  <si>
    <t>No PP</t>
  </si>
  <si>
    <t>PP</t>
  </si>
  <si>
    <t>PayPal</t>
  </si>
  <si>
    <t>Received</t>
  </si>
  <si>
    <t>X</t>
  </si>
  <si>
    <t>Male Connector</t>
  </si>
  <si>
    <t>Female Connector</t>
  </si>
  <si>
    <t>70ADJ-3-F-ND</t>
  </si>
  <si>
    <t>70ADJ-3-ML0GCT-ND</t>
  </si>
  <si>
    <t>x</t>
  </si>
  <si>
    <t>Christian Coffield</t>
  </si>
  <si>
    <t>Total owed by each person</t>
  </si>
  <si>
    <t>Total Spent</t>
  </si>
  <si>
    <t>Total Deposited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</si>
</sst>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22222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u/>
      <sz val="11"/>
      <color theme="0" tint="-0.34998626667073579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53">
    <xf numFmtId="0" fontId="0" fillId="0" borderId="0" xfId="0"/>
    <xf numFmtId="0" fontId="0" fillId="0" borderId="1" xfId="0" applyBorder="1"/>
    <xf numFmtId="0" fontId="1" fillId="0" borderId="1" xfId="0" applyFont="1" applyBorder="1"/>
    <xf numFmtId="14" fontId="0" fillId="0" borderId="1" xfId="0" applyNumberFormat="1" applyBorder="1"/>
    <xf numFmtId="0" fontId="2" fillId="0" borderId="1" xfId="0" applyFont="1" applyBorder="1"/>
    <xf numFmtId="0" fontId="0" fillId="0" borderId="1" xfId="0" applyFont="1" applyBorder="1"/>
    <xf numFmtId="164" fontId="0" fillId="0" borderId="1" xfId="0" applyNumberFormat="1" applyBorder="1"/>
    <xf numFmtId="164" fontId="1" fillId="0" borderId="1" xfId="0" applyNumberFormat="1" applyFont="1" applyBorder="1"/>
    <xf numFmtId="0" fontId="1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1" fillId="0" borderId="2" xfId="0" applyFont="1" applyBorder="1"/>
    <xf numFmtId="0" fontId="0" fillId="0" borderId="2" xfId="0" applyFont="1" applyBorder="1"/>
    <xf numFmtId="0" fontId="2" fillId="0" borderId="2" xfId="0" applyFont="1" applyBorder="1"/>
    <xf numFmtId="0" fontId="0" fillId="0" borderId="1" xfId="0" applyFill="1" applyBorder="1"/>
    <xf numFmtId="0" fontId="0" fillId="2" borderId="0" xfId="0" applyFill="1"/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164" fontId="0" fillId="2" borderId="1" xfId="0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164" fontId="4" fillId="3" borderId="1" xfId="0" applyNumberFormat="1" applyFont="1" applyFill="1" applyBorder="1" applyAlignment="1">
      <alignment horizontal="center"/>
    </xf>
    <xf numFmtId="164" fontId="0" fillId="3" borderId="1" xfId="0" applyNumberFormat="1" applyFont="1" applyFill="1" applyBorder="1" applyAlignment="1">
      <alignment horizontal="center"/>
    </xf>
    <xf numFmtId="0" fontId="5" fillId="3" borderId="1" xfId="1" applyFill="1" applyBorder="1" applyAlignment="1">
      <alignment horizontal="center" wrapText="1"/>
    </xf>
    <xf numFmtId="14" fontId="0" fillId="3" borderId="1" xfId="0" applyNumberFormat="1" applyFont="1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164" fontId="0" fillId="4" borderId="1" xfId="0" applyNumberFormat="1" applyFont="1" applyFill="1" applyBorder="1" applyAlignment="1">
      <alignment horizontal="center"/>
    </xf>
    <xf numFmtId="0" fontId="5" fillId="4" borderId="1" xfId="1" applyFill="1" applyBorder="1" applyAlignment="1">
      <alignment horizontal="center" wrapText="1"/>
    </xf>
    <xf numFmtId="0" fontId="0" fillId="0" borderId="1" xfId="0" applyFont="1" applyBorder="1" applyAlignment="1">
      <alignment horizontal="center"/>
    </xf>
    <xf numFmtId="164" fontId="0" fillId="0" borderId="1" xfId="0" applyNumberFormat="1" applyFont="1" applyBorder="1" applyAlignment="1">
      <alignment horizontal="center"/>
    </xf>
    <xf numFmtId="0" fontId="5" fillId="0" borderId="1" xfId="1" applyBorder="1" applyAlignment="1">
      <alignment horizontal="center" wrapText="1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14" fontId="0" fillId="4" borderId="1" xfId="0" applyNumberFormat="1" applyFont="1" applyFill="1" applyBorder="1" applyAlignment="1">
      <alignment horizontal="center"/>
    </xf>
    <xf numFmtId="14" fontId="0" fillId="5" borderId="1" xfId="0" applyNumberFormat="1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164" fontId="0" fillId="6" borderId="1" xfId="0" applyNumberFormat="1" applyFill="1" applyBorder="1" applyAlignment="1">
      <alignment horizontal="center"/>
    </xf>
    <xf numFmtId="164" fontId="0" fillId="6" borderId="1" xfId="0" applyNumberFormat="1" applyFont="1" applyFill="1" applyBorder="1" applyAlignment="1">
      <alignment horizontal="center"/>
    </xf>
    <xf numFmtId="0" fontId="0" fillId="6" borderId="1" xfId="0" applyFont="1" applyFill="1" applyBorder="1" applyAlignment="1">
      <alignment horizontal="center"/>
    </xf>
    <xf numFmtId="0" fontId="5" fillId="6" borderId="1" xfId="1" applyFill="1" applyBorder="1" applyAlignment="1">
      <alignment horizontal="center"/>
    </xf>
    <xf numFmtId="14" fontId="0" fillId="6" borderId="1" xfId="0" applyNumberFormat="1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164" fontId="6" fillId="2" borderId="1" xfId="0" applyNumberFormat="1" applyFont="1" applyFill="1" applyBorder="1" applyAlignment="1">
      <alignment horizontal="center"/>
    </xf>
    <xf numFmtId="0" fontId="7" fillId="2" borderId="1" xfId="1" applyFont="1" applyFill="1" applyBorder="1" applyAlignment="1">
      <alignment horizontal="center" wrapText="1"/>
    </xf>
    <xf numFmtId="14" fontId="6" fillId="2" borderId="1" xfId="0" applyNumberFormat="1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 wrapText="1"/>
    </xf>
    <xf numFmtId="0" fontId="1" fillId="0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/>
    <xf numFmtId="164" fontId="0" fillId="5" borderId="1" xfId="0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6">
    <dxf>
      <numFmt numFmtId="0" formatCode="General"/>
      <fill>
        <patternFill patternType="solid">
          <fgColor rgb="FFF9878A"/>
          <bgColor rgb="FFFF9393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9393"/>
      <color rgb="FFF9878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3"/>
  <sheetViews>
    <sheetView tabSelected="1" topLeftCell="D36" workbookViewId="0">
      <selection activeCell="F52" sqref="F52"/>
    </sheetView>
  </sheetViews>
  <sheetFormatPr defaultRowHeight="14.5" x14ac:dyDescent="0.35"/>
  <cols>
    <col min="1" max="1" width="6" style="30" bestFit="1" customWidth="1"/>
    <col min="2" max="2" width="26.81640625" style="27" bestFit="1" customWidth="1"/>
    <col min="3" max="3" width="40.54296875" style="27" bestFit="1" customWidth="1"/>
    <col min="4" max="4" width="13.7265625" style="27" bestFit="1" customWidth="1"/>
    <col min="5" max="6" width="13.26953125" style="27" bestFit="1" customWidth="1"/>
    <col min="7" max="7" width="20.453125" style="27" bestFit="1" customWidth="1"/>
    <col min="8" max="8" width="23.1796875" style="27" bestFit="1" customWidth="1"/>
    <col min="9" max="9" width="15.54296875" style="27" bestFit="1" customWidth="1"/>
    <col min="10" max="10" width="15.1796875" style="27" bestFit="1" customWidth="1"/>
    <col min="11" max="11" width="15" style="27" bestFit="1" customWidth="1"/>
    <col min="12" max="12" width="15.26953125" style="27" bestFit="1" customWidth="1"/>
    <col min="13" max="13" width="20.7265625" style="27" bestFit="1" customWidth="1"/>
    <col min="14" max="14" width="17.453125" style="27" bestFit="1" customWidth="1"/>
    <col min="15" max="15" width="9.1796875" style="49"/>
  </cols>
  <sheetData>
    <row r="1" spans="1:15" x14ac:dyDescent="0.35">
      <c r="A1" s="8" t="s">
        <v>99</v>
      </c>
      <c r="B1" s="8" t="s">
        <v>0</v>
      </c>
      <c r="C1" s="8" t="s">
        <v>1</v>
      </c>
      <c r="D1" s="8" t="s">
        <v>2</v>
      </c>
      <c r="E1" s="8" t="s">
        <v>3</v>
      </c>
      <c r="F1" s="8" t="s">
        <v>54</v>
      </c>
      <c r="G1" s="8" t="s">
        <v>4</v>
      </c>
      <c r="H1" s="8" t="s">
        <v>5</v>
      </c>
      <c r="I1" s="8" t="s">
        <v>6</v>
      </c>
      <c r="J1" s="8" t="s">
        <v>7</v>
      </c>
      <c r="K1" s="8" t="s">
        <v>8</v>
      </c>
      <c r="L1" s="8" t="s">
        <v>9</v>
      </c>
      <c r="M1" s="8" t="s">
        <v>10</v>
      </c>
      <c r="N1" s="8" t="s">
        <v>11</v>
      </c>
      <c r="O1" s="46" t="s">
        <v>106</v>
      </c>
    </row>
    <row r="2" spans="1:15" s="14" customFormat="1" x14ac:dyDescent="0.35">
      <c r="A2" s="41">
        <v>1</v>
      </c>
      <c r="B2" s="41" t="s">
        <v>12</v>
      </c>
      <c r="C2" s="41" t="s">
        <v>13</v>
      </c>
      <c r="D2" s="42">
        <v>0.82</v>
      </c>
      <c r="E2" s="41">
        <v>3</v>
      </c>
      <c r="F2" s="42">
        <v>0</v>
      </c>
      <c r="G2" s="42">
        <f t="shared" ref="G2:G49" si="0">IF((D2*E2)+F2=0,"",(D2*E2)+F2)</f>
        <v>2.46</v>
      </c>
      <c r="H2" s="41" t="s">
        <v>14</v>
      </c>
      <c r="I2" s="41" t="s">
        <v>14</v>
      </c>
      <c r="J2" s="41" t="s">
        <v>15</v>
      </c>
      <c r="K2" s="43" t="str">
        <f>HYPERLINK("http://www.digikey.com/scripts/DkSearch/dksus.dll?Detail&amp;itemSeq=179945392&amp;uq=635779586002502024","Link")</f>
        <v>Link</v>
      </c>
      <c r="L2" s="44">
        <v>42263</v>
      </c>
      <c r="M2" s="44">
        <v>42268</v>
      </c>
      <c r="N2" s="41" t="s">
        <v>16</v>
      </c>
      <c r="O2" s="47" t="s">
        <v>107</v>
      </c>
    </row>
    <row r="3" spans="1:15" s="14" customFormat="1" x14ac:dyDescent="0.35">
      <c r="A3" s="41">
        <v>2</v>
      </c>
      <c r="B3" s="41" t="s">
        <v>17</v>
      </c>
      <c r="C3" s="41" t="s">
        <v>18</v>
      </c>
      <c r="D3" s="42">
        <v>0.9</v>
      </c>
      <c r="E3" s="41">
        <v>3</v>
      </c>
      <c r="F3" s="42">
        <v>0</v>
      </c>
      <c r="G3" s="42">
        <f t="shared" si="0"/>
        <v>2.7</v>
      </c>
      <c r="H3" s="41" t="s">
        <v>14</v>
      </c>
      <c r="I3" s="41" t="s">
        <v>14</v>
      </c>
      <c r="J3" s="41" t="s">
        <v>15</v>
      </c>
      <c r="K3" s="43" t="str">
        <f>HYPERLINK("http://www.digikey.com/scripts/DkSearch/dksus.dll?Detail&amp;itemSeq=179945891&amp;uq=635779586002502024","Link")</f>
        <v>Link</v>
      </c>
      <c r="L3" s="44">
        <v>42263</v>
      </c>
      <c r="M3" s="44">
        <v>42268</v>
      </c>
      <c r="N3" s="41" t="s">
        <v>16</v>
      </c>
      <c r="O3" s="47" t="s">
        <v>107</v>
      </c>
    </row>
    <row r="4" spans="1:15" s="14" customFormat="1" x14ac:dyDescent="0.35">
      <c r="A4" s="41">
        <v>3</v>
      </c>
      <c r="B4" s="41" t="s">
        <v>19</v>
      </c>
      <c r="C4" s="41" t="s">
        <v>20</v>
      </c>
      <c r="D4" s="42">
        <v>0.88</v>
      </c>
      <c r="E4" s="41">
        <v>2</v>
      </c>
      <c r="F4" s="42">
        <v>0</v>
      </c>
      <c r="G4" s="42">
        <f t="shared" si="0"/>
        <v>1.76</v>
      </c>
      <c r="H4" s="41" t="s">
        <v>14</v>
      </c>
      <c r="I4" s="41" t="s">
        <v>14</v>
      </c>
      <c r="J4" s="41" t="s">
        <v>15</v>
      </c>
      <c r="K4" s="43" t="str">
        <f>HYPERLINK("http://www.digikey.com/scripts/DkSearch/dksus.dll?Detail&amp;itemSeq=179945909&amp;uq=635779586002502024","Link")</f>
        <v>Link</v>
      </c>
      <c r="L4" s="44">
        <v>42263</v>
      </c>
      <c r="M4" s="44">
        <v>42268</v>
      </c>
      <c r="N4" s="41" t="s">
        <v>16</v>
      </c>
      <c r="O4" s="47" t="s">
        <v>107</v>
      </c>
    </row>
    <row r="5" spans="1:15" s="14" customFormat="1" x14ac:dyDescent="0.35">
      <c r="A5" s="41">
        <v>4</v>
      </c>
      <c r="B5" s="41" t="s">
        <v>21</v>
      </c>
      <c r="C5" s="41" t="s">
        <v>22</v>
      </c>
      <c r="D5" s="42">
        <v>1.33</v>
      </c>
      <c r="E5" s="41">
        <v>2</v>
      </c>
      <c r="F5" s="42">
        <v>0</v>
      </c>
      <c r="G5" s="42">
        <f t="shared" si="0"/>
        <v>2.66</v>
      </c>
      <c r="H5" s="41" t="s">
        <v>14</v>
      </c>
      <c r="I5" s="41" t="s">
        <v>14</v>
      </c>
      <c r="J5" s="41" t="s">
        <v>15</v>
      </c>
      <c r="K5" s="43" t="str">
        <f>HYPERLINK("http://www.digikey.com/scripts/DkSearch/dksus.dll?Detail&amp;itemSeq=179946082&amp;uq=635779586002502024","Link")</f>
        <v>Link</v>
      </c>
      <c r="L5" s="44">
        <v>42263</v>
      </c>
      <c r="M5" s="44">
        <v>42268</v>
      </c>
      <c r="N5" s="41" t="s">
        <v>16</v>
      </c>
      <c r="O5" s="47" t="s">
        <v>107</v>
      </c>
    </row>
    <row r="6" spans="1:15" s="14" customFormat="1" x14ac:dyDescent="0.35">
      <c r="A6" s="41">
        <v>5</v>
      </c>
      <c r="B6" s="41" t="s">
        <v>23</v>
      </c>
      <c r="C6" s="41" t="s">
        <v>24</v>
      </c>
      <c r="D6" s="42">
        <v>3</v>
      </c>
      <c r="E6" s="41">
        <v>1</v>
      </c>
      <c r="F6" s="42">
        <v>0</v>
      </c>
      <c r="G6" s="42">
        <f t="shared" si="0"/>
        <v>3</v>
      </c>
      <c r="H6" s="41" t="s">
        <v>14</v>
      </c>
      <c r="I6" s="41" t="s">
        <v>14</v>
      </c>
      <c r="J6" s="41" t="s">
        <v>15</v>
      </c>
      <c r="K6" s="45" t="s">
        <v>25</v>
      </c>
      <c r="L6" s="44">
        <v>42263</v>
      </c>
      <c r="M6" s="44">
        <v>42268</v>
      </c>
      <c r="N6" s="41" t="s">
        <v>16</v>
      </c>
      <c r="O6" s="47" t="s">
        <v>107</v>
      </c>
    </row>
    <row r="7" spans="1:15" s="14" customFormat="1" x14ac:dyDescent="0.35">
      <c r="A7" s="41">
        <v>6</v>
      </c>
      <c r="B7" s="41" t="s">
        <v>26</v>
      </c>
      <c r="C7" s="41" t="s">
        <v>27</v>
      </c>
      <c r="D7" s="42">
        <v>2.2200000000000002</v>
      </c>
      <c r="E7" s="41">
        <v>5</v>
      </c>
      <c r="F7" s="42">
        <v>0</v>
      </c>
      <c r="G7" s="42">
        <f t="shared" si="0"/>
        <v>11.100000000000001</v>
      </c>
      <c r="H7" s="41" t="s">
        <v>28</v>
      </c>
      <c r="I7" s="41" t="s">
        <v>14</v>
      </c>
      <c r="J7" s="41" t="s">
        <v>43</v>
      </c>
      <c r="K7" s="43" t="str">
        <f>HYPERLINK("http://ww1.microchip.com/downloads/en/DeviceDoc/40001675B.pdf","Link")</f>
        <v>Link</v>
      </c>
      <c r="L7" s="44">
        <v>42271</v>
      </c>
      <c r="M7" s="44">
        <v>42275</v>
      </c>
      <c r="N7" s="41" t="s">
        <v>44</v>
      </c>
      <c r="O7" s="47" t="s">
        <v>107</v>
      </c>
    </row>
    <row r="8" spans="1:15" s="14" customFormat="1" x14ac:dyDescent="0.35">
      <c r="A8" s="41">
        <v>7</v>
      </c>
      <c r="B8" s="41" t="s">
        <v>23</v>
      </c>
      <c r="C8" s="41" t="s">
        <v>45</v>
      </c>
      <c r="D8" s="42">
        <v>6.78</v>
      </c>
      <c r="E8" s="41">
        <v>1</v>
      </c>
      <c r="F8" s="42">
        <v>0</v>
      </c>
      <c r="G8" s="42">
        <f t="shared" si="0"/>
        <v>6.78</v>
      </c>
      <c r="H8" s="41" t="s">
        <v>28</v>
      </c>
      <c r="I8" s="41" t="s">
        <v>14</v>
      </c>
      <c r="J8" s="41" t="s">
        <v>43</v>
      </c>
      <c r="K8" s="45" t="s">
        <v>25</v>
      </c>
      <c r="L8" s="44">
        <v>42271</v>
      </c>
      <c r="M8" s="44">
        <v>42275</v>
      </c>
      <c r="N8" s="41" t="s">
        <v>44</v>
      </c>
      <c r="O8" s="47" t="s">
        <v>107</v>
      </c>
    </row>
    <row r="9" spans="1:15" x14ac:dyDescent="0.35">
      <c r="A9" s="16">
        <v>8</v>
      </c>
      <c r="B9" s="18" t="s">
        <v>46</v>
      </c>
      <c r="C9" s="19" t="s">
        <v>85</v>
      </c>
      <c r="D9" s="20">
        <v>44.99</v>
      </c>
      <c r="E9" s="19">
        <v>1</v>
      </c>
      <c r="F9" s="21">
        <v>0</v>
      </c>
      <c r="G9" s="21">
        <f t="shared" si="0"/>
        <v>44.99</v>
      </c>
      <c r="H9" s="19" t="s">
        <v>32</v>
      </c>
      <c r="I9" s="19" t="s">
        <v>14</v>
      </c>
      <c r="J9" s="19" t="s">
        <v>40</v>
      </c>
      <c r="K9" s="22" t="str">
        <f>HYPERLINK("http://www.amazon.com/Quantity-Walkera-Battery-1600mAh-Rechargeable/dp/B00P4VMIIM/ref=sr_1_17?ie=UTF8&amp;qid=1444188793&amp;sr=8-17&amp;keywords=walkera+1600mah+battery","Amazon")</f>
        <v>Amazon</v>
      </c>
      <c r="L9" s="23">
        <v>42283</v>
      </c>
      <c r="M9" s="23">
        <v>42289</v>
      </c>
      <c r="N9" s="19" t="s">
        <v>48</v>
      </c>
      <c r="O9" s="48" t="s">
        <v>107</v>
      </c>
    </row>
    <row r="10" spans="1:15" x14ac:dyDescent="0.35">
      <c r="A10" s="16">
        <v>9</v>
      </c>
      <c r="B10" s="19" t="s">
        <v>50</v>
      </c>
      <c r="C10" s="19" t="s">
        <v>51</v>
      </c>
      <c r="D10" s="21">
        <v>7.95</v>
      </c>
      <c r="E10" s="19">
        <v>4</v>
      </c>
      <c r="F10" s="21">
        <v>4.13</v>
      </c>
      <c r="G10" s="21">
        <f t="shared" si="0"/>
        <v>35.93</v>
      </c>
      <c r="H10" s="19" t="s">
        <v>32</v>
      </c>
      <c r="I10" s="19" t="s">
        <v>14</v>
      </c>
      <c r="J10" s="19" t="s">
        <v>49</v>
      </c>
      <c r="K10" s="22" t="str">
        <f>HYPERLINK("https://www.sparkfun.com/products/10401","SparkFun")</f>
        <v>SparkFun</v>
      </c>
      <c r="L10" s="23">
        <v>42283</v>
      </c>
      <c r="M10" s="23">
        <v>42289</v>
      </c>
      <c r="N10" s="19" t="s">
        <v>48</v>
      </c>
      <c r="O10" s="48" t="s">
        <v>107</v>
      </c>
    </row>
    <row r="11" spans="1:15" x14ac:dyDescent="0.35">
      <c r="A11" s="16">
        <v>10</v>
      </c>
      <c r="B11" s="19" t="s">
        <v>53</v>
      </c>
      <c r="C11" s="19" t="s">
        <v>52</v>
      </c>
      <c r="D11" s="21">
        <v>2.5</v>
      </c>
      <c r="E11" s="19">
        <v>4</v>
      </c>
      <c r="F11" s="21">
        <v>3.49</v>
      </c>
      <c r="G11" s="21">
        <f t="shared" si="0"/>
        <v>13.49</v>
      </c>
      <c r="H11" s="19" t="s">
        <v>32</v>
      </c>
      <c r="I11" s="19" t="s">
        <v>14</v>
      </c>
      <c r="J11" s="19" t="s">
        <v>55</v>
      </c>
      <c r="K11" s="22" t="str">
        <f>HYPERLINK("http://www.batteryjunction.com/tenergy-pcb-3v7-rnd-32002.html","BatteryJunction")</f>
        <v>BatteryJunction</v>
      </c>
      <c r="L11" s="23">
        <v>42283</v>
      </c>
      <c r="M11" s="23">
        <v>42289</v>
      </c>
      <c r="N11" s="19" t="s">
        <v>48</v>
      </c>
      <c r="O11" s="48" t="s">
        <v>107</v>
      </c>
    </row>
    <row r="12" spans="1:15" x14ac:dyDescent="0.35">
      <c r="A12" s="16">
        <v>11</v>
      </c>
      <c r="B12" s="19" t="s">
        <v>57</v>
      </c>
      <c r="C12" s="19" t="s">
        <v>56</v>
      </c>
      <c r="D12" s="21">
        <v>4.49</v>
      </c>
      <c r="E12" s="19">
        <v>4</v>
      </c>
      <c r="F12" s="21">
        <v>0</v>
      </c>
      <c r="G12" s="21">
        <f t="shared" si="0"/>
        <v>17.96</v>
      </c>
      <c r="H12" s="19" t="s">
        <v>32</v>
      </c>
      <c r="I12" s="19" t="s">
        <v>14</v>
      </c>
      <c r="J12" s="19" t="s">
        <v>58</v>
      </c>
      <c r="K12" s="22" t="str">
        <f>HYPERLINK("https://www.pololu.com/product/2564","Polulu")</f>
        <v>Polulu</v>
      </c>
      <c r="L12" s="23">
        <v>42283</v>
      </c>
      <c r="M12" s="23">
        <v>42289</v>
      </c>
      <c r="N12" s="19" t="s">
        <v>48</v>
      </c>
      <c r="O12" s="48" t="s">
        <v>107</v>
      </c>
    </row>
    <row r="13" spans="1:15" x14ac:dyDescent="0.35">
      <c r="A13" s="16">
        <v>12</v>
      </c>
      <c r="B13" s="19" t="s">
        <v>59</v>
      </c>
      <c r="C13" s="19" t="s">
        <v>60</v>
      </c>
      <c r="D13" s="21">
        <v>1.17</v>
      </c>
      <c r="E13" s="19">
        <v>4</v>
      </c>
      <c r="F13" s="21">
        <v>0</v>
      </c>
      <c r="G13" s="21">
        <f t="shared" si="0"/>
        <v>4.68</v>
      </c>
      <c r="H13" s="19" t="s">
        <v>32</v>
      </c>
      <c r="I13" s="19" t="s">
        <v>14</v>
      </c>
      <c r="J13" s="19" t="s">
        <v>15</v>
      </c>
      <c r="K13" s="22" t="str">
        <f>HYPERLINK("http://www.digikey.com/product-detail/en/PRK22J5DBBNN/CH865-ND/1083858","DigiKey")</f>
        <v>DigiKey</v>
      </c>
      <c r="L13" s="23">
        <v>42283</v>
      </c>
      <c r="M13" s="23">
        <v>42289</v>
      </c>
      <c r="N13" s="19" t="s">
        <v>48</v>
      </c>
      <c r="O13" s="48" t="s">
        <v>107</v>
      </c>
    </row>
    <row r="14" spans="1:15" x14ac:dyDescent="0.35">
      <c r="A14" s="16">
        <v>13</v>
      </c>
      <c r="B14" s="19" t="s">
        <v>61</v>
      </c>
      <c r="C14" s="19" t="s">
        <v>62</v>
      </c>
      <c r="D14" s="21">
        <v>1.21</v>
      </c>
      <c r="E14" s="19">
        <v>4</v>
      </c>
      <c r="F14" s="21">
        <v>0</v>
      </c>
      <c r="G14" s="21">
        <f t="shared" si="0"/>
        <v>4.84</v>
      </c>
      <c r="H14" s="19" t="s">
        <v>32</v>
      </c>
      <c r="I14" s="19" t="s">
        <v>14</v>
      </c>
      <c r="J14" s="19" t="s">
        <v>15</v>
      </c>
      <c r="K14" s="22" t="str">
        <f>HYPERLINK("http://www.digikey.com/product-detail/en/PS1024ARED/EG2015-ND/44577","DigiKey")</f>
        <v>DigiKey</v>
      </c>
      <c r="L14" s="23">
        <v>42283</v>
      </c>
      <c r="M14" s="23">
        <v>42289</v>
      </c>
      <c r="N14" s="19" t="s">
        <v>48</v>
      </c>
      <c r="O14" s="48" t="s">
        <v>107</v>
      </c>
    </row>
    <row r="15" spans="1:15" x14ac:dyDescent="0.35">
      <c r="A15" s="16">
        <v>14</v>
      </c>
      <c r="B15" s="24" t="s">
        <v>63</v>
      </c>
      <c r="C15" s="24" t="s">
        <v>22</v>
      </c>
      <c r="D15" s="25">
        <v>1.33</v>
      </c>
      <c r="E15" s="24">
        <v>12</v>
      </c>
      <c r="F15" s="25">
        <v>0</v>
      </c>
      <c r="G15" s="25">
        <f t="shared" si="0"/>
        <v>15.96</v>
      </c>
      <c r="H15" s="24" t="s">
        <v>14</v>
      </c>
      <c r="I15" s="24" t="s">
        <v>14</v>
      </c>
      <c r="J15" s="24" t="s">
        <v>15</v>
      </c>
      <c r="K15" s="26" t="str">
        <f>HYPERLINK("http://www.digikey.com/product-detail/en/TSOP34156/TSOP34156-ND/4074439","DigiKey")</f>
        <v>DigiKey</v>
      </c>
      <c r="L15" s="33">
        <v>42283</v>
      </c>
      <c r="M15" s="33">
        <v>42289</v>
      </c>
      <c r="N15" s="24" t="s">
        <v>75</v>
      </c>
      <c r="O15" s="48" t="s">
        <v>107</v>
      </c>
    </row>
    <row r="16" spans="1:15" x14ac:dyDescent="0.35">
      <c r="A16" s="16">
        <v>15</v>
      </c>
      <c r="B16" s="24" t="s">
        <v>65</v>
      </c>
      <c r="C16" s="24" t="s">
        <v>64</v>
      </c>
      <c r="D16" s="25">
        <v>0.62</v>
      </c>
      <c r="E16" s="24">
        <v>9</v>
      </c>
      <c r="F16" s="25">
        <v>0</v>
      </c>
      <c r="G16" s="25">
        <f t="shared" si="0"/>
        <v>5.58</v>
      </c>
      <c r="H16" s="24" t="s">
        <v>14</v>
      </c>
      <c r="I16" s="24" t="s">
        <v>14</v>
      </c>
      <c r="J16" s="24" t="s">
        <v>15</v>
      </c>
      <c r="K16" s="26" t="str">
        <f>HYPERLINK("http://www.digikey.com/product-detail/en/SFH%204547/475-3002-ND/3461837","DigiKey")</f>
        <v>DigiKey</v>
      </c>
      <c r="L16" s="33">
        <v>42283</v>
      </c>
      <c r="M16" s="33">
        <v>42289</v>
      </c>
      <c r="N16" s="24" t="s">
        <v>74</v>
      </c>
      <c r="O16" s="48" t="s">
        <v>107</v>
      </c>
    </row>
    <row r="17" spans="1:15" x14ac:dyDescent="0.35">
      <c r="A17" s="16">
        <v>16</v>
      </c>
      <c r="B17" s="24" t="s">
        <v>66</v>
      </c>
      <c r="C17" s="24" t="s">
        <v>67</v>
      </c>
      <c r="D17" s="25">
        <v>0.62</v>
      </c>
      <c r="E17" s="24">
        <v>3</v>
      </c>
      <c r="F17" s="25">
        <v>0</v>
      </c>
      <c r="G17" s="25">
        <f t="shared" si="0"/>
        <v>1.8599999999999999</v>
      </c>
      <c r="H17" s="24" t="s">
        <v>14</v>
      </c>
      <c r="I17" s="24" t="s">
        <v>14</v>
      </c>
      <c r="J17" s="24" t="s">
        <v>15</v>
      </c>
      <c r="K17" s="26" t="str">
        <f>HYPERLINK("http://www.digikey.com/product-detail/en/SFH%204545/475-2919-ND/2205955","DigiKey")</f>
        <v>DigiKey</v>
      </c>
      <c r="L17" s="33">
        <v>42283</v>
      </c>
      <c r="M17" s="33">
        <v>42289</v>
      </c>
      <c r="N17" s="24" t="s">
        <v>74</v>
      </c>
      <c r="O17" s="48" t="s">
        <v>107</v>
      </c>
    </row>
    <row r="18" spans="1:15" x14ac:dyDescent="0.35">
      <c r="A18" s="16">
        <v>17</v>
      </c>
      <c r="B18" s="24" t="s">
        <v>68</v>
      </c>
      <c r="C18" s="24" t="s">
        <v>68</v>
      </c>
      <c r="D18" s="25">
        <v>0.1</v>
      </c>
      <c r="E18" s="24">
        <v>10</v>
      </c>
      <c r="F18" s="25">
        <v>0</v>
      </c>
      <c r="G18" s="25">
        <f t="shared" si="0"/>
        <v>1</v>
      </c>
      <c r="H18" s="24" t="s">
        <v>14</v>
      </c>
      <c r="I18" s="24" t="s">
        <v>14</v>
      </c>
      <c r="J18" s="24" t="s">
        <v>15</v>
      </c>
      <c r="K18" s="26" t="str">
        <f>HYPERLINK("http://www.digikey.com/product-detail/en/RC1206JR-077K5L/311-7.5KERCT-ND/732280","DigiKey")</f>
        <v>DigiKey</v>
      </c>
      <c r="L18" s="33">
        <v>42283</v>
      </c>
      <c r="M18" s="33">
        <v>42289</v>
      </c>
      <c r="N18" s="24" t="s">
        <v>74</v>
      </c>
      <c r="O18" s="48" t="s">
        <v>107</v>
      </c>
    </row>
    <row r="19" spans="1:15" x14ac:dyDescent="0.35">
      <c r="A19" s="16">
        <v>18</v>
      </c>
      <c r="B19" s="24" t="s">
        <v>69</v>
      </c>
      <c r="C19" s="24" t="s">
        <v>70</v>
      </c>
      <c r="D19" s="25">
        <v>0.11</v>
      </c>
      <c r="E19" s="24">
        <v>10</v>
      </c>
      <c r="F19" s="25">
        <v>0</v>
      </c>
      <c r="G19" s="25">
        <f t="shared" si="0"/>
        <v>1.1000000000000001</v>
      </c>
      <c r="H19" s="24" t="s">
        <v>14</v>
      </c>
      <c r="I19" s="24" t="s">
        <v>14</v>
      </c>
      <c r="J19" s="24" t="s">
        <v>15</v>
      </c>
      <c r="K19" s="26" t="str">
        <f>HYPERLINK("http://www.digikey.com/product-detail/en/1N4148WX-TP/1N4148WXTPMSCT-ND/717312","DigiKey")</f>
        <v>DigiKey</v>
      </c>
      <c r="L19" s="33">
        <v>42283</v>
      </c>
      <c r="M19" s="33">
        <v>42289</v>
      </c>
      <c r="N19" s="24" t="s">
        <v>74</v>
      </c>
      <c r="O19" s="48" t="s">
        <v>107</v>
      </c>
    </row>
    <row r="20" spans="1:15" x14ac:dyDescent="0.35">
      <c r="A20" s="16">
        <v>19</v>
      </c>
      <c r="B20" s="24" t="s">
        <v>71</v>
      </c>
      <c r="C20" s="24" t="s">
        <v>72</v>
      </c>
      <c r="D20" s="25">
        <v>0.56999999999999995</v>
      </c>
      <c r="E20" s="24">
        <v>5</v>
      </c>
      <c r="F20" s="25">
        <v>0</v>
      </c>
      <c r="G20" s="25">
        <f t="shared" si="0"/>
        <v>2.8499999999999996</v>
      </c>
      <c r="H20" s="24" t="s">
        <v>14</v>
      </c>
      <c r="I20" s="24" t="s">
        <v>14</v>
      </c>
      <c r="J20" s="24" t="s">
        <v>15</v>
      </c>
      <c r="K20" s="26" t="str">
        <f>HYPERLINK("http://www.digikey.com/product-detail/en/2SC3647S-TD-E/2SC3647S-TD-EOSCT-ND/5213165","DigiKey")</f>
        <v>DigiKey</v>
      </c>
      <c r="L20" s="33">
        <v>42283</v>
      </c>
      <c r="M20" s="33">
        <v>42289</v>
      </c>
      <c r="N20" s="24" t="s">
        <v>74</v>
      </c>
      <c r="O20" s="48" t="s">
        <v>107</v>
      </c>
    </row>
    <row r="21" spans="1:15" x14ac:dyDescent="0.35">
      <c r="A21" s="16">
        <v>20</v>
      </c>
      <c r="B21" s="24" t="s">
        <v>94</v>
      </c>
      <c r="C21" s="24" t="s">
        <v>94</v>
      </c>
      <c r="D21" s="25">
        <v>0.43</v>
      </c>
      <c r="E21" s="24">
        <v>10</v>
      </c>
      <c r="F21" s="25">
        <v>0</v>
      </c>
      <c r="G21" s="25">
        <f t="shared" si="0"/>
        <v>4.3</v>
      </c>
      <c r="H21" s="24" t="s">
        <v>14</v>
      </c>
      <c r="I21" s="24" t="s">
        <v>14</v>
      </c>
      <c r="J21" s="24" t="s">
        <v>15</v>
      </c>
      <c r="K21" s="26" t="str">
        <f>HYPERLINK("http://www.digikey.com/product-detail/en/CRCW12063R30FKEAHP/541-3.30UCT-ND/5326995","DigiKey")</f>
        <v>DigiKey</v>
      </c>
      <c r="L21" s="33">
        <v>42283</v>
      </c>
      <c r="M21" s="33">
        <v>42289</v>
      </c>
      <c r="N21" s="24" t="s">
        <v>74</v>
      </c>
      <c r="O21" s="48" t="s">
        <v>107</v>
      </c>
    </row>
    <row r="22" spans="1:15" x14ac:dyDescent="0.35">
      <c r="A22" s="16">
        <v>21</v>
      </c>
      <c r="B22" s="24" t="s">
        <v>95</v>
      </c>
      <c r="C22" s="24" t="s">
        <v>95</v>
      </c>
      <c r="D22" s="25">
        <v>0.44</v>
      </c>
      <c r="E22" s="24">
        <v>10</v>
      </c>
      <c r="F22" s="25">
        <v>0</v>
      </c>
      <c r="G22" s="25">
        <f t="shared" si="0"/>
        <v>4.4000000000000004</v>
      </c>
      <c r="H22" s="24" t="s">
        <v>14</v>
      </c>
      <c r="I22" s="24" t="s">
        <v>14</v>
      </c>
      <c r="J22" s="24" t="s">
        <v>15</v>
      </c>
      <c r="K22" s="26" t="str">
        <f>HYPERLINK("http://www.digikey.com/product-detail/en/CRCW12066R80FKEAHP/541-6.80UCT-ND/5327029","DigiKey")</f>
        <v>DigiKey</v>
      </c>
      <c r="L22" s="33">
        <v>42283</v>
      </c>
      <c r="M22" s="33">
        <v>42289</v>
      </c>
      <c r="N22" s="24" t="s">
        <v>74</v>
      </c>
      <c r="O22" s="48" t="s">
        <v>107</v>
      </c>
    </row>
    <row r="23" spans="1:15" x14ac:dyDescent="0.35">
      <c r="A23" s="16">
        <v>22</v>
      </c>
      <c r="B23" s="24" t="s">
        <v>97</v>
      </c>
      <c r="C23" s="24" t="s">
        <v>96</v>
      </c>
      <c r="D23" s="25">
        <v>0.39</v>
      </c>
      <c r="E23" s="24">
        <v>10</v>
      </c>
      <c r="F23" s="25">
        <v>0</v>
      </c>
      <c r="G23" s="25">
        <f t="shared" si="0"/>
        <v>3.9000000000000004</v>
      </c>
      <c r="H23" s="24" t="s">
        <v>14</v>
      </c>
      <c r="I23" s="24" t="s">
        <v>14</v>
      </c>
      <c r="J23" s="24" t="s">
        <v>15</v>
      </c>
      <c r="K23" s="26" t="str">
        <f>HYPERLINK("http://www.digikey.com/product-detail/en/CRCW120612R0JNEAHP/541-12UACT-ND/2826078","DigiKey")</f>
        <v>DigiKey</v>
      </c>
      <c r="L23" s="33">
        <v>42283</v>
      </c>
      <c r="M23" s="33">
        <v>42289</v>
      </c>
      <c r="N23" s="24" t="s">
        <v>74</v>
      </c>
      <c r="O23" s="48" t="s">
        <v>107</v>
      </c>
    </row>
    <row r="24" spans="1:15" x14ac:dyDescent="0.35">
      <c r="A24" s="16">
        <v>23</v>
      </c>
      <c r="B24" s="24" t="s">
        <v>73</v>
      </c>
      <c r="C24" s="24" t="s">
        <v>76</v>
      </c>
      <c r="D24" s="25">
        <v>0.7</v>
      </c>
      <c r="E24" s="24">
        <v>4</v>
      </c>
      <c r="F24" s="25">
        <v>0</v>
      </c>
      <c r="G24" s="25">
        <f t="shared" si="0"/>
        <v>2.8</v>
      </c>
      <c r="H24" s="24" t="s">
        <v>14</v>
      </c>
      <c r="I24" s="24" t="s">
        <v>14</v>
      </c>
      <c r="J24" s="24" t="s">
        <v>15</v>
      </c>
      <c r="K24" s="26" t="str">
        <f>HYPERLINK("http://www.digikey.com/product-detail/en/SN74F20NSR/296-3564-1-ND/373693","DigiKey")</f>
        <v>DigiKey</v>
      </c>
      <c r="L24" s="33">
        <v>42283</v>
      </c>
      <c r="M24" s="33">
        <v>42289</v>
      </c>
      <c r="N24" s="24" t="s">
        <v>75</v>
      </c>
      <c r="O24" s="48" t="s">
        <v>107</v>
      </c>
    </row>
    <row r="25" spans="1:15" x14ac:dyDescent="0.35">
      <c r="A25" s="16">
        <v>24</v>
      </c>
      <c r="B25" s="24" t="s">
        <v>77</v>
      </c>
      <c r="C25" s="24" t="s">
        <v>78</v>
      </c>
      <c r="D25" s="25">
        <v>2.44</v>
      </c>
      <c r="E25" s="24">
        <v>2</v>
      </c>
      <c r="F25" s="25">
        <v>0</v>
      </c>
      <c r="G25" s="25">
        <f t="shared" si="0"/>
        <v>4.88</v>
      </c>
      <c r="H25" s="24" t="s">
        <v>14</v>
      </c>
      <c r="I25" s="24" t="s">
        <v>14</v>
      </c>
      <c r="J25" s="24" t="s">
        <v>15</v>
      </c>
      <c r="K25" s="26" t="str">
        <f>HYPERLINK("http://www.digikey.com/product-detail/en/2403%20260%2000091/423-1201-ND/4376275","DigiKey")</f>
        <v>DigiKey</v>
      </c>
      <c r="L25" s="33">
        <v>42283</v>
      </c>
      <c r="M25" s="33">
        <v>42289</v>
      </c>
      <c r="N25" s="24" t="s">
        <v>79</v>
      </c>
      <c r="O25" s="48" t="s">
        <v>107</v>
      </c>
    </row>
    <row r="26" spans="1:15" x14ac:dyDescent="0.35">
      <c r="A26" s="16">
        <v>25</v>
      </c>
      <c r="B26" s="24" t="s">
        <v>81</v>
      </c>
      <c r="C26" s="24" t="s">
        <v>81</v>
      </c>
      <c r="D26" s="25">
        <v>24.95</v>
      </c>
      <c r="E26" s="24">
        <v>1</v>
      </c>
      <c r="F26" s="25">
        <v>12.22</v>
      </c>
      <c r="G26" s="25">
        <f t="shared" si="0"/>
        <v>37.17</v>
      </c>
      <c r="H26" s="24" t="s">
        <v>14</v>
      </c>
      <c r="I26" s="24" t="s">
        <v>14</v>
      </c>
      <c r="J26" s="24" t="s">
        <v>80</v>
      </c>
      <c r="K26" s="26" t="str">
        <f>HYPERLINK("https://www.adafruit.com/product/2210","AdaFruit")</f>
        <v>AdaFruit</v>
      </c>
      <c r="L26" s="33">
        <v>42283</v>
      </c>
      <c r="M26" s="33">
        <v>42289</v>
      </c>
      <c r="N26" s="24" t="s">
        <v>79</v>
      </c>
      <c r="O26" s="48" t="s">
        <v>107</v>
      </c>
    </row>
    <row r="27" spans="1:15" x14ac:dyDescent="0.35">
      <c r="A27" s="16">
        <v>26</v>
      </c>
      <c r="B27" s="24" t="s">
        <v>91</v>
      </c>
      <c r="C27" s="24" t="s">
        <v>92</v>
      </c>
      <c r="D27" s="25">
        <v>49.9</v>
      </c>
      <c r="E27" s="24">
        <v>1</v>
      </c>
      <c r="F27" s="25">
        <v>0</v>
      </c>
      <c r="G27" s="25">
        <f t="shared" si="0"/>
        <v>49.9</v>
      </c>
      <c r="H27" s="24" t="s">
        <v>35</v>
      </c>
      <c r="I27" s="24" t="s">
        <v>14</v>
      </c>
      <c r="J27" s="24" t="s">
        <v>58</v>
      </c>
      <c r="K27" s="26" t="str">
        <f>HYPERLINK("https://www.pololu.com/product/2556","Pololu")</f>
        <v>Pololu</v>
      </c>
      <c r="L27" s="33">
        <v>42283</v>
      </c>
      <c r="M27" s="33">
        <v>42289</v>
      </c>
      <c r="N27" s="24" t="s">
        <v>101</v>
      </c>
      <c r="O27" s="48" t="s">
        <v>107</v>
      </c>
    </row>
    <row r="28" spans="1:15" x14ac:dyDescent="0.35">
      <c r="A28" s="16">
        <v>27</v>
      </c>
      <c r="B28" s="27" t="s">
        <v>82</v>
      </c>
      <c r="C28" s="27" t="s">
        <v>83</v>
      </c>
      <c r="D28" s="28">
        <v>11.95</v>
      </c>
      <c r="E28" s="27">
        <v>4</v>
      </c>
      <c r="F28" s="28">
        <v>0</v>
      </c>
      <c r="G28" s="17">
        <f t="shared" si="0"/>
        <v>47.8</v>
      </c>
      <c r="H28" s="27" t="s">
        <v>34</v>
      </c>
      <c r="I28" s="27" t="s">
        <v>14</v>
      </c>
      <c r="J28" s="27" t="s">
        <v>58</v>
      </c>
      <c r="K28" s="29" t="str">
        <f>HYPERLINK("https://www.pololu.com/product/1252","Pololu")</f>
        <v>Pololu</v>
      </c>
      <c r="L28" s="34">
        <v>42283</v>
      </c>
      <c r="M28" s="34">
        <v>42289</v>
      </c>
      <c r="N28" s="27" t="s">
        <v>84</v>
      </c>
      <c r="O28" s="48" t="s">
        <v>107</v>
      </c>
    </row>
    <row r="29" spans="1:15" x14ac:dyDescent="0.35">
      <c r="A29" s="16">
        <v>28</v>
      </c>
      <c r="B29" s="27" t="s">
        <v>110</v>
      </c>
      <c r="C29" s="27" t="s">
        <v>108</v>
      </c>
      <c r="D29" s="28">
        <v>1.33</v>
      </c>
      <c r="E29" s="27">
        <v>1</v>
      </c>
      <c r="F29" s="28">
        <v>0</v>
      </c>
      <c r="G29" s="17">
        <f t="shared" si="0"/>
        <v>1.33</v>
      </c>
      <c r="H29" s="27" t="s">
        <v>34</v>
      </c>
      <c r="I29" s="27" t="s">
        <v>14</v>
      </c>
      <c r="J29" s="27" t="s">
        <v>15</v>
      </c>
      <c r="K29" s="30"/>
      <c r="L29" s="34">
        <v>42283</v>
      </c>
      <c r="M29" s="34">
        <v>42289</v>
      </c>
      <c r="N29" s="27" t="s">
        <v>108</v>
      </c>
      <c r="O29" s="48" t="s">
        <v>112</v>
      </c>
    </row>
    <row r="30" spans="1:15" x14ac:dyDescent="0.35">
      <c r="A30" s="16">
        <v>29</v>
      </c>
      <c r="B30" s="27" t="s">
        <v>111</v>
      </c>
      <c r="C30" s="27" t="s">
        <v>109</v>
      </c>
      <c r="D30" s="28">
        <v>1.64</v>
      </c>
      <c r="E30" s="27">
        <v>1</v>
      </c>
      <c r="F30" s="28">
        <v>3</v>
      </c>
      <c r="G30" s="17">
        <f t="shared" si="0"/>
        <v>4.6399999999999997</v>
      </c>
      <c r="H30" s="27" t="s">
        <v>34</v>
      </c>
      <c r="I30" s="27" t="s">
        <v>14</v>
      </c>
      <c r="J30" s="27" t="s">
        <v>15</v>
      </c>
      <c r="K30" s="30"/>
      <c r="L30" s="34">
        <v>42283</v>
      </c>
      <c r="M30" s="34">
        <v>42289</v>
      </c>
      <c r="N30" s="27" t="s">
        <v>109</v>
      </c>
      <c r="O30" s="48" t="s">
        <v>112</v>
      </c>
    </row>
    <row r="31" spans="1:15" x14ac:dyDescent="0.35">
      <c r="A31" s="35">
        <v>30</v>
      </c>
      <c r="B31" s="35" t="s">
        <v>86</v>
      </c>
      <c r="C31" s="35" t="s">
        <v>86</v>
      </c>
      <c r="D31" s="36">
        <v>0.315</v>
      </c>
      <c r="E31" s="35">
        <v>8</v>
      </c>
      <c r="F31" s="37">
        <v>0</v>
      </c>
      <c r="G31" s="37">
        <f t="shared" si="0"/>
        <v>2.52</v>
      </c>
      <c r="H31" s="38" t="s">
        <v>28</v>
      </c>
      <c r="I31" s="38" t="s">
        <v>14</v>
      </c>
      <c r="J31" s="38" t="s">
        <v>15</v>
      </c>
      <c r="K31" s="39" t="str">
        <f>HYPERLINK("http://www.digikey.com/product-detail/en/ED281DT/ED3050-5-ND/4147600",J31)</f>
        <v>Digikey</v>
      </c>
      <c r="L31" s="40">
        <v>42283</v>
      </c>
      <c r="M31" s="40">
        <v>42289</v>
      </c>
      <c r="N31" s="38" t="s">
        <v>100</v>
      </c>
      <c r="O31" s="48" t="s">
        <v>107</v>
      </c>
    </row>
    <row r="32" spans="1:15" x14ac:dyDescent="0.35">
      <c r="A32" s="35">
        <v>31</v>
      </c>
      <c r="B32" s="35" t="s">
        <v>87</v>
      </c>
      <c r="C32" s="35" t="s">
        <v>93</v>
      </c>
      <c r="D32" s="36">
        <v>0.1</v>
      </c>
      <c r="E32" s="35">
        <v>8</v>
      </c>
      <c r="F32" s="37">
        <v>0</v>
      </c>
      <c r="G32" s="37">
        <f t="shared" si="0"/>
        <v>0.8</v>
      </c>
      <c r="H32" s="38" t="s">
        <v>28</v>
      </c>
      <c r="I32" s="38" t="s">
        <v>14</v>
      </c>
      <c r="J32" s="38" t="s">
        <v>15</v>
      </c>
      <c r="K32" s="39" t="str">
        <f>HYPERLINK("http://www.digikey.com/product-detail/en/RC1206FR-071KL/311-1.00KFRCT-ND/731334","DigiKey")</f>
        <v>DigiKey</v>
      </c>
      <c r="L32" s="40">
        <v>42283</v>
      </c>
      <c r="M32" s="40">
        <v>42289</v>
      </c>
      <c r="N32" s="38" t="s">
        <v>100</v>
      </c>
      <c r="O32" s="48" t="s">
        <v>107</v>
      </c>
    </row>
    <row r="33" spans="1:15" x14ac:dyDescent="0.35">
      <c r="A33" s="35">
        <v>32</v>
      </c>
      <c r="B33" s="35" t="s">
        <v>88</v>
      </c>
      <c r="C33" s="35" t="s">
        <v>88</v>
      </c>
      <c r="D33" s="36">
        <v>0.48</v>
      </c>
      <c r="E33" s="35">
        <v>8</v>
      </c>
      <c r="F33" s="37">
        <v>0</v>
      </c>
      <c r="G33" s="37">
        <f t="shared" si="0"/>
        <v>3.84</v>
      </c>
      <c r="H33" s="38" t="s">
        <v>28</v>
      </c>
      <c r="I33" s="38" t="s">
        <v>14</v>
      </c>
      <c r="J33" s="38" t="s">
        <v>15</v>
      </c>
      <c r="K33" s="39" t="str">
        <f>HYPERLINK("http://www.digikey.com/product-detail/en/KMR231NG%20LFS/CKN10246CT-ND/2176497","DigiKey")</f>
        <v>DigiKey</v>
      </c>
      <c r="L33" s="40">
        <v>42283</v>
      </c>
      <c r="M33" s="40">
        <v>42289</v>
      </c>
      <c r="N33" s="38" t="s">
        <v>100</v>
      </c>
      <c r="O33" s="48" t="s">
        <v>107</v>
      </c>
    </row>
    <row r="34" spans="1:15" x14ac:dyDescent="0.35">
      <c r="A34" s="35">
        <v>33</v>
      </c>
      <c r="B34" s="35" t="s">
        <v>89</v>
      </c>
      <c r="C34" s="35" t="s">
        <v>89</v>
      </c>
      <c r="D34" s="36">
        <v>0.1</v>
      </c>
      <c r="E34" s="35">
        <v>8</v>
      </c>
      <c r="F34" s="37">
        <v>0</v>
      </c>
      <c r="G34" s="37">
        <f t="shared" si="0"/>
        <v>0.8</v>
      </c>
      <c r="H34" s="38" t="s">
        <v>28</v>
      </c>
      <c r="I34" s="38" t="s">
        <v>14</v>
      </c>
      <c r="J34" s="38" t="s">
        <v>15</v>
      </c>
      <c r="K34" s="39" t="str">
        <f>HYPERLINK("http://www.digikey.com/product-detail/en/1N4148/1N4148FS-ND/458603","DigiKey")</f>
        <v>DigiKey</v>
      </c>
      <c r="L34" s="40">
        <v>42283</v>
      </c>
      <c r="M34" s="40">
        <v>42289</v>
      </c>
      <c r="N34" s="38" t="s">
        <v>100</v>
      </c>
      <c r="O34" s="48" t="s">
        <v>107</v>
      </c>
    </row>
    <row r="35" spans="1:15" x14ac:dyDescent="0.35">
      <c r="A35" s="35">
        <v>34</v>
      </c>
      <c r="B35" s="35" t="s">
        <v>90</v>
      </c>
      <c r="C35" s="35" t="s">
        <v>90</v>
      </c>
      <c r="D35" s="36">
        <v>0.75</v>
      </c>
      <c r="E35" s="35">
        <v>1</v>
      </c>
      <c r="F35" s="37">
        <v>6.45</v>
      </c>
      <c r="G35" s="37">
        <f t="shared" si="0"/>
        <v>7.2</v>
      </c>
      <c r="H35" s="38" t="s">
        <v>28</v>
      </c>
      <c r="I35" s="38" t="s">
        <v>14</v>
      </c>
      <c r="J35" s="38" t="s">
        <v>58</v>
      </c>
      <c r="K35" s="39" t="str">
        <f>HYPERLINK("https://www.pololu.com/product/965","Pololu")</f>
        <v>Pololu</v>
      </c>
      <c r="L35" s="40">
        <v>42283</v>
      </c>
      <c r="M35" s="40">
        <v>42289</v>
      </c>
      <c r="N35" s="38" t="s">
        <v>100</v>
      </c>
      <c r="O35" s="48" t="s">
        <v>107</v>
      </c>
    </row>
    <row r="36" spans="1:15" x14ac:dyDescent="0.35">
      <c r="A36" s="16">
        <v>35</v>
      </c>
      <c r="D36" s="31"/>
      <c r="F36" s="28"/>
      <c r="G36" s="51" t="str">
        <f t="shared" si="0"/>
        <v/>
      </c>
      <c r="K36" s="30"/>
    </row>
    <row r="37" spans="1:15" x14ac:dyDescent="0.35">
      <c r="A37" s="16">
        <v>36</v>
      </c>
      <c r="D37" s="28"/>
      <c r="F37" s="28"/>
      <c r="G37" s="51" t="str">
        <f t="shared" si="0"/>
        <v/>
      </c>
      <c r="K37" s="30"/>
    </row>
    <row r="38" spans="1:15" x14ac:dyDescent="0.35">
      <c r="A38" s="16">
        <v>35</v>
      </c>
      <c r="D38" s="31"/>
      <c r="F38" s="28"/>
      <c r="G38" s="51" t="str">
        <f t="shared" si="0"/>
        <v/>
      </c>
      <c r="K38" s="30"/>
    </row>
    <row r="39" spans="1:15" x14ac:dyDescent="0.35">
      <c r="A39" s="16">
        <v>36</v>
      </c>
      <c r="D39" s="28"/>
      <c r="F39" s="28"/>
      <c r="G39" s="51" t="str">
        <f t="shared" si="0"/>
        <v/>
      </c>
      <c r="K39" s="30"/>
    </row>
    <row r="40" spans="1:15" x14ac:dyDescent="0.35">
      <c r="A40" s="16">
        <v>37</v>
      </c>
      <c r="D40" s="28"/>
      <c r="F40" s="28"/>
      <c r="G40" s="51" t="str">
        <f t="shared" si="0"/>
        <v/>
      </c>
      <c r="K40" s="30"/>
    </row>
    <row r="41" spans="1:15" x14ac:dyDescent="0.35">
      <c r="A41" s="16">
        <v>38</v>
      </c>
      <c r="D41" s="28"/>
      <c r="F41" s="28"/>
      <c r="G41" s="51" t="str">
        <f t="shared" si="0"/>
        <v/>
      </c>
      <c r="K41" s="30"/>
    </row>
    <row r="42" spans="1:15" x14ac:dyDescent="0.35">
      <c r="A42" s="16">
        <v>39</v>
      </c>
      <c r="D42" s="28"/>
      <c r="F42" s="28"/>
      <c r="G42" s="51" t="str">
        <f t="shared" si="0"/>
        <v/>
      </c>
      <c r="K42" s="30"/>
    </row>
    <row r="43" spans="1:15" x14ac:dyDescent="0.35">
      <c r="A43" s="16">
        <v>40</v>
      </c>
      <c r="D43" s="28"/>
      <c r="F43" s="28"/>
      <c r="G43" s="51" t="str">
        <f t="shared" si="0"/>
        <v/>
      </c>
      <c r="K43" s="30"/>
    </row>
    <row r="44" spans="1:15" x14ac:dyDescent="0.35">
      <c r="A44" s="16">
        <v>41</v>
      </c>
      <c r="D44" s="28"/>
      <c r="F44" s="28"/>
      <c r="G44" s="51" t="str">
        <f t="shared" si="0"/>
        <v/>
      </c>
      <c r="K44" s="30"/>
    </row>
    <row r="45" spans="1:15" x14ac:dyDescent="0.35">
      <c r="A45" s="16">
        <v>42</v>
      </c>
      <c r="D45" s="28"/>
      <c r="F45" s="28"/>
      <c r="G45" s="51" t="str">
        <f t="shared" si="0"/>
        <v/>
      </c>
      <c r="K45" s="30"/>
    </row>
    <row r="46" spans="1:15" x14ac:dyDescent="0.35">
      <c r="A46" s="16">
        <v>43</v>
      </c>
      <c r="D46" s="28"/>
      <c r="F46" s="28"/>
      <c r="G46" s="51" t="str">
        <f t="shared" si="0"/>
        <v/>
      </c>
      <c r="K46" s="30"/>
    </row>
    <row r="47" spans="1:15" x14ac:dyDescent="0.35">
      <c r="A47" s="16">
        <v>44</v>
      </c>
      <c r="D47" s="28"/>
      <c r="F47" s="28"/>
      <c r="G47" s="51" t="str">
        <f t="shared" si="0"/>
        <v/>
      </c>
      <c r="K47" s="30"/>
    </row>
    <row r="48" spans="1:15" x14ac:dyDescent="0.35">
      <c r="A48" s="16">
        <v>45</v>
      </c>
      <c r="D48" s="28"/>
      <c r="F48" s="28"/>
      <c r="G48" s="51" t="str">
        <f t="shared" si="0"/>
        <v/>
      </c>
      <c r="K48" s="30"/>
    </row>
    <row r="49" spans="1:11" x14ac:dyDescent="0.35">
      <c r="A49" s="16">
        <v>46</v>
      </c>
      <c r="D49" s="28"/>
      <c r="F49" s="28"/>
      <c r="G49" s="51" t="str">
        <f t="shared" si="0"/>
        <v/>
      </c>
      <c r="K49" s="32"/>
    </row>
    <row r="50" spans="1:11" x14ac:dyDescent="0.35">
      <c r="A50" s="16"/>
      <c r="D50" s="28"/>
      <c r="F50" s="28"/>
      <c r="G50" s="51"/>
      <c r="K50" s="32"/>
    </row>
    <row r="51" spans="1:11" x14ac:dyDescent="0.35">
      <c r="A51" s="16"/>
      <c r="D51" s="28"/>
      <c r="F51" s="28"/>
      <c r="G51" s="51"/>
      <c r="K51" s="32"/>
    </row>
    <row r="52" spans="1:11" x14ac:dyDescent="0.35">
      <c r="A52" s="16"/>
      <c r="D52" s="28"/>
      <c r="F52" s="28"/>
      <c r="G52" s="51" t="s">
        <v>115</v>
      </c>
      <c r="H52" s="27" t="s">
        <v>116</v>
      </c>
      <c r="K52" s="32"/>
    </row>
    <row r="53" spans="1:11" x14ac:dyDescent="0.35">
      <c r="G53" s="9">
        <f>SUM(G2:G49)</f>
        <v>356.97999999999996</v>
      </c>
      <c r="H53" s="9">
        <f>'Deposit Tracking'!C26</f>
        <v>340</v>
      </c>
      <c r="I53" s="9">
        <f>H53-G53</f>
        <v>-16.979999999999961</v>
      </c>
    </row>
  </sheetData>
  <autoFilter ref="B1:N1"/>
  <conditionalFormatting sqref="I53">
    <cfRule type="cellIs" dxfId="5" priority="2" operator="equal">
      <formula>0</formula>
    </cfRule>
    <cfRule type="cellIs" dxfId="4" priority="3" operator="lessThan">
      <formula>0</formula>
    </cfRule>
    <cfRule type="cellIs" dxfId="3" priority="4" operator="greaterThan">
      <formula>0</formula>
    </cfRule>
  </conditionalFormatting>
  <conditionalFormatting sqref="O1:O1048576">
    <cfRule type="cellIs" dxfId="2" priority="1" operator="equal">
      <formula>"X"</formula>
    </cfRule>
  </conditionalFormatting>
  <dataValidations count="6">
    <dataValidation type="list" errorStyle="information" allowBlank="1" showErrorMessage="1" errorTitle="Warning" error="Please select a valid team member" sqref="H2:H51">
      <formula1>StudentNames</formula1>
    </dataValidation>
    <dataValidation type="list" allowBlank="1" showInputMessage="1" showErrorMessage="1" sqref="I2:I52">
      <formula1>StudentNames</formula1>
    </dataValidation>
    <dataValidation type="list" allowBlank="1" showInputMessage="1" showErrorMessage="1" sqref="J2:J52">
      <formula1>Vendors</formula1>
    </dataValidation>
    <dataValidation type="date" allowBlank="1" showInputMessage="1" showErrorMessage="1" sqref="L1:M1 L60:L1048576 M58:M1048576">
      <formula1>42248</formula1>
      <formula2>42369</formula2>
    </dataValidation>
    <dataValidation type="date" allowBlank="1" showInputMessage="1" showErrorMessage="1" errorTitle="Nope!" error="Not a valid date." sqref="L2:M52">
      <formula1>42248</formula1>
      <formula2>42369</formula2>
    </dataValidation>
    <dataValidation errorStyle="information" allowBlank="1" showErrorMessage="1" errorTitle="Warning" error="Please select a valid team member" sqref="H52"/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workbookViewId="0">
      <selection activeCell="F6" sqref="F6"/>
    </sheetView>
  </sheetViews>
  <sheetFormatPr defaultRowHeight="14.5" x14ac:dyDescent="0.35"/>
  <cols>
    <col min="1" max="1" width="13.81640625" customWidth="1"/>
    <col min="2" max="2" width="18.1796875" customWidth="1"/>
    <col min="3" max="3" width="16.54296875" customWidth="1"/>
    <col min="5" max="5" width="25" bestFit="1" customWidth="1"/>
    <col min="6" max="6" width="15.26953125" customWidth="1"/>
    <col min="7" max="7" width="12.453125" bestFit="1" customWidth="1"/>
    <col min="8" max="8" width="8.453125" bestFit="1" customWidth="1"/>
  </cols>
  <sheetData>
    <row r="1" spans="1:8" x14ac:dyDescent="0.35">
      <c r="A1" s="2" t="s">
        <v>29</v>
      </c>
      <c r="B1" s="2" t="s">
        <v>30</v>
      </c>
      <c r="C1" s="2" t="s">
        <v>31</v>
      </c>
      <c r="D1" s="1"/>
      <c r="E1" s="1"/>
      <c r="F1" s="1"/>
    </row>
    <row r="2" spans="1:8" x14ac:dyDescent="0.35">
      <c r="A2" s="3">
        <v>42250</v>
      </c>
      <c r="B2" s="1" t="s">
        <v>32</v>
      </c>
      <c r="C2" s="6">
        <v>20</v>
      </c>
      <c r="D2" s="1"/>
      <c r="E2" s="2" t="s">
        <v>33</v>
      </c>
      <c r="F2" s="1"/>
    </row>
    <row r="3" spans="1:8" x14ac:dyDescent="0.35">
      <c r="A3" s="3">
        <v>42250</v>
      </c>
      <c r="B3" s="1" t="s">
        <v>113</v>
      </c>
      <c r="C3" s="6">
        <v>20</v>
      </c>
      <c r="D3" s="1"/>
      <c r="E3" s="4" t="s">
        <v>28</v>
      </c>
      <c r="F3" s="6">
        <f>SUMIFS($C$2:$C$25,$B$2:$B$25,E3)</f>
        <v>50</v>
      </c>
      <c r="G3" t="str">
        <f>IF($F$26-F3&gt;0,"Owes "&amp;DOLLAR($F$26-F3),"Owed "&amp;DOLLAR(F3-$F$26))</f>
        <v>Owes $9.50</v>
      </c>
      <c r="H3" s="50"/>
    </row>
    <row r="4" spans="1:8" x14ac:dyDescent="0.35">
      <c r="A4" s="3">
        <v>42262</v>
      </c>
      <c r="B4" s="1" t="s">
        <v>28</v>
      </c>
      <c r="C4" s="6">
        <v>20</v>
      </c>
      <c r="D4" s="1"/>
      <c r="E4" s="5" t="s">
        <v>113</v>
      </c>
      <c r="F4" s="6">
        <f t="shared" ref="F4:F8" si="0">SUMIFS($C$2:$C$25,$B$2:$B$25,E4)</f>
        <v>70</v>
      </c>
      <c r="G4" t="str">
        <f t="shared" ref="G4:G8" si="1">IF($F$26-F4&gt;0,"Owes "&amp;DOLLAR($F$26-F4),"Owed "&amp;DOLLAR(F4-$F$26))</f>
        <v>Owed $10.50</v>
      </c>
      <c r="H4" s="50"/>
    </row>
    <row r="5" spans="1:8" x14ac:dyDescent="0.35">
      <c r="A5" s="3">
        <v>42262</v>
      </c>
      <c r="B5" s="1" t="s">
        <v>14</v>
      </c>
      <c r="C5" s="6">
        <v>0</v>
      </c>
      <c r="D5" s="1"/>
      <c r="E5" s="5" t="s">
        <v>14</v>
      </c>
      <c r="F5" s="6">
        <f>SUMIFS($C$2:$C$25,$B$2:$B$25,E5)+('Purchase History'!G53-'Purchase History'!H53)</f>
        <v>16.979999999999961</v>
      </c>
      <c r="G5" t="str">
        <f>IF($F$26-F5&gt;0,"Owes "&amp;DOLLAR($F$26-F5),"Owed "&amp;DOLLAR(F5-$F$26))</f>
        <v>Owes $42.52</v>
      </c>
      <c r="H5" s="50"/>
    </row>
    <row r="6" spans="1:8" x14ac:dyDescent="0.35">
      <c r="A6" s="3">
        <v>42276</v>
      </c>
      <c r="B6" s="1" t="s">
        <v>35</v>
      </c>
      <c r="C6" s="6">
        <v>20</v>
      </c>
      <c r="D6" s="1"/>
      <c r="E6" s="5" t="s">
        <v>34</v>
      </c>
      <c r="F6" s="6">
        <f t="shared" si="0"/>
        <v>150</v>
      </c>
      <c r="G6" t="str">
        <f t="shared" si="1"/>
        <v>Owed $90.50</v>
      </c>
      <c r="H6" s="50"/>
    </row>
    <row r="7" spans="1:8" x14ac:dyDescent="0.35">
      <c r="A7" s="3">
        <v>42283</v>
      </c>
      <c r="B7" s="1" t="s">
        <v>34</v>
      </c>
      <c r="C7" s="6">
        <v>150</v>
      </c>
      <c r="D7" s="1"/>
      <c r="E7" s="5" t="s">
        <v>32</v>
      </c>
      <c r="F7" s="6">
        <f t="shared" si="0"/>
        <v>50</v>
      </c>
      <c r="G7" t="str">
        <f t="shared" si="1"/>
        <v>Owes $9.50</v>
      </c>
      <c r="H7" s="50"/>
    </row>
    <row r="8" spans="1:8" x14ac:dyDescent="0.35">
      <c r="A8" s="3">
        <v>42283</v>
      </c>
      <c r="B8" s="1" t="s">
        <v>113</v>
      </c>
      <c r="C8" s="6">
        <v>50</v>
      </c>
      <c r="D8" s="1"/>
      <c r="E8" s="5" t="s">
        <v>35</v>
      </c>
      <c r="F8" s="6">
        <f t="shared" si="0"/>
        <v>20</v>
      </c>
      <c r="G8" t="str">
        <f t="shared" si="1"/>
        <v>Owes $39.50</v>
      </c>
      <c r="H8" s="50"/>
    </row>
    <row r="9" spans="1:8" x14ac:dyDescent="0.35">
      <c r="A9" s="3">
        <v>42290</v>
      </c>
      <c r="B9" s="1" t="s">
        <v>28</v>
      </c>
      <c r="C9" s="6">
        <v>30</v>
      </c>
      <c r="D9" s="1"/>
      <c r="E9" s="1"/>
      <c r="F9" s="1"/>
    </row>
    <row r="10" spans="1:8" x14ac:dyDescent="0.35">
      <c r="A10" s="3">
        <v>42290</v>
      </c>
      <c r="B10" s="1" t="s">
        <v>32</v>
      </c>
      <c r="C10" s="6">
        <v>30</v>
      </c>
      <c r="D10" s="1"/>
      <c r="E10" s="1"/>
      <c r="F10" s="1"/>
    </row>
    <row r="11" spans="1:8" x14ac:dyDescent="0.35">
      <c r="A11" s="1"/>
      <c r="B11" s="1"/>
      <c r="C11" s="6"/>
      <c r="D11" s="1"/>
      <c r="E11" s="1"/>
      <c r="F11" s="1"/>
    </row>
    <row r="12" spans="1:8" x14ac:dyDescent="0.35">
      <c r="A12" s="1"/>
      <c r="B12" s="1"/>
      <c r="C12" s="6"/>
      <c r="D12" s="1"/>
      <c r="E12" s="1"/>
      <c r="F12" s="6"/>
    </row>
    <row r="13" spans="1:8" x14ac:dyDescent="0.35">
      <c r="A13" s="1"/>
      <c r="B13" s="1"/>
      <c r="C13" s="6"/>
      <c r="D13" s="1"/>
      <c r="E13" s="1"/>
      <c r="F13" s="1"/>
    </row>
    <row r="14" spans="1:8" x14ac:dyDescent="0.35">
      <c r="A14" s="1"/>
      <c r="B14" s="1"/>
      <c r="C14" s="6"/>
      <c r="D14" s="1"/>
      <c r="E14" s="1"/>
      <c r="F14" s="1"/>
    </row>
    <row r="15" spans="1:8" x14ac:dyDescent="0.35">
      <c r="A15" s="1"/>
      <c r="B15" s="1"/>
      <c r="C15" s="6"/>
      <c r="D15" s="1"/>
      <c r="E15" s="1"/>
      <c r="F15" s="1"/>
    </row>
    <row r="16" spans="1:8" x14ac:dyDescent="0.35">
      <c r="A16" s="1"/>
      <c r="B16" s="1"/>
      <c r="C16" s="6"/>
      <c r="D16" s="1"/>
      <c r="E16" s="1"/>
      <c r="F16" s="1"/>
    </row>
    <row r="17" spans="1:6" x14ac:dyDescent="0.35">
      <c r="A17" s="1"/>
      <c r="B17" s="1"/>
      <c r="C17" s="6"/>
      <c r="D17" s="1"/>
      <c r="E17" s="1"/>
      <c r="F17" s="1"/>
    </row>
    <row r="18" spans="1:6" x14ac:dyDescent="0.35">
      <c r="A18" s="1"/>
      <c r="B18" s="1"/>
      <c r="C18" s="6"/>
      <c r="D18" s="1"/>
      <c r="E18" s="1"/>
      <c r="F18" s="1"/>
    </row>
    <row r="19" spans="1:6" x14ac:dyDescent="0.35">
      <c r="A19" s="1"/>
      <c r="B19" s="1"/>
      <c r="C19" s="6"/>
      <c r="D19" s="1"/>
      <c r="E19" s="1"/>
      <c r="F19" s="1"/>
    </row>
    <row r="20" spans="1:6" x14ac:dyDescent="0.35">
      <c r="A20" s="1"/>
      <c r="B20" s="1"/>
      <c r="C20" s="6"/>
      <c r="D20" s="1"/>
      <c r="E20" s="1"/>
      <c r="F20" s="1"/>
    </row>
    <row r="21" spans="1:6" x14ac:dyDescent="0.35">
      <c r="A21" s="1"/>
      <c r="B21" s="1"/>
      <c r="C21" s="6"/>
      <c r="D21" s="1"/>
      <c r="E21" s="1"/>
      <c r="F21" s="1"/>
    </row>
    <row r="22" spans="1:6" x14ac:dyDescent="0.35">
      <c r="A22" s="1"/>
      <c r="B22" s="1"/>
      <c r="C22" s="6"/>
      <c r="D22" s="1"/>
      <c r="E22" s="1"/>
      <c r="F22" s="1"/>
    </row>
    <row r="23" spans="1:6" x14ac:dyDescent="0.35">
      <c r="A23" s="1"/>
      <c r="B23" s="1"/>
      <c r="C23" s="6"/>
      <c r="D23" s="1"/>
      <c r="E23" s="1"/>
      <c r="F23" s="1"/>
    </row>
    <row r="24" spans="1:6" x14ac:dyDescent="0.35">
      <c r="A24" s="1"/>
      <c r="B24" s="1"/>
      <c r="C24" s="6"/>
      <c r="D24" s="1"/>
      <c r="E24" s="1"/>
      <c r="F24" s="1"/>
    </row>
    <row r="25" spans="1:6" x14ac:dyDescent="0.35">
      <c r="A25" s="1"/>
      <c r="B25" s="1"/>
      <c r="C25" s="6"/>
      <c r="D25" s="1"/>
      <c r="E25" s="1"/>
      <c r="F25" s="1"/>
    </row>
    <row r="26" spans="1:6" x14ac:dyDescent="0.35">
      <c r="A26" s="52" t="s">
        <v>36</v>
      </c>
      <c r="B26" s="52"/>
      <c r="C26" s="7">
        <f>SUM(C2:C25)</f>
        <v>340</v>
      </c>
      <c r="E26" t="s">
        <v>114</v>
      </c>
      <c r="F26" s="50">
        <f>'Purchase History'!G53/6</f>
        <v>59.496666666666663</v>
      </c>
    </row>
  </sheetData>
  <mergeCells count="1">
    <mergeCell ref="A26:B26"/>
  </mergeCells>
  <conditionalFormatting sqref="G3:G8">
    <cfRule type="expression" dxfId="1" priority="1">
      <formula>LEFT(G3,4)="Owed"</formula>
    </cfRule>
    <cfRule type="expression" dxfId="0" priority="2">
      <formula>LEFT(G3,4)="Owes"</formula>
    </cfRule>
  </conditionalFormatting>
  <dataValidations count="1">
    <dataValidation type="list" allowBlank="1" showInputMessage="1" showErrorMessage="1" sqref="B2:B25">
      <formula1>StudentNames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G11" sqref="G11"/>
    </sheetView>
  </sheetViews>
  <sheetFormatPr defaultRowHeight="14.5" x14ac:dyDescent="0.35"/>
  <cols>
    <col min="7" max="7" width="20.453125" bestFit="1" customWidth="1"/>
  </cols>
  <sheetData>
    <row r="1" spans="1:7" x14ac:dyDescent="0.35">
      <c r="A1" s="27" t="s">
        <v>15</v>
      </c>
      <c r="B1" s="28">
        <f>SUM('Purchase History'!G13:G25)+SUM('Purchase History'!G31:G34)</f>
        <v>66.11</v>
      </c>
      <c r="C1" s="27" t="s">
        <v>103</v>
      </c>
      <c r="D1" s="27"/>
      <c r="E1" s="27"/>
      <c r="G1" s="15" t="s">
        <v>98</v>
      </c>
    </row>
    <row r="2" spans="1:7" x14ac:dyDescent="0.35">
      <c r="A2" s="28" t="s">
        <v>40</v>
      </c>
      <c r="B2" s="28">
        <f>'Purchase History'!G9</f>
        <v>44.99</v>
      </c>
      <c r="C2" s="27" t="s">
        <v>103</v>
      </c>
      <c r="D2" s="9">
        <f>SUM(B1:B2)</f>
        <v>111.1</v>
      </c>
      <c r="E2" s="8" t="s">
        <v>103</v>
      </c>
      <c r="G2" s="9">
        <f>SUM('Purchase History'!G9:G38)</f>
        <v>326.52</v>
      </c>
    </row>
    <row r="3" spans="1:7" x14ac:dyDescent="0.35">
      <c r="A3" s="28" t="s">
        <v>49</v>
      </c>
      <c r="B3" s="28">
        <f>'Purchase History'!G10</f>
        <v>35.93</v>
      </c>
      <c r="C3" s="27" t="s">
        <v>104</v>
      </c>
      <c r="D3" s="9">
        <f>SUM(B3:B6)</f>
        <v>209.45</v>
      </c>
      <c r="E3" s="8" t="s">
        <v>105</v>
      </c>
    </row>
    <row r="4" spans="1:7" x14ac:dyDescent="0.35">
      <c r="A4" s="27" t="s">
        <v>55</v>
      </c>
      <c r="B4" s="28">
        <f>'Purchase History'!G11</f>
        <v>13.49</v>
      </c>
      <c r="C4" s="27" t="s">
        <v>104</v>
      </c>
      <c r="D4" s="27"/>
      <c r="E4" s="27"/>
    </row>
    <row r="5" spans="1:7" x14ac:dyDescent="0.35">
      <c r="A5" s="27" t="s">
        <v>58</v>
      </c>
      <c r="B5" s="28">
        <f>'Purchase History'!G27+'Purchase History'!G28+'Purchase History'!G35+'Purchase History'!G12</f>
        <v>122.85999999999999</v>
      </c>
      <c r="C5" s="27" t="s">
        <v>104</v>
      </c>
      <c r="D5" s="27"/>
      <c r="E5" s="27"/>
    </row>
    <row r="6" spans="1:7" x14ac:dyDescent="0.35">
      <c r="A6" s="27" t="s">
        <v>102</v>
      </c>
      <c r="B6" s="28">
        <f>'Purchase History'!G26</f>
        <v>37.17</v>
      </c>
      <c r="C6" s="27" t="s">
        <v>104</v>
      </c>
      <c r="D6" s="27"/>
      <c r="E6" s="27"/>
    </row>
  </sheetData>
  <dataValidations count="1">
    <dataValidation type="date" allowBlank="1" showInputMessage="1" showErrorMessage="1" sqref="D6">
      <formula1>42248</formula1>
      <formula2>42369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A7" sqref="A7"/>
    </sheetView>
  </sheetViews>
  <sheetFormatPr defaultRowHeight="14.5" x14ac:dyDescent="0.35"/>
  <cols>
    <col min="1" max="1" width="19" customWidth="1"/>
    <col min="2" max="2" width="5" customWidth="1"/>
    <col min="3" max="3" width="19.26953125" bestFit="1" customWidth="1"/>
  </cols>
  <sheetData>
    <row r="1" spans="1:3" x14ac:dyDescent="0.35">
      <c r="A1" s="2" t="s">
        <v>37</v>
      </c>
      <c r="B1" s="10"/>
      <c r="C1" s="2" t="s">
        <v>38</v>
      </c>
    </row>
    <row r="2" spans="1:3" x14ac:dyDescent="0.35">
      <c r="A2" s="5" t="s">
        <v>35</v>
      </c>
      <c r="B2" s="11"/>
      <c r="C2" s="1" t="s">
        <v>39</v>
      </c>
    </row>
    <row r="3" spans="1:3" x14ac:dyDescent="0.35">
      <c r="A3" s="4" t="s">
        <v>28</v>
      </c>
      <c r="B3" s="12"/>
      <c r="C3" s="1" t="s">
        <v>40</v>
      </c>
    </row>
    <row r="4" spans="1:3" x14ac:dyDescent="0.35">
      <c r="A4" s="5" t="s">
        <v>32</v>
      </c>
      <c r="B4" s="11"/>
      <c r="C4" s="1" t="s">
        <v>15</v>
      </c>
    </row>
    <row r="5" spans="1:3" x14ac:dyDescent="0.35">
      <c r="A5" s="5" t="s">
        <v>14</v>
      </c>
      <c r="B5" s="11"/>
      <c r="C5" s="1" t="s">
        <v>41</v>
      </c>
    </row>
    <row r="6" spans="1:3" x14ac:dyDescent="0.35">
      <c r="A6" s="5" t="s">
        <v>113</v>
      </c>
      <c r="B6" s="11"/>
      <c r="C6" s="1" t="s">
        <v>42</v>
      </c>
    </row>
    <row r="7" spans="1:3" x14ac:dyDescent="0.35">
      <c r="A7" s="5" t="s">
        <v>34</v>
      </c>
      <c r="B7" s="11"/>
      <c r="C7" s="1" t="s">
        <v>43</v>
      </c>
    </row>
    <row r="8" spans="1:3" x14ac:dyDescent="0.35">
      <c r="C8" s="13" t="s">
        <v>47</v>
      </c>
    </row>
    <row r="9" spans="1:3" x14ac:dyDescent="0.35">
      <c r="C9" s="13" t="s">
        <v>49</v>
      </c>
    </row>
    <row r="10" spans="1:3" x14ac:dyDescent="0.35">
      <c r="C10" s="1" t="s">
        <v>55</v>
      </c>
    </row>
    <row r="11" spans="1:3" x14ac:dyDescent="0.35">
      <c r="C11" s="1" t="s">
        <v>58</v>
      </c>
    </row>
    <row r="12" spans="1:3" x14ac:dyDescent="0.35">
      <c r="C12" s="1" t="s">
        <v>80</v>
      </c>
    </row>
  </sheetData>
  <autoFilter ref="A1:C1"/>
  <sortState ref="C2:C6">
    <sortCondition ref="C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Purchase History</vt:lpstr>
      <vt:lpstr>Deposit Tracking</vt:lpstr>
      <vt:lpstr>Figuring Sheet</vt:lpstr>
      <vt:lpstr>Refs</vt:lpstr>
      <vt:lpstr>StudentNames</vt:lpstr>
      <vt:lpstr>Vendors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Brandon</dc:creator>
  <cp:keywords/>
  <dc:description/>
  <cp:lastModifiedBy>Brandon</cp:lastModifiedBy>
  <cp:revision/>
  <dcterms:created xsi:type="dcterms:W3CDTF">2015-08-27T19:46:30Z</dcterms:created>
  <dcterms:modified xsi:type="dcterms:W3CDTF">2015-10-20T19:33:19Z</dcterms:modified>
</cp:coreProperties>
</file>