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ch7\Google Drive\PREWORK_DEN\excel-challenge\"/>
    </mc:Choice>
  </mc:AlternateContent>
  <xr:revisionPtr revIDLastSave="0" documentId="13_ncr:1_{C8541300-3D70-41A4-9B20-45C9171DEA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S Data Sheet 1" sheetId="1" r:id="rId1"/>
    <sheet name="KS Categorys Sheet 2" sheetId="8" r:id="rId2"/>
    <sheet name="KS Sub-Categorys Sheet 3" sheetId="9" r:id="rId3"/>
    <sheet name="KS Dates Sheet 4" sheetId="3" r:id="rId4"/>
    <sheet name="KS Goal Sheet 5" sheetId="12" r:id="rId5"/>
    <sheet name="KS Analysis Sheet 6" sheetId="13" r:id="rId6"/>
  </sheets>
  <definedNames>
    <definedName name="_xlchart.v1.0" hidden="1">'KS Analysis Sheet 6'!$E$2:$E$7</definedName>
    <definedName name="backers">'KS Data Sheet 1'!$L:$L</definedName>
    <definedName name="goal">'KS Data Sheet 1'!$D:$D</definedName>
    <definedName name="state">'KS Data Sheet 1'!$F:$F</definedName>
  </definedNames>
  <calcPr calcId="191029"/>
  <pivotCaches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3" l="1" a="1"/>
  <c r="C7" i="13" s="1"/>
  <c r="E7" i="13" a="1"/>
  <c r="E7" i="13" s="1"/>
  <c r="E6" i="13" a="1"/>
  <c r="E6" i="13" s="1"/>
  <c r="E5" i="13" a="1"/>
  <c r="E5" i="13" s="1"/>
  <c r="E4" i="13" a="1"/>
  <c r="E4" i="13" s="1"/>
  <c r="E3" i="13" a="1"/>
  <c r="E3" i="13" s="1"/>
  <c r="E2" i="13" a="1"/>
  <c r="E2" i="13" s="1"/>
  <c r="C4" i="13" a="1"/>
  <c r="C4" i="13" s="1"/>
  <c r="C5" i="13" a="1"/>
  <c r="C5" i="13" s="1"/>
  <c r="C6" i="13" a="1"/>
  <c r="C6" i="13" s="1"/>
  <c r="C2" i="13" a="1"/>
  <c r="C2" i="13" s="1"/>
  <c r="C3" i="13" a="1"/>
  <c r="C3" i="13" s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E2" i="12"/>
  <c r="D2" i="12"/>
  <c r="C2" i="12"/>
  <c r="B9" i="12"/>
  <c r="B13" i="12"/>
  <c r="B12" i="12"/>
  <c r="B11" i="12"/>
  <c r="B10" i="12"/>
  <c r="B8" i="12"/>
  <c r="B7" i="12"/>
  <c r="B6" i="12"/>
  <c r="B5" i="12"/>
  <c r="B4" i="12"/>
  <c r="B2" i="12"/>
  <c r="B3" i="12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2" l="1"/>
  <c r="E12" i="12"/>
  <c r="E11" i="12"/>
  <c r="E10" i="12"/>
  <c r="E9" i="12"/>
  <c r="E8" i="12"/>
  <c r="E7" i="12"/>
  <c r="E6" i="12"/>
  <c r="E5" i="12"/>
  <c r="E4" i="12"/>
  <c r="E3" i="12"/>
  <c r="O10485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<sst xmlns="http://schemas.openxmlformats.org/spreadsheetml/2006/main" count="24842" uniqueCount="8409">
  <si>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</si>
  <si>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</si>
  <si>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</si>
  <si>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</si>
  <si>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</si>
  <si>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</si>
  <si>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</si>
  <si>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</si>
  <si>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</si>
  <si>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</si>
  <si>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</si>
  <si>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</si>
  <si>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</si>
  <si>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</si>
  <si>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</si>
  <si>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</si>
  <si>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</si>
  <si>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</si>
  <si>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</si>
  <si>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</si>
  <si>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</si>
  <si>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</si>
  <si>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</si>
  <si>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</si>
  <si>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</si>
  <si>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</si>
  <si>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</si>
  <si>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</si>
  <si>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</si>
  <si>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</si>
  <si>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</si>
  <si>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</si>
  <si>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</si>
  <si>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</si>
  <si>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</si>
  <si>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</si>
  <si>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</si>
  <si>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</si>
  <si>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</si>
  <si>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</si>
  <si>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</si>
  <si>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</si>
  <si>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</si>
  <si>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</si>
  <si>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</si>
  <si>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</si>
  <si>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</si>
  <si>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</si>
  <si>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</si>
  <si>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</si>
  <si>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</si>
  <si>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</si>
  <si>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</si>
  <si>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</si>
  <si>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</si>
  <si>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</si>
  <si>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</si>
  <si>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</si>
  <si>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</si>
  <si>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</si>
  <si>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</si>
  <si>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</si>
  <si>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</si>
  <si>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</si>
  <si>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</si>
  <si>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</si>
  <si>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</si>
  <si>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</si>
  <si>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</si>
  <si>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</si>
  <si>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</si>
  <si>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</si>
  <si>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</si>
  <si>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</si>
  <si>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</si>
  <si>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</si>
  <si>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</si>
  <si>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</si>
  <si>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</si>
  <si>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</si>
  <si>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</si>
  <si>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</si>
  <si>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</si>
  <si>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</si>
  <si>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</si>
  <si>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</si>
  <si>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</si>
  <si>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</si>
  <si>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</si>
  <si>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</si>
  <si>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</si>
  <si>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</si>
  <si>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</si>
  <si>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</si>
  <si>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</si>
  <si>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</si>
  <si>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</si>
  <si>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</si>
  <si>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</si>
  <si>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</si>
  <si>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</si>
  <si>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</si>
  <si>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</si>
  <si>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</si>
  <si>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</si>
  <si>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</si>
  <si>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</si>
  <si>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</si>
  <si>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</si>
  <si>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</si>
  <si>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</si>
  <si>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</si>
  <si>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</si>
  <si>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</si>
  <si>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</si>
  <si>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</si>
  <si>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</si>
  <si>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</si>
  <si>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</si>
  <si>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</si>
  <si>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</si>
  <si>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</si>
  <si>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</si>
  <si>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</si>
  <si>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</si>
  <si>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</si>
  <si>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</si>
  <si>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</si>
  <si>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</si>
  <si>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</si>
  <si>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</si>
  <si>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</si>
  <si>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</si>
  <si>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</si>
  <si>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</si>
  <si>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</si>
  <si>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</si>
  <si>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</si>
  <si>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</si>
  <si>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</si>
  <si>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</si>
  <si>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</si>
  <si>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</si>
  <si>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</si>
  <si>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</si>
  <si>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</si>
  <si>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</si>
  <si>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</si>
  <si>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</si>
  <si>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</si>
  <si>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</si>
  <si>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</si>
  <si>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</si>
  <si>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</si>
  <si>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</si>
  <si>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</si>
  <si>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</si>
  <si>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</si>
  <si>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</si>
  <si>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</si>
  <si>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</si>
  <si>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</si>
  <si>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</si>
  <si>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</si>
  <si>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</si>
  <si>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</si>
  <si>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</si>
  <si>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</si>
  <si>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</si>
  <si>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</si>
  <si>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</si>
  <si>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</si>
  <si>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</si>
  <si>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</si>
  <si>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</si>
  <si>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</si>
  <si>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</si>
  <si>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</si>
  <si>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</si>
  <si>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</si>
  <si>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</si>
  <si>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</si>
  <si>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</si>
  <si>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</si>
  <si>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</si>
  <si>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</si>
  <si>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</si>
  <si>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</si>
  <si>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</si>
  <si>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</si>
  <si>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</si>
  <si>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</si>
  <si>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</si>
  <si>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</si>
  <si>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</si>
  <si>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</si>
  <si>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</si>
  <si>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</si>
  <si>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</si>
  <si>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</si>
  <si>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</si>
  <si>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</si>
  <si>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</si>
  <si>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</si>
  <si>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</si>
  <si>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</si>
  <si>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</si>
  <si>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</si>
  <si>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</si>
  <si>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</si>
  <si>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</si>
  <si>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</si>
  <si>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</si>
  <si>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</si>
  <si>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</si>
  <si>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</si>
  <si>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</si>
  <si>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</si>
  <si>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</si>
  <si>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</si>
  <si>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</si>
  <si>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</si>
  <si>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</si>
  <si>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</si>
  <si>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</si>
  <si>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</si>
  <si>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</si>
  <si>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</si>
  <si>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</si>
  <si>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</si>
  <si>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</si>
  <si>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</si>
  <si>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</si>
  <si>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</si>
  <si>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</si>
  <si>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</si>
  <si>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</si>
  <si>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</si>
  <si>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</si>
  <si>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</si>
  <si>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</si>
  <si>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</si>
  <si>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</si>
  <si>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</si>
  <si>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</si>
  <si>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</si>
  <si>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</si>
  <si>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</si>
  <si>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</si>
  <si>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</si>
  <si>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</si>
  <si>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</si>
  <si>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</si>
  <si>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</si>
  <si>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</si>
  <si>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</si>
  <si>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</si>
  <si>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</si>
  <si>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</si>
  <si>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</si>
  <si>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</si>
  <si>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</si>
  <si>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</si>
  <si>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</si>
  <si>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</si>
  <si>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</si>
  <si>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</si>
  <si>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</si>
  <si>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</si>
  <si>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</si>
  <si>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</si>
  <si>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</si>
  <si>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</si>
  <si>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</si>
  <si>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</si>
  <si>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</si>
  <si>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</si>
  <si>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</si>
  <si>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</si>
  <si>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</si>
  <si>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</si>
  <si>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</si>
  <si>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</si>
  <si>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</si>
  <si>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</si>
  <si>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</si>
  <si>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</si>
  <si>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</si>
  <si>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</si>
  <si>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</si>
  <si>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</si>
  <si>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</si>
  <si>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</si>
  <si>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</si>
  <si>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</si>
  <si>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</si>
  <si>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</si>
  <si>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</si>
  <si>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</si>
  <si>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</si>
  <si>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</si>
  <si>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</si>
  <si>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</si>
  <si>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</si>
  <si>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</si>
  <si>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</si>
  <si>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</si>
  <si>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</si>
  <si>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</si>
  <si>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</si>
  <si>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</si>
  <si>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</si>
  <si>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</si>
  <si>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</si>
  <si>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</si>
  <si>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</si>
  <si>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</si>
  <si>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</si>
  <si>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</si>
  <si>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</si>
  <si>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</si>
  <si>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</si>
  <si>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</si>
  <si>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</si>
  <si>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</si>
  <si>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</si>
  <si>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</si>
  <si>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</si>
  <si>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</si>
  <si>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</si>
  <si>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</si>
  <si>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</si>
  <si>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</si>
  <si>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</si>
  <si>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</si>
  <si>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</si>
  <si>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</si>
  <si>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</si>
  <si>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</si>
  <si>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</si>
  <si>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</si>
  <si>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</si>
  <si>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</si>
  <si>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</si>
  <si>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</si>
  <si>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</si>
  <si>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</si>
  <si>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</si>
  <si>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</si>
  <si>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</si>
  <si>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</si>
  <si>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</si>
  <si>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</si>
  <si>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</si>
  <si>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</si>
  <si>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</si>
  <si>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</si>
  <si>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</si>
  <si>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</si>
  <si>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</si>
  <si>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</si>
  <si>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</si>
  <si>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</si>
  <si>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</si>
  <si>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</si>
  <si>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</si>
  <si>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</si>
  <si>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</si>
  <si>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</si>
  <si>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</si>
  <si>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</si>
  <si>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</si>
  <si>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</si>
  <si>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</si>
  <si>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</si>
  <si>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</si>
  <si>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</si>
  <si>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</si>
  <si>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</si>
  <si>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</si>
  <si>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</si>
  <si>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</si>
  <si>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</si>
  <si>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</si>
  <si>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</si>
  <si>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</si>
  <si>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</si>
  <si>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</si>
  <si>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</si>
  <si>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</si>
  <si>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</si>
  <si>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</si>
  <si>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</si>
  <si>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</si>
  <si>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</si>
  <si>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</si>
  <si>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</si>
  <si>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</si>
  <si>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</si>
  <si>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</si>
  <si>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</si>
  <si>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</si>
  <si>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</si>
  <si>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</si>
  <si>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</si>
  <si>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</si>
  <si>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</si>
  <si>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</si>
  <si>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</si>
  <si>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</si>
  <si>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</si>
  <si>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</si>
  <si>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</si>
  <si>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</si>
  <si>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</si>
  <si>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</si>
  <si>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</si>
  <si>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</si>
  <si>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</si>
  <si>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</si>
  <si>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</si>
  <si>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</si>
  <si>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</si>
  <si>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</si>
  <si>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</si>
  <si>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</si>
  <si>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</si>
  <si>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</si>
  <si>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</si>
  <si>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</si>
  <si>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</si>
  <si>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</si>
  <si>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</si>
  <si>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</si>
  <si>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</si>
  <si>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</si>
  <si>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</si>
  <si>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</si>
  <si>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</si>
  <si>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</si>
  <si>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</si>
  <si>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</si>
  <si>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</si>
  <si>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</si>
  <si>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</si>
  <si>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</si>
  <si>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</si>
  <si>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</si>
  <si>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</si>
  <si>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</si>
  <si>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</si>
  <si>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</si>
  <si>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</si>
  <si>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</si>
  <si>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</si>
  <si>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</si>
  <si>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</si>
  <si>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</si>
  <si>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</si>
  <si>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</si>
  <si>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</si>
  <si>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</si>
  <si>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</si>
  <si>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</si>
  <si>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</si>
  <si>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</si>
  <si>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</si>
  <si>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</si>
  <si>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</si>
  <si>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</si>
  <si>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</si>
  <si>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</si>
  <si>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</si>
  <si>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</si>
  <si>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</si>
  <si>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</si>
  <si>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</si>
  <si>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</si>
  <si>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</si>
  <si>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</si>
  <si>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</si>
  <si>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</si>
  <si>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</si>
  <si>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</si>
  <si>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</si>
  <si>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</si>
  <si>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</si>
  <si>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</si>
  <si>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</si>
  <si>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</si>
  <si>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</si>
  <si>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</si>
  <si>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</si>
  <si>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</si>
  <si>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</si>
  <si>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</si>
  <si>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</si>
  <si>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</si>
  <si>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</si>
  <si>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</si>
  <si>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</si>
  <si>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</si>
  <si>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</si>
  <si>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</si>
  <si>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</si>
  <si>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</si>
  <si>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</si>
  <si>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</si>
  <si>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</si>
  <si>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</si>
  <si>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</si>
  <si>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</si>
  <si>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</si>
  <si>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</si>
  <si>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</si>
  <si>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</si>
  <si>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</si>
  <si>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</si>
  <si>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</si>
  <si>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</si>
  <si>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</si>
  <si>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</si>
  <si>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</si>
  <si>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</si>
  <si>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</si>
  <si>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</si>
  <si>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</si>
  <si>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</si>
  <si>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</si>
  <si>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</si>
  <si>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</si>
  <si>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</si>
  <si>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</si>
  <si>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</si>
  <si>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</si>
  <si>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</si>
  <si>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</si>
  <si>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</si>
  <si>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</si>
  <si>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</si>
  <si>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</si>
  <si>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</si>
  <si>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</si>
  <si>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</si>
  <si>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</si>
  <si>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</si>
  <si>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</si>
  <si>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</si>
  <si>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</si>
  <si>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</si>
  <si>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</si>
  <si>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</si>
  <si>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</si>
  <si>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</si>
  <si>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</si>
  <si>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</si>
  <si>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</si>
  <si>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</si>
  <si>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</si>
  <si>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</si>
  <si>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</si>
  <si>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</si>
  <si>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</si>
  <si>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</si>
  <si>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</si>
  <si>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</si>
  <si>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</si>
  <si>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</si>
  <si>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</si>
  <si>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</si>
  <si>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</si>
  <si>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</si>
  <si>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</si>
  <si>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</si>
  <si>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</si>
  <si>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</si>
  <si>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</si>
  <si>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</si>
  <si>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</si>
  <si>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</si>
  <si>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</si>
  <si>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</si>
  <si>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</si>
  <si>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</si>
  <si>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</si>
  <si>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</si>
  <si>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</si>
  <si>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</si>
  <si>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</si>
  <si>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</si>
  <si>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</si>
  <si>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</si>
  <si>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</si>
  <si>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</si>
  <si>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</si>
  <si>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</si>
  <si>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</si>
  <si>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</si>
  <si>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</si>
  <si>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</si>
  <si>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</si>
  <si>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</si>
  <si>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</si>
  <si>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</si>
  <si>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</si>
  <si>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</si>
  <si>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</si>
  <si>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</si>
  <si>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</si>
  <si>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</si>
  <si>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</si>
  <si>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</si>
  <si>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</si>
  <si>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</si>
  <si>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</si>
  <si>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</si>
  <si>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</si>
  <si>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</si>
  <si>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</si>
  <si>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</si>
  <si>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</si>
  <si>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</si>
  <si>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</si>
  <si>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</si>
  <si>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</si>
  <si>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</si>
  <si>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</si>
  <si>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</si>
  <si>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</si>
  <si>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</si>
  <si>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</si>
  <si>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</si>
  <si>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</si>
  <si>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</si>
  <si>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</si>
  <si>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</si>
  <si>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</si>
  <si>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</si>
  <si>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</si>
  <si>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</si>
  <si>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</si>
  <si>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</si>
  <si>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</si>
  <si>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</si>
  <si>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</si>
  <si>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</si>
  <si>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</si>
  <si>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</si>
  <si>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</si>
  <si>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</si>
  <si>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</si>
  <si>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</si>
  <si>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</si>
  <si>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</si>
  <si>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</si>
  <si>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</si>
  <si>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</si>
  <si>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</si>
  <si>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</si>
  <si>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</si>
  <si>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</si>
  <si>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</si>
  <si>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</si>
  <si>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</si>
  <si>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</si>
  <si>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</si>
  <si>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</si>
  <si>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</si>
  <si>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</si>
  <si>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</si>
  <si>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</si>
  <si>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</si>
  <si>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</si>
  <si>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</si>
  <si>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</si>
  <si>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</si>
  <si>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</si>
  <si>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</si>
  <si>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</si>
  <si>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</si>
  <si>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</si>
  <si>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</si>
  <si>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</si>
  <si>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</si>
  <si>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</si>
  <si>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</si>
  <si>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</si>
  <si>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</si>
  <si>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</si>
  <si>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</si>
  <si>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</si>
  <si>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</si>
  <si>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</si>
  <si>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</si>
  <si>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</si>
  <si>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</si>
  <si>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</si>
  <si>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</si>
  <si>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</si>
  <si>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</si>
  <si>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</si>
  <si>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</si>
  <si>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</si>
  <si>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</si>
  <si>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</si>
  <si>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</si>
  <si>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</si>
  <si>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</si>
  <si>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</si>
  <si>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</si>
  <si>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</si>
  <si>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</si>
  <si>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</si>
  <si>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</si>
  <si>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</si>
  <si>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</si>
  <si>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</si>
  <si>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</si>
  <si>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</si>
  <si>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</si>
  <si>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</si>
  <si>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</si>
  <si>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</si>
  <si>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</si>
  <si>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</si>
  <si>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</si>
  <si>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</si>
  <si>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</si>
  <si>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</si>
  <si>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</si>
  <si>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</si>
  <si>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</si>
  <si>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</si>
  <si>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</si>
  <si>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</si>
  <si>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</si>
  <si>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</si>
  <si>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</si>
  <si>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</si>
  <si>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</si>
  <si>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</si>
  <si>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</si>
  <si>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</si>
  <si>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</si>
  <si>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</si>
  <si>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</si>
  <si>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</si>
  <si>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</si>
  <si>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</si>
  <si>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</si>
  <si>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</si>
  <si>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</si>
  <si>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</si>
  <si>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</si>
  <si>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</si>
  <si>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</si>
  <si>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</si>
  <si>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</si>
  <si>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</si>
  <si>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</si>
  <si>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</si>
  <si>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</si>
  <si>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</si>
  <si>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</si>
  <si>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</si>
  <si>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</si>
  <si>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</si>
  <si>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</si>
  <si>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</si>
  <si>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</si>
  <si>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</si>
  <si>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</si>
  <si>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</si>
  <si>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</si>
  <si>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</si>
  <si>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</si>
  <si>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</si>
  <si>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</si>
  <si>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</si>
  <si>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</si>
  <si>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</si>
  <si>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</si>
  <si>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</si>
  <si>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</si>
  <si>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</si>
  <si>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</si>
  <si>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</si>
  <si>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</si>
  <si>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</si>
  <si>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</si>
  <si>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</si>
  <si>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</si>
  <si>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</si>
  <si>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</si>
  <si>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</si>
  <si>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</si>
  <si>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</si>
  <si>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</si>
  <si>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</si>
  <si>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</si>
  <si>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</si>
  <si>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</si>
  <si>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</si>
  <si>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</si>
  <si>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</si>
  <si>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</si>
  <si>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</si>
  <si>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</si>
  <si>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</si>
  <si>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</si>
  <si>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</si>
  <si>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</si>
  <si>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</si>
  <si>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</si>
  <si>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</si>
  <si>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</si>
  <si>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</si>
  <si>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</si>
  <si>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</si>
  <si>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</si>
  <si>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</si>
  <si>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</si>
  <si>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</si>
  <si>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</si>
  <si>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</si>
  <si>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</si>
  <si>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</si>
  <si>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</si>
  <si>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</si>
  <si>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</si>
  <si>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</si>
  <si>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</si>
  <si>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</si>
  <si>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</si>
  <si>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</si>
  <si>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</si>
  <si>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</si>
  <si>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</si>
  <si>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</si>
  <si>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</si>
  <si>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</si>
  <si>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</si>
  <si>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</si>
  <si>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</si>
  <si>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</si>
  <si>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</si>
  <si>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</si>
  <si>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</si>
  <si>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</si>
  <si>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</si>
  <si>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</si>
  <si>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</si>
  <si>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</si>
  <si>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</si>
  <si>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</si>
  <si>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</si>
  <si>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</si>
  <si>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</si>
  <si>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</si>
  <si>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</si>
  <si>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</si>
  <si>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</si>
  <si>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</si>
  <si>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</si>
  <si>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</si>
  <si>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</si>
  <si>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</si>
  <si>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</si>
  <si>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</si>
  <si>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</si>
  <si>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</si>
  <si>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</si>
  <si>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</si>
  <si>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</si>
  <si>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</si>
  <si>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</si>
  <si>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</si>
  <si>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</si>
  <si>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</si>
  <si>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</si>
  <si>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</si>
  <si>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</si>
  <si>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</si>
  <si>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</si>
  <si>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</si>
  <si>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</si>
  <si>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</si>
  <si>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</si>
  <si>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</si>
  <si>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</si>
  <si>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</si>
  <si>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</si>
  <si>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</si>
  <si>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</si>
  <si>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</si>
  <si>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</si>
  <si>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</si>
  <si>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</si>
  <si>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</si>
  <si>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</si>
  <si>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</si>
  <si>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</si>
  <si>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</si>
  <si>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</si>
  <si>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</si>
  <si>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</si>
  <si>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</si>
  <si>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</si>
  <si>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</si>
  <si>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</si>
  <si>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</si>
  <si>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</si>
  <si>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</si>
  <si>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</si>
  <si>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</si>
  <si>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</si>
  <si>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</si>
  <si>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</si>
  <si>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</si>
  <si>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</si>
  <si>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</si>
  <si>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</si>
  <si>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</si>
  <si>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</si>
  <si>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</si>
  <si>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</si>
  <si>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</si>
  <si>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</si>
  <si>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</si>
  <si>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</si>
  <si>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</si>
  <si>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</si>
  <si>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</si>
  <si>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</si>
  <si>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</si>
  <si>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</si>
  <si>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</si>
  <si>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</si>
  <si>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</si>
  <si>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</si>
  <si>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</si>
  <si>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</si>
  <si>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</si>
  <si>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</si>
  <si>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</si>
  <si>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</si>
  <si>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</si>
  <si>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</si>
  <si>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</si>
  <si>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</si>
  <si>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</si>
  <si>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</si>
  <si>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</si>
  <si>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</si>
  <si>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</si>
  <si>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</si>
  <si>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</si>
  <si>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</si>
  <si>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</si>
  <si>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</si>
  <si>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</si>
  <si>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</si>
  <si>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</si>
  <si>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</si>
  <si>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</si>
  <si>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</si>
  <si>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</si>
  <si>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</si>
  <si>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</si>
  <si>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</si>
  <si>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</si>
  <si>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</si>
  <si>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</si>
  <si>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</si>
  <si>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</si>
  <si>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</si>
  <si>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</si>
  <si>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</si>
  <si>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</si>
  <si>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</si>
  <si>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</si>
  <si>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</si>
  <si>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</si>
  <si>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</si>
  <si>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</si>
  <si>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</si>
  <si>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</si>
  <si>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</si>
  <si>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</si>
  <si>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</si>
  <si>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</si>
  <si>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</si>
  <si>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</si>
  <si>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</si>
  <si>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</si>
  <si>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</si>
  <si>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</si>
  <si>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</si>
  <si>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</si>
  <si>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</si>
  <si>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</si>
  <si>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</si>
  <si>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</si>
  <si>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</si>
  <si>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</si>
  <si>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</si>
  <si>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</si>
  <si>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</si>
  <si>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</si>
  <si>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</si>
  <si>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</si>
  <si>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</si>
  <si>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</si>
  <si>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</si>
  <si>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</si>
  <si>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</si>
  <si>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</si>
  <si>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</si>
  <si>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</si>
  <si>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</si>
  <si>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</si>
  <si>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</si>
  <si>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</si>
  <si>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</si>
  <si>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</si>
  <si>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</si>
  <si>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</si>
  <si>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</si>
  <si>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</si>
  <si>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</si>
  <si>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</si>
  <si>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</si>
  <si>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</si>
  <si>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</si>
  <si>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</si>
  <si>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</si>
  <si>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</si>
  <si>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</si>
  <si>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</si>
  <si>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</si>
  <si>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</si>
  <si>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</si>
  <si>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</si>
  <si>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</si>
  <si>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</si>
  <si>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</si>
  <si>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</si>
  <si>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</si>
  <si>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</si>
  <si>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</si>
  <si>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</si>
  <si>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</si>
  <si>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</si>
  <si>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</si>
  <si>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</si>
  <si>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</si>
  <si>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</si>
  <si>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</si>
  <si>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</si>
  <si>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</si>
  <si>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</si>
  <si>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</si>
  <si>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</si>
  <si>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</si>
  <si>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</si>
  <si>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</si>
  <si>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</si>
  <si>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</si>
  <si>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</si>
  <si>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</si>
  <si>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</si>
  <si>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</si>
  <si>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</si>
  <si>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</si>
  <si>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</si>
  <si>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</si>
  <si>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</si>
  <si>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</si>
  <si>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</si>
  <si>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</si>
  <si>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</si>
  <si>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</si>
  <si>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</si>
  <si>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</si>
  <si>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</si>
  <si>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</si>
  <si>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</si>
  <si>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</si>
  <si>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</si>
  <si>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</si>
  <si>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</si>
  <si>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</si>
  <si>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</si>
  <si>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</si>
  <si>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</si>
  <si>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</si>
  <si>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</si>
  <si>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</si>
  <si>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</si>
  <si>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</si>
  <si>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</si>
  <si>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</si>
  <si>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</si>
  <si>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</si>
  <si>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</si>
  <si>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</si>
  <si>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</si>
  <si>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</si>
  <si>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</si>
  <si>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</si>
  <si>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</si>
  <si>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</si>
  <si>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</si>
  <si>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</si>
  <si>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</si>
  <si>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</si>
  <si>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</si>
  <si>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</si>
  <si>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</si>
  <si>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</si>
  <si>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</si>
  <si>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</si>
  <si>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</si>
  <si>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</si>
  <si>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</si>
  <si>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</si>
  <si>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</si>
  <si>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</si>
  <si>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</si>
  <si>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</si>
  <si>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</si>
  <si>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</si>
  <si>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</si>
  <si>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</si>
  <si>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</si>
  <si>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</si>
  <si>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</si>
  <si>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</si>
  <si>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</si>
  <si>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</si>
  <si>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</si>
  <si>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</si>
  <si>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</si>
  <si>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</si>
  <si>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</si>
  <si>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</si>
  <si>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</si>
  <si>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</si>
  <si>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</si>
  <si>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</si>
  <si>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</si>
  <si>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</si>
  <si>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</si>
  <si>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</si>
  <si>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</si>
  <si>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</si>
  <si>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</si>
  <si>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</si>
  <si>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</si>
  <si>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</si>
  <si>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</si>
  <si>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</si>
  <si>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</si>
  <si>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</si>
  <si>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</si>
  <si>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</si>
  <si>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</si>
  <si>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</si>
  <si>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</si>
  <si>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</si>
  <si>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</si>
  <si>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</si>
  <si>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</si>
  <si>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</si>
  <si>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</si>
  <si>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</si>
  <si>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</si>
  <si>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</si>
  <si>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</si>
  <si>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</si>
  <si>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</si>
  <si>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</si>
  <si>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</si>
  <si>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</si>
  <si>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</si>
  <si>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</si>
  <si>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</si>
  <si>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</si>
  <si>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</si>
  <si>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</si>
  <si>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</si>
  <si>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</si>
  <si>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</si>
  <si>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</si>
  <si>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</si>
  <si>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</si>
  <si>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</si>
  <si>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</si>
  <si>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</si>
  <si>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</si>
  <si>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</si>
  <si>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</si>
  <si>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</si>
  <si>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</si>
  <si>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</si>
  <si>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</si>
  <si>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</si>
  <si>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</si>
  <si>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</si>
  <si>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</si>
  <si>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</si>
  <si>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</si>
  <si>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</si>
  <si>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</si>
  <si>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</si>
  <si>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</si>
  <si>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</si>
  <si>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</si>
  <si>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</si>
  <si>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</si>
  <si>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</si>
  <si>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</si>
  <si>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</si>
  <si>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</si>
  <si>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</si>
  <si>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</si>
  <si>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</si>
  <si>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</si>
  <si>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</si>
  <si>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</si>
  <si>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</si>
  <si>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</si>
  <si>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</si>
  <si>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</si>
  <si>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</si>
  <si>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</si>
  <si>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</si>
  <si>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</si>
  <si>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</si>
  <si>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</si>
  <si>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</si>
  <si>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</si>
  <si>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</si>
  <si>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</si>
  <si>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</si>
  <si>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</si>
  <si>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</si>
  <si>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</si>
  <si>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</si>
  <si>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</si>
  <si>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</si>
  <si>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</si>
  <si>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</si>
  <si>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</si>
  <si>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</si>
  <si>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</si>
  <si>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</si>
  <si>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</si>
  <si>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</si>
  <si>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</si>
  <si>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</si>
  <si>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</si>
  <si>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</si>
  <si>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</si>
  <si>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</si>
  <si>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</si>
  <si>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</si>
  <si>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</si>
  <si>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</si>
  <si>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</si>
  <si>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</si>
  <si>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</si>
  <si>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</si>
  <si>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</si>
  <si>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</si>
  <si>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</si>
  <si>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</si>
  <si>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</si>
  <si>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</si>
  <si>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</si>
  <si>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</si>
  <si>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</si>
  <si>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</si>
  <si>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</si>
  <si>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</si>
  <si>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</si>
  <si>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</si>
  <si>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</si>
  <si>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</si>
  <si>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</si>
  <si>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</si>
  <si>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</si>
  <si>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</si>
  <si>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</si>
  <si>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</si>
  <si>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</si>
  <si>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</si>
  <si>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</si>
  <si>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</si>
  <si>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</si>
  <si>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</si>
  <si>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</si>
  <si>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</si>
  <si>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</si>
  <si>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</si>
  <si>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</si>
  <si>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</si>
  <si>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</si>
  <si>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</si>
  <si>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</si>
  <si>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</si>
  <si>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</si>
  <si>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</si>
  <si>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</si>
  <si>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</si>
  <si>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</si>
  <si>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</si>
  <si>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</si>
  <si>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</si>
  <si>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</si>
  <si>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</si>
  <si>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</si>
  <si>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</si>
  <si>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</si>
  <si>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</si>
  <si>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</si>
  <si>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</si>
  <si>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</si>
  <si>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</si>
  <si>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</si>
  <si>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</si>
  <si>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</si>
  <si>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</si>
  <si>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</si>
  <si>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</si>
  <si>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</si>
  <si>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</si>
  <si>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</si>
  <si>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</si>
  <si>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</si>
  <si>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</si>
  <si>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</si>
  <si>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</si>
  <si>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</si>
  <si>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</si>
  <si>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</si>
  <si>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</si>
  <si>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</si>
  <si>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</si>
  <si>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</si>
  <si>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</si>
  <si>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</si>
  <si>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</si>
  <si>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</si>
  <si>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</si>
  <si>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</si>
  <si>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</si>
  <si>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</si>
  <si>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</si>
  <si>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</si>
  <si>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</si>
  <si>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</si>
  <si>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</si>
  <si>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</si>
  <si>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</si>
  <si>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</si>
  <si>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</si>
  <si>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</si>
  <si>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</si>
  <si>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</si>
  <si>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</si>
  <si>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</si>
  <si>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</si>
  <si>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</si>
  <si>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</si>
  <si>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</si>
  <si>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</si>
  <si>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</si>
  <si>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</si>
  <si>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</si>
  <si>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</si>
  <si>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</si>
  <si>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</si>
  <si>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</si>
  <si>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</si>
  <si>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</si>
  <si>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</si>
  <si>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</si>
  <si>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</si>
  <si>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</si>
  <si>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</si>
  <si>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</si>
  <si>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</si>
  <si>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</si>
  <si>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</si>
  <si>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</si>
  <si>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</si>
  <si>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</si>
  <si>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</si>
  <si>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</si>
  <si>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</si>
  <si>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</si>
  <si>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</si>
  <si>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</si>
  <si>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</si>
  <si>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</si>
  <si>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</si>
  <si>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</si>
  <si>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</si>
  <si>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</si>
  <si>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</si>
  <si>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</si>
  <si>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</si>
  <si>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</si>
  <si>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</si>
  <si>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</si>
  <si>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</si>
  <si>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</si>
  <si>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</si>
  <si>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</si>
  <si>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</si>
  <si>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</si>
  <si>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</si>
  <si>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</si>
  <si>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</si>
  <si>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</si>
  <si>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</si>
  <si>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</si>
  <si>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</si>
  <si>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</si>
  <si>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</si>
  <si>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</si>
  <si>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</si>
  <si>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</si>
  <si>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</si>
  <si>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</si>
  <si>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</si>
  <si>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</si>
  <si>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</si>
  <si>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</si>
  <si>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</si>
  <si>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</si>
  <si>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</si>
  <si>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</si>
  <si>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</si>
  <si>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</si>
  <si>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</si>
  <si>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</si>
  <si>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</si>
  <si>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</si>
  <si>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</si>
  <si>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</si>
  <si>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</si>
  <si>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</si>
  <si>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</si>
  <si>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</si>
  <si>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</si>
  <si>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</si>
  <si>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</si>
  <si>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</si>
  <si>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</si>
  <si>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</si>
  <si>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</si>
  <si>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</si>
  <si>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</si>
  <si>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</si>
  <si>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</si>
  <si>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</si>
  <si>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</si>
  <si>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</si>
  <si>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</si>
  <si>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</si>
  <si>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</si>
  <si>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</si>
  <si>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</si>
  <si>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</si>
  <si>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</si>
  <si>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</si>
  <si>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</si>
  <si>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</si>
  <si>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</si>
  <si>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</si>
  <si>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</si>
  <si>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</si>
  <si>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</si>
  <si>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</si>
  <si>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</si>
  <si>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</si>
  <si>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</si>
  <si>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</si>
  <si>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</si>
  <si>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</si>
  <si>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</si>
  <si>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</si>
  <si>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</si>
  <si>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</si>
  <si>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</si>
  <si>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</si>
  <si>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</si>
  <si>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</si>
  <si>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</si>
  <si>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</si>
  <si>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</si>
  <si>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</si>
  <si>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</si>
  <si>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</si>
  <si>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</si>
  <si>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</si>
  <si>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</si>
  <si>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</si>
  <si>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</si>
  <si>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</si>
  <si>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</si>
  <si>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</si>
  <si>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</si>
  <si>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</si>
  <si>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</si>
  <si>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</si>
  <si>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</si>
  <si>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</si>
  <si>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</si>
  <si>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</si>
  <si>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</si>
  <si>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</si>
  <si>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</si>
  <si>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</si>
  <si>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</si>
  <si>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</si>
  <si>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</si>
  <si>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</si>
  <si>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</si>
  <si>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</si>
  <si>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</si>
  <si>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</si>
  <si>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</si>
  <si>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</si>
  <si>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</si>
  <si>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</si>
  <si>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</si>
  <si>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</si>
  <si>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</si>
  <si>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</si>
  <si>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</si>
  <si>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</si>
  <si>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</si>
  <si>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</si>
  <si>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</si>
  <si>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</si>
  <si>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</si>
  <si>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</si>
  <si>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</si>
  <si>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</si>
  <si>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</si>
  <si>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</si>
  <si>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</si>
  <si>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</si>
  <si>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</si>
  <si>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</si>
  <si>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</si>
  <si>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</si>
  <si>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</si>
  <si>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</si>
  <si>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</si>
  <si>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</si>
  <si>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</si>
  <si>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</si>
  <si>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</si>
  <si>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</si>
  <si>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</si>
  <si>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</si>
  <si>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</si>
  <si>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</si>
  <si>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</si>
  <si>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</si>
  <si>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</si>
  <si>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</si>
  <si>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</si>
  <si>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</si>
  <si>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</si>
  <si>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</si>
  <si>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</si>
  <si>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</si>
  <si>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</si>
  <si>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</si>
  <si>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</si>
  <si>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</si>
  <si>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</si>
  <si>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</si>
  <si>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</si>
  <si>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</si>
  <si>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</si>
  <si>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</si>
  <si>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</si>
  <si>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</si>
  <si>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</si>
  <si>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</si>
  <si>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</si>
  <si>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</si>
  <si>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</si>
  <si>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</si>
  <si>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</si>
  <si>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</si>
  <si>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</si>
  <si>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</si>
  <si>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</si>
  <si>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</si>
  <si>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</si>
  <si>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</si>
  <si>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</si>
  <si>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</si>
  <si>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</si>
  <si>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</si>
  <si>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</si>
  <si>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</si>
  <si>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</si>
  <si>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</si>
  <si>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</si>
  <si>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</si>
  <si>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</si>
  <si>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</si>
  <si>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</si>
  <si>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</si>
  <si>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</si>
  <si>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</si>
  <si>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</si>
  <si>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</si>
  <si>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</si>
  <si>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</si>
  <si>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</si>
  <si>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</si>
  <si>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</si>
  <si>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</si>
  <si>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</si>
  <si>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</si>
  <si>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</si>
  <si>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</si>
  <si>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</si>
  <si>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</si>
  <si>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</si>
  <si>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</si>
  <si>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</si>
  <si>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</si>
  <si>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</si>
  <si>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</si>
  <si>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</si>
  <si>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</si>
  <si>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</si>
  <si>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</si>
  <si>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</si>
  <si>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</si>
  <si>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</si>
  <si>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</si>
  <si>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</si>
  <si>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</si>
  <si>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</si>
  <si>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</si>
  <si>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</si>
  <si>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</si>
  <si>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</si>
  <si>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</si>
  <si>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</si>
  <si>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</si>
  <si>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</si>
  <si>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</si>
  <si>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</si>
  <si>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</si>
  <si>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</si>
  <si>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</si>
  <si>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</si>
  <si>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</si>
  <si>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</si>
  <si>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</si>
  <si>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</si>
  <si>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</si>
  <si>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</si>
  <si>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</si>
  <si>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</si>
  <si>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</si>
  <si>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</si>
  <si>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</si>
  <si>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</si>
  <si>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</si>
  <si>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</si>
  <si>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</si>
  <si>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</si>
  <si>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</si>
  <si>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</si>
  <si>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</si>
  <si>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</si>
  <si>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</si>
  <si>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</si>
  <si>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</si>
  <si>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</si>
  <si>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</si>
  <si>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</si>
  <si>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</si>
  <si>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</si>
  <si>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</si>
  <si>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</si>
  <si>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</si>
  <si>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</si>
  <si>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</si>
  <si>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</si>
  <si>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</si>
  <si>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</si>
  <si>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</si>
  <si>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</si>
  <si>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</si>
  <si>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</si>
  <si>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</si>
  <si>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</si>
  <si>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</si>
  <si>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</si>
  <si>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</si>
  <si>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</si>
  <si>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</si>
  <si>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</si>
  <si>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</si>
  <si>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</si>
  <si>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</si>
  <si>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</si>
  <si>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</si>
  <si>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</si>
  <si>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</si>
  <si>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</si>
  <si>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</si>
  <si>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</si>
  <si>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</si>
  <si>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</si>
  <si>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</si>
  <si>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</si>
  <si>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</si>
  <si>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</si>
  <si>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</si>
  <si>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</si>
  <si>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</si>
  <si>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</si>
  <si>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</si>
  <si>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</si>
  <si>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</si>
  <si>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</si>
  <si>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</si>
  <si>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</si>
  <si>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</si>
  <si>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</si>
  <si>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</si>
  <si>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</si>
  <si>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</si>
  <si>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</si>
  <si>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</si>
  <si>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</si>
  <si>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</si>
  <si>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</si>
  <si>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</si>
  <si>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</si>
  <si>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</si>
  <si>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</si>
  <si>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</si>
  <si>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</si>
  <si>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</si>
  <si>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</si>
  <si>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</si>
  <si>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</si>
  <si>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</si>
  <si>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</si>
  <si>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</si>
  <si>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</si>
  <si>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</si>
  <si>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</si>
  <si>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</si>
  <si>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</si>
  <si>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</si>
  <si>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</si>
  <si>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</si>
  <si>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</si>
  <si>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</si>
  <si>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</si>
  <si>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</si>
  <si>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</si>
  <si>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</si>
  <si>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</si>
  <si>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</si>
  <si>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</si>
  <si>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</si>
  <si>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</si>
  <si>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</si>
  <si>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</si>
  <si>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</si>
  <si>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</si>
  <si>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</si>
  <si>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</si>
  <si>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</si>
  <si>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</si>
  <si>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</si>
  <si>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</si>
  <si>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</si>
  <si>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</si>
  <si>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</si>
  <si>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</si>
  <si>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</si>
  <si>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</si>
  <si>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</si>
  <si>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</si>
  <si>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</si>
  <si>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</si>
  <si>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</si>
  <si>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</si>
  <si>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</si>
  <si>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</si>
  <si>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</si>
  <si>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</si>
  <si>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</si>
  <si>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</si>
  <si>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</si>
  <si>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</si>
  <si>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</si>
  <si>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</si>
  <si>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</si>
  <si>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</si>
  <si>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</si>
  <si>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</si>
  <si>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</si>
  <si>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</si>
  <si>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</si>
  <si>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</si>
  <si>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</si>
  <si>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</si>
  <si>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</si>
  <si>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</si>
  <si>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</si>
  <si>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</si>
  <si>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</si>
  <si>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</si>
  <si>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</si>
  <si>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</si>
  <si>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</si>
  <si>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</si>
  <si>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</si>
  <si>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</si>
  <si>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</si>
  <si>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</si>
  <si>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</si>
  <si>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</si>
  <si>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</si>
  <si>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</si>
  <si>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</si>
  <si>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</si>
  <si>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</si>
  <si>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</si>
  <si>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</si>
  <si>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</si>
  <si>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</si>
  <si>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</si>
  <si>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</si>
  <si>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</si>
  <si>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</si>
  <si>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</si>
  <si>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</si>
  <si>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</si>
  <si>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</si>
  <si>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</si>
  <si>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</si>
  <si>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</si>
  <si>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</si>
  <si>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</si>
  <si>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</si>
  <si>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</si>
  <si>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</si>
  <si>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</si>
  <si>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</si>
  <si>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</si>
  <si>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</si>
  <si>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</si>
  <si>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</si>
  <si>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</si>
  <si>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</si>
  <si>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</si>
  <si>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</si>
  <si>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</si>
  <si>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</si>
  <si>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</si>
  <si>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</si>
  <si>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</si>
  <si>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</si>
  <si>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</si>
  <si>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</si>
  <si>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</si>
  <si>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</si>
  <si>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</si>
  <si>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</si>
  <si>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</si>
  <si>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</si>
  <si>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</si>
  <si>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</si>
  <si>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</si>
  <si>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</si>
  <si>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</si>
  <si>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</si>
  <si>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</si>
  <si>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</si>
  <si>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</si>
  <si>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</si>
  <si>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</si>
  <si>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</si>
  <si>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</si>
  <si>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</si>
  <si>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</si>
  <si>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</si>
  <si>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</si>
  <si>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</si>
  <si>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</si>
  <si>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</si>
  <si>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</si>
  <si>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</si>
  <si>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</si>
  <si>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</si>
  <si>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</si>
  <si>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</si>
  <si>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</si>
  <si>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</si>
  <si>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</si>
  <si>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</si>
  <si>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</si>
  <si>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</si>
  <si>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</si>
  <si>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</si>
  <si>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</si>
  <si>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</si>
  <si>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</si>
  <si>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</si>
  <si>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</si>
  <si>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</si>
  <si>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</si>
  <si>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</si>
  <si>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</si>
  <si>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</si>
  <si>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</si>
  <si>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</si>
  <si>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</si>
  <si>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</si>
  <si>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</si>
  <si>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</si>
  <si>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</si>
  <si>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</si>
  <si>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</si>
  <si>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</si>
  <si>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</si>
  <si>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</si>
  <si>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</si>
  <si>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</si>
  <si>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</si>
  <si>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</si>
  <si>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</si>
  <si>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</si>
  <si>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</si>
  <si>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</si>
  <si>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</si>
  <si>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</si>
  <si>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</si>
  <si>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</si>
  <si>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</si>
  <si>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</si>
  <si>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</si>
  <si>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</si>
  <si>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</si>
  <si>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</si>
  <si>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</si>
  <si>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</si>
  <si>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</si>
  <si>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</si>
  <si>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</si>
  <si>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</si>
  <si>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</si>
  <si>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</si>
  <si>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</si>
  <si>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</si>
  <si>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</si>
  <si>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</si>
  <si>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</si>
  <si>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</si>
  <si>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</si>
  <si>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</si>
  <si>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</si>
  <si>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</si>
  <si>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</si>
  <si>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</si>
  <si>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</si>
  <si>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</si>
  <si>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</si>
  <si>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</si>
  <si>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</si>
  <si>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</si>
  <si>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</si>
  <si>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</si>
  <si>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</si>
  <si>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</si>
  <si>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</si>
  <si>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</si>
  <si>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</si>
  <si>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</si>
  <si>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</si>
  <si>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</si>
  <si>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</si>
  <si>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</si>
  <si>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</si>
  <si>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</si>
  <si>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</si>
  <si>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</si>
  <si>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</si>
  <si>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</si>
  <si>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</si>
  <si>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</si>
  <si>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</si>
  <si>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</si>
  <si>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</si>
  <si>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</si>
  <si>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</si>
  <si>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</si>
  <si>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</si>
  <si>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</si>
  <si>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</si>
  <si>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</si>
  <si>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</si>
  <si>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</si>
  <si>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</si>
  <si>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</si>
  <si>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</si>
  <si>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</si>
  <si>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</si>
  <si>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</si>
  <si>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</si>
  <si>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</si>
  <si>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</si>
  <si>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</si>
  <si>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</si>
  <si>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</si>
  <si>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</si>
  <si>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</si>
  <si>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</si>
  <si>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</si>
  <si>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</si>
  <si>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</si>
  <si>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</si>
  <si>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</si>
  <si>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</si>
  <si>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</si>
  <si>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</si>
  <si>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</si>
  <si>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</si>
  <si>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</si>
  <si>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</si>
  <si>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</si>
  <si>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</si>
  <si>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</si>
  <si>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</si>
  <si>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</si>
  <si>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</si>
  <si>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</si>
  <si>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</si>
  <si>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</si>
  <si>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</si>
  <si>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</si>
  <si>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</si>
  <si>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</si>
  <si>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</si>
  <si>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</si>
  <si>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</si>
  <si>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</si>
  <si>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</si>
  <si>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</si>
  <si>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</si>
  <si>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</si>
  <si>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</si>
  <si>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</si>
  <si>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</si>
  <si>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</si>
  <si>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</si>
  <si>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</si>
  <si>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</si>
  <si>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</si>
  <si>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</si>
  <si>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</si>
  <si>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</si>
  <si>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</si>
  <si>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</si>
  <si>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</si>
  <si>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</si>
  <si>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</si>
  <si>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</si>
  <si>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</si>
  <si>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</si>
  <si>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</si>
  <si>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</si>
  <si>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</si>
  <si>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</si>
  <si>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</si>
  <si>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</si>
  <si>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</si>
  <si>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</si>
  <si>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</si>
  <si>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</si>
  <si>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</si>
  <si>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</si>
  <si>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</si>
  <si>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</si>
  <si>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</si>
  <si>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</si>
  <si>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</si>
  <si>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</si>
  <si>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</si>
  <si>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</si>
  <si>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</si>
  <si>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</si>
  <si>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</si>
  <si>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</si>
  <si>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</si>
  <si>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</si>
  <si>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</si>
  <si>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</si>
  <si>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</si>
  <si>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</si>
  <si>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</si>
  <si>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</si>
  <si>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</si>
  <si>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</si>
  <si>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</si>
  <si>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</si>
  <si>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</si>
  <si>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</si>
  <si>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</si>
  <si>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</si>
  <si>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</si>
  <si>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</si>
  <si>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</si>
  <si>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</si>
  <si>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</si>
  <si>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</si>
  <si>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</si>
  <si>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</si>
  <si>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</si>
  <si>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</si>
  <si>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</si>
  <si>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</si>
  <si>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</si>
  <si>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</si>
  <si>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</si>
  <si>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</si>
  <si>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</si>
  <si>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</si>
  <si>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</si>
  <si>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</si>
  <si>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</si>
  <si>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</si>
  <si>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</si>
  <si>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</si>
  <si>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</si>
  <si>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</si>
  <si>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</si>
  <si>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</si>
  <si>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</si>
  <si>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</si>
  <si>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</si>
  <si>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</si>
  <si>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</si>
  <si>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</si>
  <si>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</si>
  <si>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</si>
  <si>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</si>
  <si>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</si>
  <si>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</si>
  <si>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</si>
  <si>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</si>
  <si>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</si>
  <si>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</si>
  <si>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</si>
  <si>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</si>
  <si>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</si>
  <si>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</si>
  <si>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</si>
  <si>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</si>
  <si>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</si>
  <si>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</si>
  <si>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</si>
  <si>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</si>
  <si>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</si>
  <si>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</si>
  <si>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</si>
  <si>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</si>
  <si>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</si>
  <si>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</si>
  <si>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</si>
  <si>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</si>
  <si>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</si>
  <si>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</si>
  <si>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</si>
  <si>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</si>
  <si>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</si>
  <si>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</si>
  <si>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</si>
  <si>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</si>
  <si>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</si>
  <si>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</si>
  <si>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</si>
  <si>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</si>
  <si>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</si>
  <si>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</si>
  <si>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</si>
  <si>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</si>
  <si>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</si>
  <si>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</si>
  <si>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</si>
  <si>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</si>
  <si>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</si>
  <si>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</si>
  <si>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</si>
  <si>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</si>
  <si>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</si>
  <si>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</si>
  <si>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</si>
  <si>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</si>
  <si>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</si>
  <si>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</si>
  <si>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</si>
  <si>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</si>
  <si>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</si>
  <si>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</si>
  <si>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</si>
  <si>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</si>
  <si>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</si>
  <si>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</si>
  <si>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</si>
  <si>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</si>
  <si>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</si>
  <si>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</si>
  <si>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</si>
  <si>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</si>
  <si>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</si>
  <si>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</si>
  <si>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</si>
  <si>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</si>
  <si>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</si>
  <si>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</si>
  <si>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</si>
  <si>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</si>
  <si>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</si>
  <si>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</si>
  <si>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</si>
  <si>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</si>
  <si>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</si>
  <si>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</si>
  <si>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</si>
  <si>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</si>
  <si>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</si>
  <si>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</si>
  <si>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</si>
  <si>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</si>
  <si>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</si>
  <si>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</si>
  <si>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</si>
  <si>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</si>
  <si>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</si>
  <si>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</si>
  <si>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</si>
  <si>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</si>
  <si>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</si>
  <si>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</si>
  <si>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</si>
  <si>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</si>
  <si>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</si>
  <si>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</si>
  <si>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</si>
  <si>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</si>
  <si>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</si>
  <si>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</si>
  <si>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</si>
  <si>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</si>
  <si>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</si>
  <si>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</si>
  <si>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</si>
  <si>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</si>
  <si>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</si>
  <si>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</si>
  <si>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</si>
  <si>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</si>
  <si>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</si>
  <si>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</si>
  <si>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</si>
  <si>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</si>
  <si>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</si>
  <si>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</si>
  <si>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</si>
  <si>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</si>
  <si>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</si>
  <si>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</si>
  <si>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</si>
  <si>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</si>
  <si>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</si>
  <si>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</si>
  <si>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</si>
  <si>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</si>
  <si>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</si>
  <si>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</si>
  <si>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</si>
  <si>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</si>
  <si>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</si>
  <si>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</si>
  <si>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</si>
  <si>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</si>
  <si>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</si>
  <si>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</si>
  <si>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</si>
  <si>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</si>
  <si>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</si>
  <si>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</si>
  <si>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</si>
  <si>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</si>
  <si>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</si>
  <si>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</si>
  <si>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</si>
  <si>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</si>
  <si>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</si>
  <si>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</si>
  <si>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</si>
  <si>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</si>
  <si>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</si>
  <si>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</si>
  <si>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</si>
  <si>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</si>
  <si>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</si>
  <si>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</si>
  <si>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</si>
  <si>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</si>
  <si>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</si>
  <si>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</si>
  <si>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</si>
  <si>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</si>
  <si>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</si>
  <si>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</si>
  <si>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</si>
  <si>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</si>
  <si>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</si>
  <si>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</si>
  <si>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</si>
  <si>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</si>
  <si>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</si>
  <si>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</si>
  <si>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</si>
  <si>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</si>
  <si>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</si>
  <si>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</si>
  <si>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</si>
  <si>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</si>
  <si>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</si>
  <si>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</si>
  <si>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</si>
  <si>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</si>
  <si>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</si>
  <si>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</si>
  <si>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</si>
  <si>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</si>
  <si>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</si>
  <si>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</si>
  <si>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</si>
  <si>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</si>
  <si>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</si>
  <si>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</si>
  <si>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</si>
  <si>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</si>
  <si>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</si>
  <si>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</si>
  <si>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</si>
  <si>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</si>
  <si>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</si>
  <si>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</si>
  <si>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</si>
  <si>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</si>
  <si>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</si>
  <si>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</si>
  <si>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</si>
  <si>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</si>
  <si>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</si>
  <si>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</si>
  <si>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</si>
  <si>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</si>
  <si>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</si>
  <si>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</si>
  <si>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</si>
  <si>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</si>
  <si>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</si>
  <si>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</si>
  <si>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</si>
  <si>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</si>
  <si>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</si>
  <si>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</si>
  <si>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</si>
  <si>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</si>
  <si>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</si>
  <si>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</si>
  <si>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</si>
  <si>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</si>
  <si>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</si>
  <si>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</si>
  <si>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</si>
  <si>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</si>
  <si>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</si>
  <si>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</si>
  <si>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</si>
  <si>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</si>
  <si>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</si>
  <si>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</si>
  <si>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</si>
  <si>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</si>
  <si>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</si>
  <si>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</si>
  <si>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</si>
  <si>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</si>
  <si>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</si>
  <si>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</si>
  <si>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</si>
  <si>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</si>
  <si>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</si>
  <si>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</si>
  <si>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</si>
  <si>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</si>
  <si>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</si>
  <si>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</si>
  <si>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</si>
  <si>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</si>
  <si>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</si>
  <si>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</si>
  <si>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</si>
  <si>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</si>
  <si>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</si>
  <si>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</si>
  <si>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</si>
  <si>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</si>
  <si>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</si>
  <si>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</si>
  <si>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</si>
  <si>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</si>
  <si>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</si>
  <si>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</si>
  <si>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</si>
  <si>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</si>
  <si>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</si>
  <si>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</si>
  <si>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</si>
  <si>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</si>
  <si>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</si>
  <si>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</si>
  <si>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</si>
  <si>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</si>
  <si>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</si>
  <si>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</si>
  <si>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</si>
  <si>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</si>
  <si>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</si>
  <si>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</si>
  <si>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</si>
  <si>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</si>
  <si>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</si>
  <si>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</si>
  <si>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</si>
  <si>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</si>
  <si>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</si>
  <si>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</si>
  <si>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</si>
  <si>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</si>
  <si>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</si>
  <si>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</si>
  <si>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</si>
  <si>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</si>
  <si>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</si>
  <si>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</si>
  <si>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</si>
  <si>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</si>
  <si>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</si>
  <si>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</si>
  <si>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</si>
  <si>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</si>
  <si>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</si>
  <si>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</si>
  <si>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</si>
  <si>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</si>
  <si>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</si>
  <si>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</si>
  <si>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</si>
  <si>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</si>
  <si>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</si>
  <si>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</si>
  <si>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</si>
  <si>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</si>
  <si>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</si>
  <si>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</si>
  <si>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</si>
  <si>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</si>
  <si>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</si>
  <si>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</si>
  <si>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</si>
  <si>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</si>
  <si>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</si>
  <si>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</si>
  <si>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</si>
  <si>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</si>
  <si>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</si>
  <si>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</si>
  <si>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</si>
  <si>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</si>
  <si>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</si>
  <si>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</si>
  <si>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</si>
  <si>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</si>
  <si>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</si>
  <si>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</si>
  <si>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</si>
  <si>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</si>
  <si>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</si>
  <si>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</si>
  <si>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</si>
  <si>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</si>
  <si>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</si>
  <si>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</si>
  <si>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</si>
  <si>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</si>
  <si>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</si>
  <si>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</si>
  <si>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</si>
  <si>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</si>
  <si>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</si>
  <si>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</si>
  <si>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</si>
  <si>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</si>
  <si>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</si>
  <si>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</si>
  <si>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</si>
  <si>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</si>
  <si>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</si>
  <si>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</si>
  <si>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</si>
  <si>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</si>
  <si>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</si>
  <si>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</si>
  <si>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</si>
  <si>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</si>
  <si>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</si>
  <si>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</si>
  <si>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</si>
  <si>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</si>
  <si>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</si>
  <si>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</si>
  <si>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</si>
  <si>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</si>
  <si>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</si>
  <si>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</si>
  <si>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</si>
  <si>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</si>
  <si>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</si>
  <si>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</si>
  <si>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</si>
  <si>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</si>
  <si>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</si>
  <si>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</si>
  <si>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</si>
  <si>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</si>
  <si>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</si>
  <si>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</si>
  <si>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</si>
  <si>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</si>
  <si>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</si>
  <si>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</si>
  <si>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</si>
  <si>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</si>
  <si>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</si>
  <si>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</si>
  <si>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</si>
  <si>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</si>
  <si>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</si>
  <si>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</si>
  <si>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</si>
  <si>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</si>
  <si>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</si>
  <si>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</si>
  <si>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</si>
  <si>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</si>
  <si>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</si>
  <si>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</si>
  <si>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</si>
  <si>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</si>
  <si>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</si>
  <si>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</si>
  <si>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</si>
  <si>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</si>
  <si>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</si>
  <si>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</si>
  <si>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</si>
  <si>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</si>
  <si>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</si>
  <si>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</si>
  <si>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</si>
  <si>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</si>
  <si>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</si>
  <si>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</si>
  <si>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</si>
  <si>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</si>
  <si>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</si>
  <si>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</si>
  <si>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</si>
  <si>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</si>
  <si>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</si>
  <si>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</si>
  <si>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</si>
  <si>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</si>
  <si>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</si>
  <si>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</si>
  <si>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</si>
  <si>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</si>
  <si>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</si>
  <si>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</si>
  <si>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</si>
  <si>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</si>
  <si>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</si>
  <si>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</si>
  <si>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</si>
  <si>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</si>
  <si>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</si>
  <si>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</si>
  <si>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</si>
  <si>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</si>
  <si>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</si>
  <si>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</si>
  <si>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</si>
  <si>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</si>
  <si>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</si>
  <si>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</si>
  <si>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</si>
  <si>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</si>
  <si>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</si>
  <si>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</si>
  <si>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</si>
  <si>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</si>
  <si>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</si>
  <si>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</si>
  <si>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</si>
  <si>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</si>
  <si>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</si>
  <si>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</si>
  <si>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</si>
  <si>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</si>
  <si>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</si>
  <si>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</si>
  <si>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</si>
  <si>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</si>
  <si>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</si>
  <si>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</si>
  <si>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</si>
  <si>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</si>
  <si>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</si>
  <si>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</si>
  <si>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</si>
  <si>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</si>
  <si>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</si>
  <si>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</si>
  <si>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</si>
  <si>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</si>
  <si>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</si>
  <si>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</si>
  <si>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</si>
  <si>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</si>
  <si>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</si>
  <si>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</si>
  <si>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</si>
  <si>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</si>
  <si>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</si>
  <si>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</si>
  <si>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</si>
  <si>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</si>
  <si>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</si>
  <si>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</si>
  <si>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</si>
  <si>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</si>
  <si>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</si>
  <si>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</si>
  <si>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</si>
  <si>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</si>
  <si>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</si>
  <si>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</si>
  <si>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</si>
  <si>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</si>
  <si>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</si>
  <si>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</si>
  <si>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</si>
  <si>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</si>
  <si>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</si>
  <si>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</si>
  <si>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</si>
  <si>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</si>
  <si>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</si>
  <si>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</si>
  <si>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</si>
  <si>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</si>
  <si>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</si>
  <si>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</si>
  <si>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</si>
  <si>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</si>
  <si>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</si>
  <si>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</si>
  <si>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</si>
  <si>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</si>
  <si>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</si>
  <si>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</si>
  <si>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</si>
  <si>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</si>
  <si>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</si>
  <si>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</si>
  <si>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</si>
  <si>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</si>
  <si>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</si>
  <si>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</si>
  <si>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</si>
  <si>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</si>
  <si>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</si>
  <si>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</si>
  <si>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</si>
  <si>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</si>
  <si>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</si>
  <si>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</si>
  <si>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</si>
  <si>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</si>
  <si>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</si>
  <si>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</si>
  <si>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</si>
  <si>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</si>
  <si>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</si>
  <si>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</si>
  <si>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</si>
  <si>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</si>
  <si>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</si>
  <si>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</si>
  <si>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</si>
  <si>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</si>
  <si>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</si>
  <si>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</si>
  <si>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</si>
  <si>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</si>
  <si>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</si>
  <si>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</si>
  <si>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</si>
  <si>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</si>
  <si>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</si>
  <si>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</si>
  <si>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</si>
  <si>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</si>
  <si>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</si>
  <si>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</si>
  <si>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</si>
  <si>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</si>
  <si>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</si>
  <si>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</si>
  <si>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</si>
  <si>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</si>
  <si>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</si>
  <si>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</si>
  <si>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</si>
  <si>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</si>
  <si>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</si>
  <si>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</si>
  <si>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</si>
  <si>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</si>
  <si>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</si>
  <si>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</si>
  <si>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</si>
  <si>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</si>
  <si>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</si>
  <si>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</si>
  <si>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</si>
  <si>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</si>
  <si>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</si>
  <si>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</si>
  <si>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</si>
  <si>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</si>
  <si>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</si>
  <si>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</si>
  <si>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</si>
  <si>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</si>
  <si>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</si>
  <si>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</si>
  <si>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</si>
  <si>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</si>
  <si>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</si>
  <si>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</si>
  <si>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</si>
  <si>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</si>
  <si>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</si>
  <si>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</si>
  <si>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</si>
  <si>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</si>
  <si>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</si>
  <si>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</si>
  <si>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</si>
  <si>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</si>
  <si>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</si>
  <si>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</si>
  <si>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</si>
  <si>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</si>
  <si>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</si>
  <si>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</si>
  <si>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</si>
  <si>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</si>
  <si>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</si>
  <si>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</si>
  <si>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</si>
  <si>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</si>
  <si>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</si>
  <si>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</si>
  <si>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</si>
  <si>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</si>
  <si>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</si>
  <si>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</si>
  <si>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</si>
  <si>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</si>
  <si>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</si>
  <si>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</si>
  <si>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</si>
  <si>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</si>
  <si>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</si>
  <si>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</si>
  <si>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</si>
  <si>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</si>
  <si>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</si>
  <si>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</si>
  <si>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</si>
  <si>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</si>
  <si>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</si>
  <si>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</si>
  <si>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</si>
  <si>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</si>
  <si>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</si>
  <si>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</si>
  <si>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</si>
  <si>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</si>
  <si>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</si>
  <si>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</si>
  <si>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</si>
  <si>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</si>
  <si>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</si>
  <si>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</si>
  <si>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</si>
  <si>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</si>
  <si>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</si>
  <si>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</si>
  <si>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</si>
  <si>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</si>
  <si>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</si>
  <si>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</si>
  <si>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</si>
  <si>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</si>
  <si>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</si>
  <si>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</si>
  <si>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</si>
  <si>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</si>
  <si>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</si>
  <si>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</si>
  <si>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</si>
  <si>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</si>
  <si>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</si>
  <si>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</si>
  <si>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</si>
  <si>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</si>
  <si>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</si>
  <si>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</si>
  <si>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</si>
  <si>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</si>
  <si>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</si>
  <si>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</si>
  <si>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</si>
  <si>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</si>
  <si>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</si>
  <si>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</si>
  <si>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</si>
  <si>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</si>
  <si>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</si>
  <si>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</si>
  <si>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</si>
  <si>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</si>
  <si>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</si>
  <si>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</si>
  <si>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</si>
  <si>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</si>
  <si>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</si>
  <si>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</si>
  <si>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</si>
  <si>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</si>
  <si>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</si>
  <si>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</si>
  <si>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</si>
  <si>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</si>
  <si>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</si>
  <si>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</si>
  <si>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</si>
  <si>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</si>
  <si>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</si>
  <si>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</si>
  <si>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</si>
  <si>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</si>
  <si>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</si>
  <si>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</si>
  <si>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</si>
  <si>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</si>
  <si>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</si>
  <si>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</si>
  <si>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</si>
  <si>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</si>
  <si>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</si>
  <si>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</si>
  <si>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</si>
  <si>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</si>
  <si>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</si>
  <si>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</si>
  <si>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</si>
  <si>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</si>
  <si>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</si>
  <si>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</si>
  <si>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</si>
  <si>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</si>
  <si>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</si>
  <si>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</si>
  <si>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</si>
  <si>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</si>
  <si>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</si>
  <si>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</si>
  <si>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</si>
  <si>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</si>
  <si>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</si>
  <si>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</si>
  <si>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</si>
  <si>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</si>
  <si>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</si>
  <si>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</si>
  <si>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</si>
  <si>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</si>
  <si>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</si>
  <si>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</si>
  <si>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</si>
  <si>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</si>
  <si>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</si>
  <si>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</si>
  <si>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</si>
  <si>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</si>
  <si>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</si>
  <si>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</si>
  <si>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</si>
  <si>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</si>
  <si>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</si>
  <si>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</si>
  <si>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</si>
  <si>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</si>
  <si>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</si>
  <si>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</si>
  <si>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</si>
  <si>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</si>
  <si>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</si>
  <si>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</si>
  <si>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</si>
  <si>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</si>
  <si>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</si>
  <si>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</si>
  <si>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</si>
  <si>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</si>
  <si>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</si>
  <si>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</si>
  <si>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</si>
  <si>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</si>
  <si>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</si>
  <si>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</si>
  <si>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</si>
  <si>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</si>
  <si>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</si>
  <si>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</si>
  <si>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</si>
  <si>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</si>
  <si>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</si>
  <si>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</si>
  <si>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</si>
  <si>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</si>
  <si>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</si>
  <si>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</si>
  <si>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</si>
  <si>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</si>
  <si>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</si>
  <si>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</si>
  <si>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</si>
  <si>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</si>
  <si>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</si>
  <si>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</si>
  <si>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</si>
  <si>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</si>
  <si>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</si>
  <si>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</si>
  <si>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</si>
  <si>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</si>
  <si>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</si>
  <si>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</si>
  <si>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</si>
  <si>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</si>
  <si>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</si>
  <si>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</si>
  <si>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</si>
  <si>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</si>
  <si>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</si>
  <si>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</si>
  <si>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</si>
  <si>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</si>
  <si>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</si>
  <si>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</si>
  <si>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</si>
  <si>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</si>
  <si>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</si>
  <si>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</si>
  <si>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</si>
  <si>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</si>
  <si>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</si>
  <si>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</si>
  <si>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</si>
  <si>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</si>
  <si>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</si>
  <si>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</si>
  <si>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</si>
  <si>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</si>
  <si>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</si>
  <si>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</si>
  <si>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</si>
  <si>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</si>
  <si>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</si>
  <si>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</si>
  <si>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</si>
  <si>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</si>
  <si>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</si>
  <si>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</si>
  <si>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</si>
  <si>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</si>
  <si>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</si>
  <si>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</si>
  <si>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</si>
  <si>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</si>
  <si>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</si>
  <si>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</si>
  <si>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</si>
  <si>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</si>
  <si>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</si>
  <si>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</si>
  <si>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</si>
  <si>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</si>
  <si>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</si>
  <si>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</si>
  <si>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</si>
  <si>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</si>
  <si>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</si>
  <si>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</si>
  <si>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</si>
  <si>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</si>
  <si>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</si>
  <si>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</si>
  <si>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</si>
  <si>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</si>
  <si>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</si>
  <si>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</si>
  <si>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</si>
  <si>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</si>
  <si>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</si>
  <si>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</si>
  <si>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</si>
  <si>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</si>
  <si>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</si>
  <si>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</si>
  <si>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</si>
  <si>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</si>
  <si>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</si>
  <si>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</si>
  <si>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</si>
  <si>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</si>
  <si>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</si>
  <si>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</si>
  <si>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</si>
  <si>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</si>
  <si>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</si>
  <si>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</si>
  <si>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</si>
  <si>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</si>
  <si>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</si>
  <si>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</si>
  <si>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</si>
  <si>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</si>
  <si>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</si>
  <si>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</si>
  <si>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</si>
  <si>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</si>
  <si>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</si>
  <si>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</si>
  <si>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</si>
  <si>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</si>
  <si>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</si>
  <si>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</si>
  <si>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</si>
  <si>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</si>
  <si>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</si>
  <si>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</si>
  <si>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</si>
  <si>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</si>
  <si>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</si>
  <si>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</si>
  <si>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</si>
  <si>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</si>
  <si>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</si>
  <si>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</si>
  <si>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</si>
  <si>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</si>
  <si>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</si>
  <si>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</si>
  <si>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</si>
  <si>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</si>
  <si>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</si>
  <si>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</si>
  <si>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</si>
  <si>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</si>
  <si>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</si>
  <si>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</si>
  <si>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</si>
  <si>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</si>
  <si>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</si>
  <si>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</si>
  <si>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</si>
  <si>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</si>
  <si>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</si>
  <si>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</si>
  <si>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</si>
  <si>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</si>
  <si>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</si>
  <si>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</si>
  <si>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</si>
  <si>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</si>
  <si>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</si>
  <si>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</si>
  <si>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</si>
  <si>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</si>
  <si>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</si>
  <si>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</si>
  <si>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</si>
  <si>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</si>
  <si>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</si>
  <si>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</si>
  <si>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</si>
  <si>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</si>
  <si>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</si>
  <si>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</si>
  <si>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</si>
  <si>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</si>
  <si>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</si>
  <si>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</si>
  <si>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</si>
  <si>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</si>
  <si>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</si>
  <si>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</si>
  <si>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</si>
  <si>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</si>
  <si>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</si>
  <si>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</si>
  <si>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</si>
  <si>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</si>
  <si>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</si>
  <si>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</si>
  <si>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</si>
  <si>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</si>
  <si>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</si>
  <si>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</si>
  <si>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</si>
  <si>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</si>
  <si>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</si>
  <si>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</si>
  <si>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</si>
  <si>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</si>
  <si>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</si>
  <si>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</si>
  <si>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</si>
  <si>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</si>
  <si>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</si>
  <si>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</si>
  <si>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</si>
  <si>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</si>
  <si>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</si>
  <si>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</si>
  <si>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</si>
  <si>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</si>
  <si>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</si>
  <si>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</si>
  <si>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</si>
  <si>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</si>
  <si>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</si>
  <si>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</si>
  <si>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</si>
  <si>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</si>
  <si>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</si>
  <si>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</si>
  <si>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</si>
  <si>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</si>
  <si>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</si>
  <si>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</si>
  <si>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</si>
  <si>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</si>
  <si>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</si>
  <si>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</si>
  <si>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</si>
  <si>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</si>
  <si>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</si>
  <si>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</si>
  <si>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</si>
  <si>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</si>
  <si>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</si>
  <si>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</si>
  <si>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</si>
  <si>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</si>
  <si>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</si>
  <si>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</si>
  <si>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</si>
  <si>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</si>
  <si>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</si>
  <si>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</si>
  <si>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</si>
  <si>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</si>
  <si>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</si>
  <si>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</si>
  <si>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</si>
  <si>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</si>
  <si>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</si>
  <si>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</si>
  <si>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</si>
  <si>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</si>
  <si>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</si>
  <si>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</si>
  <si>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</si>
  <si>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</si>
  <si>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</si>
  <si>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</si>
  <si>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</si>
  <si>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</si>
  <si>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</si>
  <si>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</si>
  <si>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</si>
  <si>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</si>
  <si>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</si>
  <si>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</si>
  <si>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</si>
  <si>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</si>
  <si>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</si>
  <si>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</si>
  <si>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</si>
  <si>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</si>
  <si>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</si>
  <si>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</si>
  <si>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</si>
  <si>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</si>
  <si>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</si>
  <si>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</si>
  <si>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</si>
  <si>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</si>
  <si>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</si>
  <si>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</si>
  <si>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</si>
  <si>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</si>
  <si>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</si>
  <si>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</si>
  <si>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</si>
  <si>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</si>
  <si>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</si>
  <si>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</si>
  <si>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</si>
  <si>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</si>
  <si>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</si>
  <si>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</si>
  <si>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</si>
  <si>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</si>
  <si>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</si>
  <si>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</si>
  <si>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</si>
  <si>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</si>
  <si>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</si>
  <si>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</si>
  <si>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</si>
  <si>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</si>
  <si>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</si>
  <si>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</si>
  <si>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</si>
  <si>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</si>
  <si>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</si>
  <si>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</si>
  <si>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</si>
  <si>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</si>
  <si>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</si>
  <si>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</si>
  <si>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</si>
  <si>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</si>
  <si>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</si>
  <si>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</si>
  <si>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</si>
  <si>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</si>
  <si>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</si>
  <si>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</si>
  <si>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</si>
  <si>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</si>
  <si>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</si>
  <si>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</si>
  <si>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</si>
  <si>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</si>
  <si>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</si>
  <si>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</si>
  <si>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</si>
  <si>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</si>
  <si>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</si>
  <si>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</si>
  <si>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</si>
  <si>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</si>
  <si>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</si>
  <si>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</si>
  <si>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</si>
  <si>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</si>
  <si>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</si>
  <si>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</si>
  <si>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</si>
  <si>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</si>
  <si>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</si>
  <si>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</si>
  <si>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</si>
  <si>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</si>
  <si>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</si>
  <si>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</si>
  <si>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</si>
  <si>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</si>
  <si>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</si>
  <si>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</si>
  <si>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</si>
  <si>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</si>
  <si>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</si>
  <si>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</si>
  <si>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</si>
  <si>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</si>
  <si>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</si>
  <si>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</si>
  <si>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</si>
  <si>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</si>
  <si>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</si>
  <si>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</si>
  <si>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</si>
  <si>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</si>
  <si>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</si>
  <si>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</si>
  <si>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</si>
  <si>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</si>
  <si>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</si>
  <si>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</si>
  <si>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</si>
  <si>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</si>
  <si>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</si>
  <si>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</si>
  <si>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</si>
  <si>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</si>
  <si>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</si>
  <si>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</si>
  <si>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</si>
  <si>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</si>
  <si>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</si>
  <si>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</si>
  <si>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</si>
  <si>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</si>
  <si>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</si>
  <si>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</si>
  <si>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</si>
  <si>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</si>
  <si>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</si>
  <si>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</si>
  <si>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</si>
  <si>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</si>
  <si>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</si>
  <si>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</si>
  <si>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</si>
  <si>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</si>
  <si>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</si>
  <si>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</si>
  <si>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</si>
  <si>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</si>
  <si>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</si>
  <si>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</si>
  <si>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</si>
  <si>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</si>
  <si>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</si>
  <si>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</si>
  <si>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</si>
  <si>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</si>
  <si>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</si>
  <si>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</si>
  <si>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</si>
  <si>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</si>
  <si>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</si>
  <si>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</si>
  <si>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</si>
  <si>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</si>
  <si>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</si>
  <si>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</si>
  <si>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</si>
  <si>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</si>
  <si>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</si>
  <si>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</si>
  <si>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</si>
  <si>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</si>
  <si>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</si>
  <si>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</si>
  <si>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</si>
  <si>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</si>
  <si>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</si>
  <si>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</si>
  <si>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</si>
  <si>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</si>
  <si>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</si>
  <si>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</si>
  <si>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</si>
  <si>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</si>
  <si>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</si>
  <si>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</si>
  <si>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</si>
  <si>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</si>
  <si>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</si>
  <si>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</si>
  <si>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</si>
  <si>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</si>
  <si>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</si>
  <si>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</si>
  <si>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</si>
  <si>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</si>
  <si>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</si>
  <si>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</si>
  <si>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</si>
  <si>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</si>
  <si>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</si>
  <si>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</si>
  <si>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</si>
  <si>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</si>
  <si>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</si>
  <si>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</si>
  <si>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</si>
  <si>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</si>
  <si>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</si>
  <si>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</si>
  <si>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</si>
  <si>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</si>
  <si>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</si>
  <si>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</si>
  <si>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</si>
  <si>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</si>
  <si>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</si>
  <si>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</si>
  <si>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</si>
  <si>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</si>
  <si>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</si>
  <si>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</si>
  <si>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</si>
  <si>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</si>
  <si>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</si>
  <si>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</si>
  <si>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</si>
  <si>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</si>
  <si>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</si>
  <si>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</si>
  <si>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</si>
  <si>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</si>
  <si>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</si>
  <si>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</si>
  <si>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</si>
  <si>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</si>
  <si>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</si>
  <si>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</si>
  <si>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</si>
  <si>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</si>
  <si>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</si>
  <si>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</si>
  <si>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</si>
  <si>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</si>
  <si>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</si>
  <si>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</si>
  <si>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</si>
  <si>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</si>
  <si>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</si>
  <si>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</si>
  <si>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</si>
  <si>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</si>
  <si>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</si>
  <si>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</si>
  <si>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</si>
  <si>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</si>
  <si>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</si>
  <si>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</si>
  <si>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</si>
  <si>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</si>
  <si>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</si>
  <si>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</si>
  <si>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</si>
  <si>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</si>
  <si>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</si>
  <si>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</si>
  <si>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</si>
  <si>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</si>
  <si>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</si>
  <si>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</si>
  <si>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</si>
  <si>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</si>
  <si>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</si>
  <si>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</si>
  <si>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</si>
  <si>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</si>
  <si>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</si>
  <si>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</si>
  <si>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</si>
  <si>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</si>
  <si>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</si>
  <si>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</si>
  <si>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</si>
  <si>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</si>
  <si>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</si>
  <si>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</si>
  <si>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</si>
  <si>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</si>
  <si>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</si>
  <si>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</si>
  <si>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</si>
  <si>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</si>
  <si>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</si>
  <si>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</si>
  <si>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</si>
  <si>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</si>
  <si>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</si>
  <si>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</si>
  <si>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</si>
  <si>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</si>
  <si>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</si>
  <si>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</si>
  <si>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</si>
  <si>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</si>
  <si>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</si>
  <si>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</si>
  <si>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</si>
  <si>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</si>
  <si>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</si>
  <si>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</si>
  <si>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</si>
  <si>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</si>
  <si>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</si>
  <si>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</si>
  <si>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</si>
  <si>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</si>
  <si>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</si>
  <si>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</si>
  <si>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</si>
  <si>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</si>
  <si>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</si>
  <si>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</si>
  <si>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</si>
  <si>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</si>
  <si>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</si>
  <si>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</si>
  <si>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</si>
  <si>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</si>
  <si>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</si>
  <si>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</si>
  <si>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</si>
  <si>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</si>
  <si>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</si>
  <si>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</si>
  <si>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</si>
  <si>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</si>
  <si>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</si>
  <si>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</si>
  <si>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</si>
  <si>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</si>
  <si>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</si>
  <si>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</si>
  <si>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</si>
  <si>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</si>
  <si>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</si>
  <si>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</si>
  <si>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</si>
  <si>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</si>
  <si>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</si>
  <si>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</si>
  <si>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</si>
  <si>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</si>
  <si>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</si>
  <si>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</si>
  <si>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</si>
  <si>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</si>
  <si>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</si>
  <si>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</si>
  <si>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</si>
  <si>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</si>
  <si>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</si>
  <si>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</si>
  <si>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</si>
  <si>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</si>
  <si>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</si>
  <si>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</si>
  <si>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</si>
  <si>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</si>
  <si>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</si>
  <si>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</si>
  <si>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</si>
  <si>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</si>
  <si>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</si>
  <si>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</si>
  <si>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</si>
  <si>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</si>
  <si>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</si>
  <si>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</si>
  <si>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</si>
  <si>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</si>
  <si>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</si>
  <si>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</si>
  <si>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</si>
  <si>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</si>
  <si>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</si>
  <si>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</si>
  <si>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</si>
  <si>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</si>
  <si>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</si>
  <si>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</si>
  <si>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</si>
  <si>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</si>
  <si>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</si>
  <si>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</si>
  <si>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</si>
  <si>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</si>
  <si>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</si>
  <si>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</si>
  <si>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</si>
  <si>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</si>
  <si>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</si>
  <si>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</si>
  <si>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</si>
  <si>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</si>
  <si>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</si>
  <si>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</si>
  <si>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</si>
  <si>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</si>
  <si>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</si>
  <si>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</si>
  <si>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</si>
  <si>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</si>
  <si>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</si>
  <si>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</si>
  <si>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</si>
  <si>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</si>
  <si>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</si>
  <si>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</si>
  <si>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</si>
  <si>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</si>
  <si>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</si>
  <si>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</si>
  <si>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</si>
  <si>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</si>
  <si>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</si>
  <si>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</si>
  <si>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</si>
  <si>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</si>
  <si>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</si>
  <si>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</si>
  <si>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</si>
  <si>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</si>
  <si>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</si>
  <si>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</si>
  <si>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</si>
  <si>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</si>
  <si>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</si>
  <si>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</si>
  <si>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</si>
  <si>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</si>
  <si>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</si>
  <si>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</si>
  <si>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</si>
  <si>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</si>
  <si>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</si>
  <si>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</si>
  <si>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</si>
  <si>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</si>
  <si>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</si>
  <si>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</si>
  <si>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</si>
  <si>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</si>
  <si>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</si>
  <si>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</si>
  <si>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</si>
  <si>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</si>
  <si>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</si>
  <si>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</si>
  <si>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</si>
  <si>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</si>
  <si>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</si>
  <si>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</si>
  <si>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</si>
  <si>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</si>
  <si>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</si>
  <si>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</si>
  <si>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</si>
  <si>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</si>
  <si>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</si>
  <si>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</si>
  <si>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</si>
  <si>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</si>
  <si>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</si>
  <si>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</si>
  <si>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</si>
  <si>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</si>
  <si>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</si>
  <si>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</si>
  <si>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</si>
  <si>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</si>
  <si>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</si>
  <si>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</si>
  <si>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</si>
  <si>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</si>
  <si>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</si>
  <si>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</si>
  <si>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</si>
  <si>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</si>
  <si>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</si>
  <si>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</si>
  <si>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</si>
  <si>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</si>
  <si>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</si>
  <si>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</si>
  <si>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</si>
  <si>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</si>
  <si>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</si>
  <si>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</si>
  <si>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</si>
  <si>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</si>
  <si>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</si>
  <si>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</si>
  <si>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</si>
  <si>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</si>
  <si>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</si>
  <si>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</si>
  <si>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</si>
  <si>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</si>
  <si>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</si>
  <si>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</si>
  <si>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</si>
  <si>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</si>
  <si>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</si>
  <si>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</si>
  <si>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</si>
  <si>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</si>
  <si>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</si>
  <si>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</si>
  <si>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</si>
  <si>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</si>
  <si>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</si>
  <si>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</si>
  <si>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</si>
  <si>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</si>
  <si>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</si>
  <si>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</si>
  <si>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</si>
  <si>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</si>
  <si>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</si>
  <si>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</si>
  <si>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</si>
  <si>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</si>
  <si>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</si>
  <si>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</si>
  <si>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</si>
  <si>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</si>
  <si>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</si>
  <si>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</si>
  <si>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</si>
  <si>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</si>
  <si>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</si>
  <si>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</si>
  <si>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</si>
  <si>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</si>
  <si>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</si>
  <si>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</si>
  <si>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</si>
  <si>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</si>
  <si>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</si>
  <si>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</si>
  <si>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</si>
  <si>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</si>
  <si>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</si>
  <si>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</si>
  <si>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</si>
  <si>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</si>
  <si>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</si>
  <si>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</si>
  <si>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</si>
  <si>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</si>
  <si>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</si>
  <si>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</si>
  <si>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</si>
  <si>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</si>
  <si>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</si>
  <si>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</si>
  <si>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</si>
  <si>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</si>
  <si>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</si>
  <si>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</si>
  <si>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</si>
  <si>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</si>
  <si>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</si>
  <si>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</si>
  <si>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</si>
  <si>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</si>
  <si>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</si>
  <si>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</si>
  <si>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</si>
  <si>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</si>
  <si>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</si>
  <si>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</si>
  <si>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</si>
  <si>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</si>
  <si>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</si>
  <si>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</si>
  <si>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</si>
  <si>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</si>
  <si>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</si>
  <si>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</si>
  <si>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</si>
  <si>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</si>
  <si>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</si>
  <si>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</si>
  <si>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</si>
  <si>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</si>
  <si>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</si>
  <si>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</si>
  <si>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</si>
  <si>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</si>
  <si>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</si>
  <si>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</si>
  <si>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</si>
  <si>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</si>
  <si>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</si>
  <si>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</si>
  <si>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</si>
  <si>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</si>
  <si>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</si>
  <si>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</si>
  <si>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</si>
  <si>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</si>
  <si>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</si>
  <si>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</si>
  <si>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</si>
  <si>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</si>
  <si>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</si>
  <si>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</si>
  <si>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</si>
  <si>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</si>
  <si>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</si>
  <si>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</si>
  <si>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</si>
  <si>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</si>
  <si>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</si>
  <si>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</si>
  <si>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</si>
  <si>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</si>
  <si>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</si>
  <si>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</si>
  <si>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</si>
  <si>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</si>
  <si>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</si>
  <si>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</si>
  <si>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</si>
  <si>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</si>
  <si>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</si>
  <si>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</si>
  <si>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</si>
  <si>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</si>
  <si>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</si>
  <si>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</si>
  <si>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</si>
  <si>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</si>
  <si>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</si>
  <si>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</si>
  <si>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</si>
  <si>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</si>
  <si>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</si>
  <si>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</si>
  <si>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</si>
  <si>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</si>
  <si>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</si>
  <si>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</si>
  <si>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</si>
  <si>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</si>
  <si>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</si>
  <si>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</si>
  <si>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</si>
  <si>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</si>
  <si>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</si>
  <si>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</si>
  <si>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</si>
  <si>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</si>
  <si>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</si>
  <si>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</si>
  <si>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</si>
  <si>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</si>
  <si>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</si>
  <si>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</si>
  <si>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</si>
  <si>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</si>
  <si>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</si>
  <si>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</si>
  <si>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</si>
  <si>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</si>
  <si>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</si>
  <si>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</si>
  <si>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</si>
  <si>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</si>
  <si>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</si>
  <si>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</si>
  <si>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</si>
  <si>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</si>
  <si>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</si>
  <si>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</si>
  <si>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</si>
  <si>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</si>
  <si>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</si>
  <si>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</si>
  <si>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</si>
  <si>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</si>
  <si>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</si>
  <si>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</si>
  <si>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</si>
  <si>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</si>
  <si>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</si>
  <si>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</si>
  <si>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</si>
  <si>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</si>
  <si>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</si>
  <si>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</si>
  <si>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</si>
  <si>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</si>
  <si>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</si>
  <si>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</si>
  <si>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</si>
  <si>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</si>
  <si>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</si>
  <si>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</si>
  <si>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</si>
  <si>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</si>
  <si>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</si>
  <si>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</si>
  <si>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</si>
  <si>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</si>
  <si>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</si>
  <si>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</si>
  <si>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</si>
  <si>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</si>
  <si>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</si>
  <si>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</si>
  <si>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</si>
  <si>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</si>
  <si>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</si>
  <si>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</si>
  <si>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</si>
  <si>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</si>
  <si>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</si>
  <si>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</si>
  <si>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</si>
  <si>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</si>
  <si>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</si>
  <si>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</si>
  <si>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</si>
  <si>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</si>
  <si>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</si>
  <si>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</si>
  <si>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</si>
  <si>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</si>
  <si>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</si>
  <si>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</si>
  <si>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</si>
  <si>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</si>
  <si>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</si>
  <si>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</si>
  <si>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</si>
  <si>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</si>
  <si>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</si>
  <si>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</si>
  <si>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</si>
  <si>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</si>
  <si>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</si>
  <si>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</si>
  <si>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</si>
  <si>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</si>
  <si>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</si>
  <si>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</si>
  <si>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</si>
  <si>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</si>
  <si>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</si>
  <si>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</si>
  <si>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</si>
  <si>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</si>
  <si>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</si>
  <si>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</si>
  <si>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</si>
  <si>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</si>
  <si>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</si>
  <si>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</si>
  <si>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</si>
  <si>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</si>
  <si>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</si>
  <si>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</si>
  <si>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</si>
  <si>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</si>
  <si>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</si>
  <si>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</si>
  <si>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</si>
  <si>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</si>
  <si>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</si>
  <si>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</si>
  <si>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</si>
  <si>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</si>
  <si>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</si>
  <si>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</si>
  <si>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</si>
  <si>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</si>
  <si>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</si>
  <si>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</si>
  <si>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</si>
  <si>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</si>
  <si>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</si>
  <si>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</si>
  <si>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</si>
  <si>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</si>
  <si>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</si>
  <si>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</si>
  <si>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</si>
  <si>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</si>
  <si>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</si>
  <si>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</si>
  <si>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</si>
  <si>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</si>
  <si>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</si>
  <si>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</si>
  <si>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</si>
  <si>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</si>
  <si>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</si>
  <si>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</si>
  <si>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</si>
  <si>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</si>
  <si>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</si>
  <si>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</si>
  <si>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</si>
  <si>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</si>
  <si>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</si>
  <si>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</si>
  <si>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</si>
  <si>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</si>
  <si>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</si>
  <si>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</si>
  <si>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</si>
  <si>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</si>
  <si>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</si>
  <si>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</si>
  <si>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</si>
  <si>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</si>
  <si>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</si>
  <si>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</si>
  <si>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</si>
  <si>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</si>
  <si>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</si>
  <si>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</si>
  <si>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</si>
  <si>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</si>
  <si>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</si>
  <si>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</si>
  <si>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</si>
  <si>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</si>
  <si>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</si>
  <si>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</si>
  <si>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</si>
  <si>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</si>
  <si>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</si>
  <si>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</si>
  <si>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</si>
  <si>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</si>
  <si>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</si>
  <si>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</si>
  <si>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</si>
  <si>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</si>
  <si>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</si>
  <si>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</si>
  <si>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</si>
  <si>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</si>
  <si>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</si>
  <si>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</si>
  <si>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</si>
  <si>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</si>
  <si>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</si>
  <si>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</si>
  <si>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</si>
  <si>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</si>
  <si>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</si>
  <si>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</si>
  <si>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</si>
  <si>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</si>
  <si>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</si>
  <si>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</si>
  <si>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</si>
  <si>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</si>
  <si>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</si>
  <si>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</si>
  <si>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</si>
  <si>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</si>
  <si>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</si>
  <si>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</si>
  <si>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</si>
  <si>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</si>
  <si>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</si>
  <si>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</si>
  <si>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</si>
  <si>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</si>
  <si>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</si>
  <si>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</si>
  <si>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</si>
  <si>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</si>
  <si>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</si>
  <si>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</si>
  <si>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</si>
  <si>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</si>
  <si>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</si>
  <si>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</si>
  <si>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</si>
  <si>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</si>
  <si>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</si>
  <si>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</si>
  <si>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</si>
  <si>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</si>
  <si>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</si>
  <si>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</si>
  <si>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</si>
  <si>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</si>
  <si>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</si>
  <si>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</si>
  <si>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</si>
  <si>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</si>
  <si>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</si>
  <si>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</si>
  <si>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</si>
  <si>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</si>
  <si>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</si>
  <si>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</si>
  <si>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</si>
  <si>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</si>
  <si>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</si>
  <si>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</si>
  <si>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</si>
  <si>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</si>
  <si>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</si>
  <si>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</si>
  <si>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</si>
  <si>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</si>
  <si>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</si>
  <si>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</si>
  <si>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</si>
  <si>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</si>
  <si>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</si>
  <si>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</si>
  <si>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</si>
  <si>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</si>
  <si>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</si>
  <si>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</si>
  <si>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</si>
  <si>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</si>
  <si>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</si>
  <si>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</si>
  <si>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</si>
  <si>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</si>
  <si>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</si>
  <si>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</si>
  <si>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</si>
  <si>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</si>
  <si>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</si>
  <si>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</si>
  <si>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</si>
  <si>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</si>
  <si>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</si>
  <si>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</si>
  <si>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</si>
  <si>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</si>
  <si>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</si>
  <si>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</si>
  <si>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</si>
  <si>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</si>
  <si>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</si>
  <si>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</si>
  <si>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</si>
  <si>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</si>
  <si>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</si>
  <si>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</si>
  <si>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</si>
  <si>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</si>
  <si>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</si>
  <si>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</si>
  <si>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</si>
  <si>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</si>
  <si>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</si>
  <si>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</si>
  <si>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</si>
  <si>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</si>
  <si>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</si>
  <si>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</si>
  <si>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</si>
  <si>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</si>
  <si>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</si>
  <si>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</si>
  <si>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</si>
  <si>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</si>
  <si>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</si>
  <si>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</si>
  <si>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</si>
  <si>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</si>
  <si>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</si>
  <si>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</si>
  <si>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</si>
  <si>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</si>
  <si>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</si>
  <si>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</si>
  <si>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</si>
  <si>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</si>
  <si>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</si>
  <si>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</si>
  <si>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</si>
  <si>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</si>
  <si>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</si>
  <si>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</si>
  <si>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</si>
  <si>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</si>
  <si>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</si>
  <si>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</si>
  <si>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</si>
  <si>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</si>
  <si>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</si>
  <si>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</si>
  <si>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</si>
  <si>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</si>
  <si>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</si>
  <si>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</si>
  <si>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</si>
  <si>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</si>
  <si>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</si>
  <si>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</si>
  <si>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</si>
  <si>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</si>
  <si>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</si>
  <si>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</si>
  <si>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</si>
  <si>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</si>
  <si>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</si>
  <si>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</si>
  <si>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</si>
  <si>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</si>
  <si>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</si>
  <si>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</si>
  <si>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</si>
  <si>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</si>
  <si>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</si>
  <si>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</si>
  <si>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</si>
  <si>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</si>
  <si>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</si>
  <si>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</si>
  <si>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</si>
  <si>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</si>
  <si>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</si>
  <si>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</si>
  <si>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</si>
  <si>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</si>
  <si>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</si>
  <si>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</si>
  <si>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</si>
  <si>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</si>
  <si>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</si>
  <si>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</si>
  <si>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</si>
  <si>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</si>
  <si>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</si>
  <si>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</si>
  <si>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</si>
  <si>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</si>
  <si>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</si>
  <si>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</si>
  <si>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</si>
  <si>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</si>
  <si>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</si>
  <si>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</si>
  <si>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</si>
  <si>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</si>
  <si>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</si>
  <si>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</si>
  <si>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</si>
  <si>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</si>
  <si>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</si>
  <si>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</si>
  <si>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</si>
  <si>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</si>
  <si>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</si>
  <si>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</si>
  <si>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</si>
  <si>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</si>
  <si>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</si>
  <si>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</si>
  <si>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</si>
  <si>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</si>
  <si>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</si>
  <si>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</si>
  <si>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</si>
  <si>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</si>
  <si>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</si>
  <si>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</si>
  <si>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</si>
  <si>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</si>
  <si>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</si>
  <si>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</si>
  <si>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</si>
  <si>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</si>
  <si>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</si>
  <si>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</si>
  <si>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</si>
  <si>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</si>
  <si>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</si>
  <si>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</si>
  <si>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</si>
  <si>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</si>
  <si>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</si>
  <si>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</si>
  <si>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</si>
  <si>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</si>
  <si>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</si>
  <si>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</si>
  <si>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</si>
  <si>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</si>
  <si>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</si>
  <si>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</si>
  <si>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</si>
  <si>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</si>
  <si>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</si>
  <si>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</si>
  <si>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</si>
  <si>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</si>
  <si>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</si>
  <si>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</si>
  <si>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</si>
  <si>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</si>
  <si>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</si>
  <si>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</si>
  <si>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</si>
  <si>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</si>
  <si>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</si>
  <si>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</si>
  <si>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</si>
  <si>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</si>
  <si>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</si>
  <si>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</si>
  <si>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</si>
  <si>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</si>
  <si>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</si>
  <si>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</si>
  <si>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</si>
  <si>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</si>
  <si>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</si>
  <si>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</si>
  <si>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</si>
  <si>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</si>
  <si>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</si>
  <si>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</si>
  <si>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</si>
  <si>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</si>
  <si>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</si>
  <si>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</si>
  <si>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</si>
  <si>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</si>
  <si>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</si>
  <si>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</si>
  <si>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</si>
  <si>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</si>
  <si>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</si>
  <si>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</si>
  <si>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</si>
  <si>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</si>
  <si>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</si>
  <si>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</si>
  <si>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</si>
  <si>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</si>
  <si>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</si>
  <si>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</si>
  <si>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</si>
  <si>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</si>
  <si>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</si>
  <si>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</si>
  <si>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</si>
  <si>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</si>
  <si>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</si>
  <si>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</si>
  <si>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</si>
  <si>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</si>
  <si>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</si>
  <si>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</si>
  <si>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</si>
  <si>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</si>
  <si>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</si>
  <si>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</si>
  <si>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</si>
  <si>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</si>
  <si>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</si>
  <si>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</si>
  <si>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</si>
  <si>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</si>
  <si>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</si>
  <si>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</si>
  <si>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</si>
  <si>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</si>
  <si>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</si>
  <si>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</si>
  <si>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</si>
  <si>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</si>
  <si>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</si>
  <si>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</si>
  <si>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</si>
  <si>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</si>
  <si>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</si>
  <si>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</si>
  <si>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</si>
  <si>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</si>
  <si>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</si>
  <si>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</si>
  <si>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</si>
  <si>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</si>
  <si>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</si>
  <si>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</si>
  <si>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</si>
  <si>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</si>
  <si>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</si>
  <si>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</si>
  <si>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</si>
  <si>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</si>
  <si>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</si>
  <si>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</si>
  <si>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</si>
  <si>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</si>
  <si>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</si>
  <si>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</si>
  <si>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</si>
  <si>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</si>
  <si>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</si>
  <si>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</si>
  <si>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</si>
  <si>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</si>
  <si>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</si>
  <si>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</si>
  <si>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</si>
  <si>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</si>
  <si>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</si>
  <si>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</si>
  <si>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</si>
  <si>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</si>
  <si>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</si>
  <si>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</si>
  <si>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</si>
  <si>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</si>
  <si>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</si>
  <si>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</si>
  <si>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</si>
  <si>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</si>
  <si>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</si>
  <si>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</si>
  <si>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</si>
  <si>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</si>
  <si>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</si>
  <si>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</si>
  <si>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</si>
  <si>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</si>
  <si>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</si>
  <si>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</si>
  <si>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</si>
  <si>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</si>
  <si>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</si>
  <si>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</si>
  <si>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</si>
  <si>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</si>
  <si>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</si>
  <si>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</si>
  <si>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</si>
  <si>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</si>
  <si>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</si>
  <si>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</si>
  <si>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</si>
  <si>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</si>
  <si>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</si>
  <si>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</si>
  <si>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</si>
  <si>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</si>
  <si>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</si>
  <si>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</si>
  <si>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</si>
  <si>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</si>
  <si>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</si>
  <si>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</si>
  <si>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</si>
  <si>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</si>
  <si>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</si>
  <si>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</si>
  <si>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</si>
  <si>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</si>
  <si>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</si>
  <si>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</si>
  <si>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</si>
  <si>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</si>
  <si>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</si>
  <si>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</si>
  <si>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</si>
  <si>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</si>
  <si>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</si>
  <si>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</si>
  <si>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</si>
  <si>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</si>
  <si>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</si>
  <si>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</si>
  <si>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</si>
  <si>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</si>
  <si>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</si>
  <si>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</si>
  <si>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</si>
  <si>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</si>
  <si>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</si>
  <si>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</si>
  <si>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</si>
  <si>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</si>
  <si>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</si>
  <si>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</si>
  <si>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</si>
  <si>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</si>
  <si>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</si>
  <si>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</si>
  <si>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</si>
  <si>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</si>
  <si>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</si>
  <si>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</si>
  <si>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</si>
  <si>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</si>
  <si>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</si>
  <si>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</si>
  <si>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</si>
  <si>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</si>
  <si>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</si>
  <si>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</si>
  <si>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</si>
  <si>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</si>
  <si>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</si>
  <si>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</si>
  <si>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</si>
  <si>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</si>
  <si>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</si>
  <si>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</si>
  <si>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</si>
  <si>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</si>
  <si>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</si>
  <si>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</si>
  <si>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</si>
  <si>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</si>
  <si>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</si>
  <si>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</si>
  <si>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</si>
  <si>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</si>
  <si>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</si>
  <si>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</si>
  <si>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</si>
  <si>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</si>
  <si>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</si>
  <si>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</si>
  <si>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</si>
  <si>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</si>
  <si>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</si>
  <si>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</si>
  <si>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</si>
  <si>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</si>
  <si>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</si>
  <si>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</si>
  <si>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</si>
  <si>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</si>
  <si>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</si>
  <si>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</si>
  <si>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</si>
  <si>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</si>
  <si>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</si>
  <si>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</si>
  <si>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</si>
  <si>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</si>
  <si>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</si>
  <si>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</si>
  <si>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</si>
  <si>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</si>
  <si>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</si>
  <si>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</si>
  <si>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</si>
  <si>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</si>
  <si>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</si>
  <si>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</si>
  <si>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</si>
  <si>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</si>
  <si>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</si>
  <si>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</si>
  <si>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</si>
  <si>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</si>
  <si>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</si>
  <si>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</si>
  <si>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</si>
  <si>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</si>
  <si>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</si>
  <si>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</si>
  <si>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</si>
  <si>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</si>
  <si>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</si>
  <si>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</si>
  <si>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</si>
  <si>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</si>
  <si>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</si>
  <si>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</si>
  <si>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</si>
  <si>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</si>
  <si>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</si>
  <si>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</si>
  <si>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</si>
  <si>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</si>
  <si>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</si>
  <si>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</si>
  <si>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</si>
  <si>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</si>
  <si>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</si>
  <si>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</si>
  <si>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</si>
  <si>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</si>
  <si>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</si>
  <si>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</si>
  <si>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</si>
  <si>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</si>
  <si>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</si>
  <si>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</si>
  <si>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</si>
  <si>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</si>
  <si>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</si>
  <si>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</si>
  <si>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</si>
  <si>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</si>
  <si>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</si>
  <si>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</si>
  <si>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</si>
  <si>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</si>
  <si>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</si>
  <si>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</si>
  <si>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</si>
  <si>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</si>
  <si>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</si>
  <si>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</si>
  <si>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</si>
  <si>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</si>
  <si>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</si>
  <si>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</si>
  <si>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</si>
  <si>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</si>
  <si>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</si>
  <si>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</si>
  <si>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</si>
  <si>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</si>
  <si>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</si>
  <si>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</si>
  <si>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</si>
  <si>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</si>
  <si>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</si>
  <si>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</si>
  <si>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</si>
  <si>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</si>
  <si>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</si>
  <si>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</si>
  <si>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</si>
  <si>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</si>
  <si>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</si>
  <si>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</si>
  <si>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</si>
  <si>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</si>
  <si>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</si>
  <si>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</si>
  <si>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</si>
  <si>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</si>
  <si>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</si>
  <si>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</si>
  <si>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</si>
  <si>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</si>
  <si>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</si>
  <si>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</si>
  <si>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</si>
  <si>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</si>
  <si>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</si>
  <si>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</si>
  <si>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</si>
  <si>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</si>
  <si>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</si>
  <si>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</si>
  <si>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</si>
  <si>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</si>
  <si>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</si>
  <si>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</si>
  <si>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</si>
  <si>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</si>
  <si>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</si>
  <si>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</si>
  <si>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</si>
  <si>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</si>
  <si>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</si>
  <si>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</si>
  <si>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</si>
  <si>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</si>
  <si>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</si>
  <si>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</si>
  <si>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</si>
  <si>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</si>
  <si>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</si>
  <si>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</si>
  <si>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</si>
  <si>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</si>
  <si>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</si>
  <si>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</si>
  <si>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</si>
  <si>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</si>
  <si>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</si>
  <si>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</si>
  <si>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</si>
  <si>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</si>
  <si>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</si>
  <si>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</si>
  <si>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</si>
  <si>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</si>
  <si>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</si>
  <si>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</si>
  <si>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</si>
  <si>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</si>
  <si>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</si>
  <si>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</si>
  <si>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</si>
  <si>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</si>
  <si>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</si>
  <si>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</si>
  <si>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</si>
  <si>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</si>
  <si>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</si>
  <si>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</si>
  <si>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</si>
  <si>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</si>
  <si>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</si>
  <si>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</si>
  <si>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</si>
  <si>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</si>
  <si>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</si>
  <si>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</si>
  <si>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</si>
  <si>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</si>
  <si>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</si>
  <si>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</si>
  <si>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</si>
  <si>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</si>
  <si>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</si>
  <si>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</si>
  <si>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</si>
  <si>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</si>
  <si>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</si>
  <si>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</si>
  <si>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</si>
  <si>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</si>
  <si>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</si>
  <si>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</si>
  <si>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</si>
  <si>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</si>
  <si>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</si>
  <si>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</si>
  <si>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</si>
  <si>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</si>
  <si>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</si>
  <si>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</si>
  <si>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</si>
  <si>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</si>
  <si>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</si>
  <si>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</si>
  <si>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</si>
  <si>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</si>
  <si>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</si>
  <si>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</si>
  <si>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</si>
  <si>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</si>
  <si>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</si>
  <si>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</si>
  <si>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</si>
  <si>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</si>
  <si>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</si>
  <si>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</si>
  <si>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</si>
  <si>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</si>
  <si>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</si>
  <si>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</si>
  <si>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</si>
  <si>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</si>
  <si>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</si>
  <si>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</si>
  <si>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</si>
  <si>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</si>
  <si>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</si>
  <si>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</si>
  <si>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</si>
  <si>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</si>
  <si>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</si>
  <si>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</si>
  <si>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</si>
  <si>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</si>
  <si>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</si>
  <si>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</si>
  <si>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</si>
  <si>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</si>
  <si>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</si>
  <si>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</si>
  <si>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</si>
  <si>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</si>
  <si>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</si>
  <si>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</si>
  <si>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</si>
  <si>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</si>
  <si>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</si>
  <si>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</si>
  <si>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</si>
  <si>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</si>
  <si>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</si>
  <si>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</si>
  <si>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</si>
  <si>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</si>
  <si>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</si>
  <si>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</si>
  <si>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</si>
  <si>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</si>
  <si>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</si>
  <si>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</si>
  <si>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</si>
  <si>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</si>
  <si>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</si>
  <si>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</si>
  <si>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</si>
  <si>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</si>
  <si>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</si>
  <si>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</si>
  <si>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</si>
  <si>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</si>
  <si>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</si>
  <si>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</si>
  <si>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</si>
  <si>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</si>
  <si>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</si>
  <si>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</si>
  <si>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</si>
  <si>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</si>
  <si>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</si>
  <si>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</si>
  <si>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</si>
  <si>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</si>
  <si>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</si>
  <si>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</si>
  <si>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</si>
  <si>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</si>
  <si>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</si>
  <si>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</si>
  <si>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</si>
  <si>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</si>
  <si>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</si>
  <si>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</si>
  <si>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</si>
  <si>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</si>
  <si>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</si>
  <si>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</si>
  <si>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</si>
  <si>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</si>
  <si>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</si>
  <si>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</si>
  <si>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</si>
  <si>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</si>
  <si>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</si>
  <si>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</si>
  <si>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</si>
  <si>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</si>
  <si>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</si>
  <si>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</si>
  <si>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</si>
  <si>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</si>
  <si>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</si>
  <si>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</si>
  <si>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</si>
  <si>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</si>
  <si>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</si>
  <si>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</si>
  <si>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</si>
  <si>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</si>
  <si>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</si>
  <si>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</si>
  <si>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</si>
  <si>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</si>
  <si>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</si>
  <si>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</si>
  <si>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</si>
  <si>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</si>
  <si>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</si>
  <si>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</si>
  <si>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</si>
  <si>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</si>
  <si>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</si>
  <si>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</si>
  <si>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</si>
  <si>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</si>
  <si>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</si>
  <si>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</si>
  <si>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</si>
  <si>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</si>
  <si>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</si>
  <si>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</si>
  <si>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</si>
  <si>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</si>
  <si>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</si>
  <si>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</si>
  <si>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</si>
  <si>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</si>
  <si>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</si>
  <si>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</si>
  <si>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</si>
  <si>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</si>
  <si>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</si>
  <si>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</si>
  <si>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</si>
  <si>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</si>
  <si>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</si>
  <si>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</si>
  <si>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</si>
  <si>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</si>
  <si>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</si>
  <si>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</si>
  <si>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</si>
  <si>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</si>
  <si>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</si>
  <si>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</si>
  <si>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</si>
  <si>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</si>
  <si>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</si>
  <si>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</si>
  <si>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</si>
  <si>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</si>
  <si>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</si>
  <si>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</si>
  <si>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</si>
  <si>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</si>
  <si>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</si>
  <si>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</si>
  <si>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</si>
  <si>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</si>
  <si>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</si>
  <si>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</si>
  <si>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</si>
  <si>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</si>
  <si>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</si>
  <si>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</si>
  <si>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</si>
  <si>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</si>
  <si>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</si>
  <si>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</si>
  <si>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</si>
  <si>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</si>
  <si>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</si>
  <si>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</si>
  <si>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</si>
  <si>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</si>
  <si>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</si>
  <si>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</si>
  <si>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</si>
  <si>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</si>
  <si>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</si>
  <si>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</si>
  <si>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</si>
  <si>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</si>
  <si>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</si>
  <si>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</si>
  <si>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</si>
  <si>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</si>
  <si>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</si>
  <si>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</si>
  <si>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</si>
  <si>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</si>
  <si>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</si>
  <si>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</si>
  <si>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</si>
  <si>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</si>
  <si>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</si>
  <si>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</si>
  <si>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</si>
  <si>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</si>
  <si>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</si>
  <si>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</si>
  <si>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</si>
  <si>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</si>
  <si>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</si>
  <si>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</si>
  <si>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</si>
  <si>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</si>
  <si>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</si>
  <si>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</si>
  <si>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</si>
  <si>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</si>
  <si>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</si>
  <si>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</si>
  <si>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</si>
  <si>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</si>
  <si>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</si>
  <si>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</si>
  <si>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</si>
  <si>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</si>
  <si>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</si>
  <si>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</si>
  <si>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</si>
  <si>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</si>
  <si>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</si>
  <si>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</si>
  <si>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</si>
  <si>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</si>
  <si>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</si>
  <si>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</si>
  <si>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</si>
  <si>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</si>
  <si>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</si>
  <si>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</si>
  <si>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</si>
  <si>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</si>
  <si>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</si>
  <si>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</si>
  <si>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</si>
  <si>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</si>
  <si>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</si>
  <si>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</si>
  <si>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</si>
  <si>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</si>
  <si>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</si>
  <si>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</si>
  <si>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</si>
  <si>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</si>
  <si>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</si>
  <si>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</si>
  <si>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</si>
  <si>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</si>
  <si>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</si>
  <si>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</si>
  <si>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</si>
  <si>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</si>
  <si>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</si>
  <si>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</si>
  <si>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</si>
  <si>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</si>
  <si>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</si>
  <si>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</si>
  <si>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</si>
  <si>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</si>
  <si>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</si>
  <si>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</si>
  <si>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</si>
  <si>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</si>
  <si>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</si>
  <si>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</si>
  <si>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</si>
  <si>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</si>
  <si>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</si>
  <si>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</si>
  <si>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</si>
  <si>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</si>
  <si>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</si>
  <si>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</si>
  <si>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</si>
  <si>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</si>
  <si>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</si>
  <si>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</si>
  <si>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</si>
  <si>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</si>
  <si>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</si>
  <si>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</si>
  <si>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</si>
  <si>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</si>
  <si>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</si>
  <si>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</si>
  <si>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</si>
  <si>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</si>
  <si>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</si>
  <si>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</si>
  <si>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</si>
  <si>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</si>
  <si>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</si>
  <si>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</si>
  <si>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</si>
  <si>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</si>
  <si>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</si>
  <si>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</si>
  <si>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</si>
  <si>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</si>
  <si>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</si>
  <si>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</si>
  <si>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</si>
  <si>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</si>
  <si>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</si>
  <si>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</si>
  <si>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</si>
  <si>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</si>
  <si>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</si>
  <si>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</si>
  <si>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</si>
  <si>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</si>
  <si>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</si>
  <si>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</si>
  <si>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</si>
  <si>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</si>
  <si>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</si>
  <si>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</si>
  <si>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</si>
  <si>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</si>
  <si>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</si>
  <si>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</si>
  <si>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</si>
  <si>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</si>
  <si>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</si>
  <si>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</si>
  <si>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</si>
  <si>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</si>
  <si>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</si>
  <si>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</si>
  <si>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</si>
  <si>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</si>
  <si>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</si>
  <si>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</si>
  <si>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</si>
  <si>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</si>
  <si>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</si>
  <si>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</si>
  <si>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</si>
  <si>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</si>
  <si>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</si>
  <si>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</si>
  <si>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</si>
  <si>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</si>
  <si>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</si>
  <si>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</si>
  <si>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</si>
  <si>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</si>
  <si>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</si>
  <si>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</si>
  <si>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</si>
  <si>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</si>
  <si>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</si>
  <si>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</si>
  <si>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</si>
  <si>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</si>
  <si>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</si>
  <si>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</si>
  <si>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</si>
  <si>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</si>
  <si>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</si>
  <si>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</si>
  <si>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</si>
  <si>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</si>
  <si>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</si>
  <si>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</si>
  <si>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</si>
  <si>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</si>
  <si>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</si>
  <si>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</si>
  <si>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</si>
  <si>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</si>
  <si>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</si>
  <si>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</si>
  <si>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</si>
  <si>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</si>
  <si>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</si>
  <si>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</si>
  <si>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</si>
  <si>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</si>
  <si>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</si>
  <si>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</si>
  <si>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</si>
  <si>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</si>
  <si>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</si>
  <si>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</si>
  <si>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</si>
  <si>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</si>
  <si>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</si>
  <si>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</si>
  <si>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</si>
  <si>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</si>
  <si>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</si>
  <si>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</si>
  <si>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</si>
  <si>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</si>
  <si>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</si>
  <si>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</si>
  <si>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</si>
  <si>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</si>
  <si>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</si>
  <si>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</si>
  <si>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</si>
  <si>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</si>
  <si>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</si>
  <si>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</si>
  <si>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</si>
  <si>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</si>
  <si>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</si>
  <si>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</si>
  <si>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</si>
  <si>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</si>
  <si>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</si>
  <si>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</si>
  <si>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</si>
  <si>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</si>
  <si>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</si>
  <si>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</si>
  <si>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</si>
  <si>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</si>
  <si>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</si>
  <si>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</si>
  <si>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</si>
  <si>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</si>
  <si>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</si>
  <si>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</si>
  <si>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</si>
  <si>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</si>
  <si>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</si>
  <si>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</si>
  <si>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</si>
  <si>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</si>
  <si>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</si>
  <si>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</si>
  <si>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</si>
  <si>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</si>
  <si>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</si>
  <si>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</si>
  <si>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</si>
  <si>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</si>
  <si>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</si>
  <si>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</si>
  <si>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</si>
  <si>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</si>
  <si>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</si>
  <si>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</si>
  <si>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</si>
  <si>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</si>
  <si>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</si>
  <si>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</si>
  <si>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</si>
  <si>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</si>
  <si>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</si>
  <si>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</si>
  <si>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</si>
  <si>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</si>
  <si>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</si>
  <si>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</si>
  <si>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</si>
  <si>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</si>
  <si>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</si>
  <si>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</si>
  <si>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</si>
  <si>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</si>
  <si>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</si>
  <si>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</si>
  <si>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</si>
  <si>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</si>
  <si>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</si>
  <si>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</si>
  <si>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</si>
  <si>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</si>
  <si>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</si>
  <si>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</si>
  <si>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</si>
  <si>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</si>
  <si>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</si>
  <si>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</si>
  <si>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</si>
  <si>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</si>
  <si>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</si>
  <si>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</si>
  <si>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</si>
  <si>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</si>
  <si>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</si>
  <si>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</si>
  <si>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</si>
  <si>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</si>
  <si>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</si>
  <si>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</si>
  <si>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</si>
  <si>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</si>
  <si>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</si>
  <si>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</si>
  <si>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</si>
  <si>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</si>
  <si>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</si>
  <si>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</si>
  <si>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</si>
  <si>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</si>
  <si>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</si>
  <si>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</si>
  <si>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</si>
  <si>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</si>
  <si>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</si>
  <si>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</si>
  <si>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</si>
  <si>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</si>
  <si>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</si>
  <si>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</si>
  <si>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</si>
  <si>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</si>
  <si>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</si>
  <si>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</si>
  <si>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</si>
  <si>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</si>
  <si>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</si>
  <si>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</si>
  <si>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</si>
  <si>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</si>
  <si>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</si>
  <si>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</si>
  <si>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</si>
  <si>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</si>
  <si>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</si>
  <si>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</si>
  <si>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</si>
  <si>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</si>
  <si>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</si>
  <si>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</si>
  <si>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</si>
  <si>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</si>
  <si>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</si>
  <si>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</si>
  <si>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</si>
  <si>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</si>
  <si>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</si>
  <si>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</si>
  <si>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</si>
  <si>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</si>
  <si>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</si>
  <si>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</si>
  <si>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</si>
  <si>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</si>
  <si>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</si>
  <si>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</si>
  <si>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</si>
  <si>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</si>
  <si>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</si>
  <si>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</si>
  <si>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</si>
  <si>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</si>
  <si>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</si>
  <si>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</si>
  <si>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</si>
  <si>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</si>
  <si>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</si>
  <si>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</si>
  <si>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</si>
  <si>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</si>
  <si>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</si>
  <si>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</si>
  <si>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</si>
  <si>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</si>
  <si>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</si>
  <si>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</si>
  <si>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</si>
  <si>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</si>
  <si>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</si>
  <si>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</si>
  <si>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</si>
  <si>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</si>
  <si>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</si>
  <si>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</si>
  <si>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</si>
  <si>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</si>
  <si>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</si>
  <si>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</si>
  <si>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</si>
  <si>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</si>
  <si>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</si>
  <si>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</si>
  <si>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</si>
  <si>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</si>
  <si>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</si>
  <si>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</si>
  <si>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</si>
  <si>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</si>
  <si>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</si>
  <si>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</si>
  <si>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</si>
  <si>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</si>
  <si>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</si>
  <si>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</si>
  <si>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</si>
  <si>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</si>
  <si>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</si>
  <si>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</si>
  <si>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</si>
  <si>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</si>
  <si>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</si>
  <si>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</si>
  <si>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</si>
  <si>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</si>
  <si>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</si>
  <si>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</si>
  <si>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</si>
  <si>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</si>
  <si>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</si>
  <si>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</si>
  <si>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</si>
  <si>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</si>
  <si>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</si>
  <si>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</si>
  <si>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</si>
  <si>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</si>
  <si>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</si>
  <si>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</si>
  <si>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</si>
  <si>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</si>
  <si>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</si>
  <si>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</si>
  <si>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</si>
  <si>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</si>
  <si>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</si>
  <si>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</si>
  <si>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</si>
  <si>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</si>
  <si>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</si>
  <si>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</si>
  <si>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</si>
  <si>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</si>
  <si>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</si>
  <si>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</si>
  <si>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</si>
  <si>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</si>
  <si>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</si>
  <si>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</si>
  <si>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</si>
  <si>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</si>
  <si>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</si>
  <si>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</si>
  <si>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</si>
  <si>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</si>
  <si>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</si>
  <si>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</si>
  <si>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</si>
  <si>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</si>
  <si>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</si>
  <si>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</si>
  <si>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</si>
  <si>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</si>
  <si>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</si>
  <si>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</si>
  <si>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</si>
  <si>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</si>
  <si>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</si>
  <si>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</si>
  <si>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</si>
  <si>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</si>
  <si>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</si>
  <si>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</si>
  <si>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</si>
  <si>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</si>
  <si>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</si>
  <si>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</si>
  <si>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</si>
  <si>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</si>
  <si>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</si>
  <si>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</si>
  <si>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</si>
  <si>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</si>
  <si>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</si>
  <si>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</si>
  <si>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</si>
  <si>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</si>
  <si>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</si>
  <si>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</si>
  <si>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</si>
  <si>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</si>
  <si>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</si>
  <si>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</si>
  <si>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</si>
  <si>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</si>
  <si>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</si>
  <si>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</si>
  <si>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</si>
  <si>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</si>
  <si>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</si>
  <si>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</si>
  <si>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</si>
  <si>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</si>
  <si>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</si>
  <si>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</si>
  <si>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</si>
  <si>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</si>
  <si>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</si>
  <si>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</si>
  <si>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</si>
  <si>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</si>
  <si>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</si>
  <si>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</si>
  <si>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</si>
  <si>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</si>
  <si>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</si>
  <si>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</si>
  <si>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</si>
  <si>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</si>
  <si>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</si>
  <si>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</si>
  <si>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</si>
  <si>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</si>
  <si>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</si>
  <si>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</si>
  <si>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</si>
  <si>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</si>
  <si>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</si>
  <si>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</si>
  <si>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</si>
  <si>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</si>
  <si>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</si>
  <si>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</si>
  <si>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</si>
  <si>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</si>
  <si>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</si>
  <si>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</si>
  <si>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</si>
  <si>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</si>
  <si>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</si>
  <si>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</si>
  <si>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</si>
  <si>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</si>
  <si>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</si>
  <si>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</si>
  <si>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</si>
  <si>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</si>
  <si>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</si>
  <si>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</si>
  <si>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</si>
  <si>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</si>
  <si>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</si>
  <si>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</si>
  <si>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</si>
  <si>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</si>
  <si>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</si>
  <si>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</si>
  <si>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</si>
  <si>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</si>
  <si>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</si>
  <si>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</si>
  <si>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</si>
  <si>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</si>
  <si>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</si>
  <si>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</si>
  <si>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</si>
  <si>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</si>
  <si>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</si>
  <si>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</si>
  <si>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</si>
  <si>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</si>
  <si>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</si>
  <si>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</si>
  <si>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</si>
  <si>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</si>
  <si>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</si>
  <si>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</si>
  <si>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</si>
  <si>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</si>
  <si>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</si>
  <si>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</si>
  <si>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</si>
  <si>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</si>
  <si>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</si>
  <si>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</si>
  <si>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</si>
  <si>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</si>
  <si>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</si>
  <si>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</si>
  <si>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</si>
  <si>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</si>
  <si>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</si>
  <si>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</si>
  <si>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</si>
  <si>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</si>
  <si>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</si>
  <si>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</si>
  <si>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</si>
  <si>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</si>
  <si>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</si>
  <si>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</si>
  <si>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</si>
  <si>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</si>
  <si>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</si>
  <si>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</si>
  <si>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</si>
  <si>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</si>
  <si>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</si>
  <si>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</si>
  <si>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</si>
  <si>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</si>
  <si>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</si>
  <si>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</si>
  <si>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</si>
  <si>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</si>
  <si>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</si>
  <si>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</si>
  <si>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</si>
  <si>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</si>
  <si>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</si>
  <si>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</si>
  <si>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</si>
  <si>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</si>
  <si>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</si>
  <si>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</si>
  <si>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</si>
  <si>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</si>
  <si>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</si>
  <si>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</si>
  <si>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</si>
  <si>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</si>
  <si>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</si>
  <si>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</si>
  <si>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</si>
  <si>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</si>
  <si>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</si>
  <si>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</si>
  <si>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</si>
  <si>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</si>
  <si>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</si>
  <si>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</si>
  <si>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</si>
  <si>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</si>
  <si>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</si>
  <si>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</si>
  <si>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</si>
  <si>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</si>
  <si>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</si>
  <si>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</si>
  <si>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</si>
  <si>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</si>
  <si>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</si>
  <si>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</si>
  <si>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</si>
  <si>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</si>
  <si>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</si>
  <si>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</si>
  <si>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</si>
  <si>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</si>
  <si>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</si>
  <si>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</si>
  <si>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</si>
  <si>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</si>
  <si>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</si>
  <si>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</si>
  <si>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</si>
  <si>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</si>
  <si>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</si>
  <si>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</si>
  <si>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</si>
  <si>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</si>
  <si>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</si>
  <si>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</si>
  <si>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</si>
  <si>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</si>
  <si>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</si>
  <si>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</si>
  <si>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</si>
  <si>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</si>
  <si>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</si>
  <si>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</si>
  <si>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</si>
  <si>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</si>
  <si>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</si>
  <si>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</si>
  <si>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</si>
  <si>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</si>
  <si>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</si>
  <si>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</si>
  <si>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</si>
  <si>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</si>
  <si>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</si>
  <si>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</si>
  <si>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</si>
  <si>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</si>
  <si>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</si>
  <si>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</si>
  <si>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</si>
  <si>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</si>
  <si>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</si>
  <si>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</si>
  <si>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</si>
  <si>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</si>
  <si>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</si>
  <si>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</si>
  <si>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</si>
  <si>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</si>
  <si>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</si>
  <si>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</si>
  <si>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</si>
  <si>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</si>
  <si>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</si>
  <si>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</si>
  <si>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</si>
  <si>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</si>
  <si>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</si>
  <si>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</si>
  <si>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</si>
  <si>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</si>
  <si>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</si>
  <si>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</si>
  <si>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</si>
  <si>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</si>
  <si>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</si>
  <si>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</si>
  <si>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</si>
  <si>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</si>
  <si>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</si>
  <si>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</si>
  <si>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</si>
  <si>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</si>
  <si>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</si>
  <si>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</si>
  <si>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</si>
  <si>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</si>
  <si>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</si>
  <si>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</si>
  <si>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</si>
  <si>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</si>
  <si>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</si>
  <si>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</si>
  <si>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</si>
  <si>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</si>
  <si>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</si>
  <si>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</si>
  <si>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</si>
  <si>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</si>
  <si>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</si>
  <si>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</si>
  <si>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</si>
  <si>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</si>
  <si>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</si>
  <si>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</si>
  <si>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</si>
  <si>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</si>
  <si>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</si>
  <si>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</si>
  <si>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</si>
  <si>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</si>
  <si>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</si>
  <si>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</si>
  <si>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</si>
  <si>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</si>
  <si>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</si>
  <si>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</si>
  <si>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</si>
  <si>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</si>
  <si>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</si>
  <si>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</si>
  <si>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</si>
  <si>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</si>
  <si>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</si>
  <si>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</si>
  <si>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</si>
  <si>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</si>
  <si>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</si>
  <si>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</si>
  <si>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</si>
  <si>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</si>
  <si>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</si>
  <si>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</si>
  <si>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</si>
  <si>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</si>
  <si>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</si>
  <si>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</si>
  <si>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</si>
  <si>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</si>
  <si>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</si>
  <si>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</si>
  <si>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</si>
  <si>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</si>
  <si>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</si>
  <si>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</si>
  <si>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</si>
  <si>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</si>
  <si>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</si>
  <si>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</si>
  <si>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</si>
  <si>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</si>
  <si>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</si>
  <si>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</si>
  <si>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</si>
  <si>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</si>
  <si>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</si>
  <si>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</si>
  <si>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</si>
  <si>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</si>
  <si>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</si>
  <si>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</si>
  <si>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</si>
  <si>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</si>
  <si>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</si>
  <si>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</si>
  <si>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</si>
  <si>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</si>
  <si>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</si>
  <si>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</si>
  <si>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</si>
  <si>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</si>
  <si>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</si>
  <si>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</si>
  <si>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</si>
  <si>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</si>
  <si>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</si>
  <si>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</si>
  <si>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</si>
  <si>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</si>
  <si>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</si>
  <si>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</si>
  <si>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</si>
  <si>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</si>
  <si>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</si>
  <si>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</si>
  <si>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</si>
  <si>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</si>
  <si>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</si>
  <si>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</si>
  <si>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</si>
  <si>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</si>
  <si>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</si>
  <si>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</si>
  <si>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</si>
  <si>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</si>
  <si>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</si>
  <si>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</si>
  <si>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</si>
  <si>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</si>
  <si>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</si>
  <si>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</si>
  <si>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</si>
  <si>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</si>
  <si>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</si>
  <si>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</si>
  <si>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</si>
  <si>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</si>
  <si>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</si>
  <si>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</si>
  <si>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</si>
  <si>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</si>
  <si>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</si>
  <si>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</si>
  <si>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</si>
  <si>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</si>
  <si>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</si>
  <si>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</si>
  <si>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</si>
  <si>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</si>
  <si>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</si>
  <si>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</si>
  <si>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</si>
  <si>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</si>
  <si>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</si>
  <si>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</si>
  <si>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</si>
  <si>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</si>
  <si>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</si>
  <si>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</si>
  <si>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</si>
  <si>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</si>
  <si>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</si>
  <si>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</si>
  <si>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</si>
  <si>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</si>
  <si>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</si>
  <si>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</si>
  <si>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</si>
  <si>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</si>
  <si>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</si>
  <si>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</si>
  <si>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</si>
  <si>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</si>
  <si>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</si>
  <si>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</si>
  <si>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</si>
  <si>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</si>
  <si>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</si>
  <si>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</si>
  <si>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</si>
  <si>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</si>
  <si>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</si>
  <si>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</si>
  <si>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</si>
  <si>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</si>
  <si>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</si>
  <si>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</si>
  <si>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</si>
  <si>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</si>
  <si>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</si>
  <si>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</si>
  <si>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</si>
  <si>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</si>
  <si>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</si>
  <si>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</si>
  <si>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</si>
  <si>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</si>
  <si>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</si>
  <si>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</si>
  <si>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</si>
  <si>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</si>
  <si>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</si>
  <si>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</si>
  <si>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</si>
  <si>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</si>
  <si>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</si>
  <si>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</si>
  <si>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</si>
  <si>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</si>
  <si>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</si>
  <si>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</si>
  <si>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</si>
  <si>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</si>
  <si>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</si>
  <si>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</si>
  <si>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</si>
  <si>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</si>
  <si>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</si>
  <si>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</si>
  <si>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</si>
  <si>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</si>
  <si>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</si>
  <si>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</si>
  <si>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</si>
  <si>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</si>
  <si>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</si>
  <si>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</si>
  <si>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</si>
  <si>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</si>
  <si>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</si>
  <si>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</si>
  <si>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</si>
  <si>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</si>
  <si>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</si>
  <si>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</si>
  <si>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</si>
  <si>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</si>
  <si>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</si>
  <si>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</si>
  <si>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</si>
  <si>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</si>
  <si>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</si>
  <si>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</si>
  <si>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</si>
  <si>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</si>
  <si>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</si>
  <si>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</si>
  <si>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</si>
  <si>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</si>
  <si>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</si>
  <si>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</si>
  <si>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</si>
  <si>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</si>
  <si>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</si>
  <si>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</si>
  <si>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</si>
  <si>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</si>
  <si>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</si>
  <si>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</si>
  <si>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</si>
  <si>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</si>
  <si>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</si>
  <si>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</si>
  <si>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</si>
  <si>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</si>
  <si>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</si>
  <si>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</si>
  <si>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</si>
  <si>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</si>
  <si>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</si>
  <si>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</si>
  <si>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</si>
  <si>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</si>
  <si>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</si>
  <si>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</si>
  <si>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</si>
  <si>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</si>
  <si>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</si>
  <si>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</si>
  <si>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</si>
  <si>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</si>
  <si>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</si>
  <si>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</si>
  <si>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</si>
  <si>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</si>
  <si>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</si>
  <si>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</si>
  <si>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</si>
  <si>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</si>
  <si>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</si>
  <si>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</si>
  <si>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</si>
  <si>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</si>
  <si>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</si>
  <si>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</si>
  <si>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</si>
  <si>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</si>
  <si>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</si>
  <si>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</si>
  <si>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</si>
  <si>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</si>
  <si>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</si>
  <si>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</si>
  <si>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</si>
  <si>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</si>
  <si>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</si>
  <si>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</si>
  <si>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</si>
  <si>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</si>
  <si>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</si>
  <si>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</si>
  <si>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</si>
  <si>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</si>
  <si>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</si>
  <si>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</si>
  <si>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</si>
  <si>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</si>
  <si>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</si>
  <si>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</si>
  <si>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</si>
  <si>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</si>
  <si>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</si>
  <si>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</si>
  <si>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</si>
  <si>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</si>
  <si>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</si>
  <si>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</si>
  <si>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</si>
  <si>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</si>
  <si>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</si>
  <si>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</si>
  <si>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</si>
  <si>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</si>
  <si>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</si>
  <si>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</si>
  <si>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</si>
  <si>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</si>
  <si>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</si>
  <si>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</si>
  <si>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</si>
  <si>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</si>
  <si>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</si>
  <si>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</si>
  <si>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</si>
  <si>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</si>
  <si>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</si>
  <si>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</si>
  <si>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</si>
  <si>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</si>
  <si>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</si>
  <si>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</si>
  <si>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</si>
  <si>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</si>
  <si>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</si>
  <si>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</si>
  <si>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</si>
  <si>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</si>
  <si>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</si>
  <si>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</si>
  <si>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</si>
  <si>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</si>
  <si>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</si>
  <si>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</si>
  <si>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</si>
  <si>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</si>
  <si>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</si>
  <si>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</si>
  <si>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</si>
  <si>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</si>
  <si>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</si>
  <si>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</si>
  <si>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</si>
  <si>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</si>
  <si>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</si>
  <si>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</si>
  <si>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</si>
  <si>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</si>
  <si>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</si>
  <si>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</si>
  <si>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</si>
  <si>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</si>
  <si>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</si>
  <si>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</si>
  <si>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</si>
  <si>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</si>
  <si>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</si>
  <si>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</si>
  <si>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</si>
  <si>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</si>
  <si>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</si>
  <si>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</si>
  <si>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</si>
  <si>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</si>
  <si>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</si>
  <si>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</si>
  <si>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</si>
  <si>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</si>
  <si>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</si>
  <si>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</si>
  <si>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</si>
  <si>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</si>
  <si>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</si>
  <si>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</si>
  <si>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</si>
  <si>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</si>
  <si>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</si>
  <si>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</si>
  <si>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</si>
  <si>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</si>
  <si>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</si>
  <si>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</si>
  <si>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</si>
  <si>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</si>
  <si>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</si>
  <si>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</si>
  <si>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</si>
  <si>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</si>
  <si>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</si>
  <si>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</si>
  <si>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</si>
  <si>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</si>
  <si>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</si>
  <si>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</si>
  <si>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</si>
  <si>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</si>
  <si>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</si>
  <si>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</si>
  <si>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</si>
  <si>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</si>
  <si>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</si>
  <si>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</si>
  <si>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</si>
  <si>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</si>
  <si>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</si>
  <si>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</si>
  <si>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</si>
  <si>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</si>
  <si>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</si>
  <si>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</si>
  <si>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</si>
  <si>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</si>
  <si>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</si>
  <si>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</si>
  <si>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</si>
  <si>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</si>
  <si>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</si>
  <si>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</si>
  <si>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</si>
  <si>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</si>
  <si>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</si>
  <si>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</si>
  <si>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</si>
  <si>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</si>
  <si>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</si>
  <si>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</si>
  <si>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</si>
  <si>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</si>
  <si>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</si>
  <si>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</si>
  <si>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</si>
  <si>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</si>
  <si>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</si>
  <si>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</si>
  <si>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</si>
  <si>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</si>
  <si>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</si>
  <si>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</si>
  <si>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</si>
  <si>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</si>
  <si>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</si>
  <si>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</si>
  <si>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</si>
  <si>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</si>
  <si>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</si>
  <si>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</si>
  <si>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</si>
  <si>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</si>
  <si>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</si>
  <si>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</si>
  <si>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</si>
  <si>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</si>
  <si>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</si>
  <si>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</si>
  <si>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</si>
  <si>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</si>
  <si>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</si>
  <si>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</si>
  <si>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</si>
  <si>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</si>
  <si>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</si>
  <si>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</si>
  <si>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</si>
  <si>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</si>
  <si>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</si>
  <si>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</si>
  <si>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</si>
  <si>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</si>
  <si>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</si>
  <si>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</si>
  <si>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</si>
  <si>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</si>
  <si>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</si>
  <si>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</si>
  <si>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</si>
  <si>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</si>
  <si>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</si>
  <si>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</si>
  <si>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</si>
  <si>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</si>
  <si>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</si>
  <si>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</si>
  <si>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</si>
  <si>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</si>
  <si>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</si>
  <si>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</si>
  <si>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</si>
  <si>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</si>
  <si>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</si>
  <si>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</si>
  <si>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</si>
  <si>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</si>
  <si>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</si>
  <si>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</si>
  <si>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</si>
  <si>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</si>
  <si>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</si>
  <si>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</si>
  <si>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</si>
  <si>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</si>
  <si>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</si>
  <si>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</si>
  <si>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</si>
  <si>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</si>
  <si>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</si>
  <si>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</si>
  <si>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</si>
  <si>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</si>
  <si>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</si>
  <si>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</si>
  <si>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</si>
  <si>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</si>
  <si>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</si>
  <si>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</si>
  <si>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</si>
  <si>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</si>
  <si>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</si>
  <si>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</si>
  <si>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</si>
  <si>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</si>
  <si>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</si>
  <si>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</si>
  <si>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</si>
  <si>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</si>
  <si>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</si>
  <si>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</si>
  <si>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</si>
  <si>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</si>
  <si>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</si>
  <si>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</si>
  <si>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</si>
  <si>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</si>
  <si>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</si>
  <si>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</si>
  <si>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</si>
  <si>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</si>
  <si>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</si>
  <si>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</si>
  <si>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</si>
  <si>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</si>
  <si>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</si>
  <si>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</si>
  <si>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</si>
  <si>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</si>
  <si>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</si>
  <si>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</si>
  <si>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</si>
  <si>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</si>
  <si>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</si>
  <si>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</si>
  <si>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</si>
  <si>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</si>
  <si>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</si>
  <si>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</si>
  <si>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</si>
  <si>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</si>
  <si>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</si>
  <si>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</si>
  <si>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</si>
  <si>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</si>
  <si>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</si>
  <si>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</si>
  <si>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</si>
  <si>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</si>
  <si>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</si>
  <si>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</si>
  <si>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</si>
  <si>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</si>
  <si>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</si>
  <si>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</si>
  <si>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</si>
  <si>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</si>
  <si>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</si>
  <si>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</si>
  <si>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</si>
  <si>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</si>
  <si>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</si>
  <si>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</si>
  <si>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</si>
  <si>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</si>
  <si>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</si>
  <si>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</si>
  <si>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</si>
  <si>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</si>
  <si>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</si>
  <si>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</si>
  <si>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</si>
  <si>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</si>
  <si>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</si>
  <si>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</si>
  <si>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</si>
  <si>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</si>
  <si>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</si>
  <si>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</si>
  <si>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</si>
  <si>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</si>
  <si>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</si>
  <si>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</si>
  <si>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</si>
  <si>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</si>
  <si>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</si>
  <si>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</si>
  <si>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</si>
  <si>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</si>
  <si>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</si>
  <si>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</si>
  <si>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</si>
  <si>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</si>
  <si>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</si>
  <si>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</si>
  <si>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</si>
  <si>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</si>
  <si>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</si>
  <si>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</si>
  <si>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</si>
  <si>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</si>
  <si>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</si>
  <si>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</si>
  <si>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</si>
  <si>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</si>
  <si>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</si>
  <si>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</si>
  <si>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</si>
  <si>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</si>
  <si>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</si>
  <si>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</si>
  <si>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</si>
  <si>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</si>
  <si>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</si>
  <si>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</si>
  <si>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</si>
  <si>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</si>
  <si>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</si>
  <si>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</si>
  <si>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</si>
  <si>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</si>
  <si>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</si>
  <si>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</si>
  <si>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</si>
  <si>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</si>
  <si>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</si>
  <si>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</si>
  <si>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</si>
  <si>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</si>
  <si>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</si>
  <si>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</si>
  <si>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</si>
  <si>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</si>
  <si>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</si>
  <si>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</si>
  <si>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</si>
  <si>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</si>
  <si>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</si>
  <si>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</si>
  <si>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</si>
  <si>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</si>
  <si>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</si>
  <si>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</si>
  <si>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</si>
  <si>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</si>
  <si>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</si>
  <si>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</si>
  <si>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</si>
  <si>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</si>
  <si>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</si>
  <si>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</si>
  <si>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</si>
  <si>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</si>
  <si>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</si>
  <si>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</si>
  <si>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</si>
  <si>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</si>
  <si>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</si>
  <si>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</si>
  <si>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</si>
  <si>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</si>
  <si>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</si>
  <si>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</si>
  <si>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</si>
  <si>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</si>
  <si>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</si>
  <si>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</si>
  <si>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</si>
  <si>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</si>
  <si>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</si>
  <si>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</si>
  <si>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</si>
  <si>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</si>
  <si>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</si>
  <si>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</si>
  <si>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</si>
  <si>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</si>
  <si>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</si>
  <si>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</si>
  <si>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</si>
  <si>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</si>
  <si>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</si>
  <si>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</si>
  <si>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</si>
  <si>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</si>
  <si>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</si>
  <si>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</si>
  <si>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</si>
  <si>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</si>
  <si>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</si>
  <si>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</si>
  <si>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</si>
  <si>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</si>
  <si>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</si>
  <si>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</si>
  <si>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</si>
  <si>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</si>
  <si>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</si>
  <si>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</si>
  <si>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</si>
  <si>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</si>
  <si>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</si>
  <si>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</si>
  <si>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</si>
  <si>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</si>
  <si>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</si>
  <si>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</si>
  <si>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</si>
  <si>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</si>
  <si>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</si>
  <si>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</si>
  <si>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</si>
  <si>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</si>
  <si>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</si>
  <si>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</si>
  <si>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</si>
  <si>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</si>
  <si>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</si>
  <si>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</si>
  <si>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</si>
  <si>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</si>
  <si>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</si>
  <si>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</si>
  <si>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</si>
  <si>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</si>
  <si>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</si>
  <si>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</si>
  <si>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</si>
  <si>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</si>
  <si>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</si>
  <si>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</si>
  <si>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</si>
  <si>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</si>
  <si>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</si>
  <si>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</si>
  <si>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</si>
  <si>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</si>
  <si>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</si>
  <si>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</si>
  <si>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</si>
  <si>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</si>
  <si>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</si>
  <si>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</si>
  <si>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</si>
  <si>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</si>
  <si>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</si>
  <si>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</si>
  <si>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</si>
  <si>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</si>
  <si>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</si>
  <si>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</si>
  <si>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</si>
  <si>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</si>
  <si>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</si>
  <si>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</si>
  <si>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</si>
  <si>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</si>
  <si>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</si>
  <si>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</si>
  <si>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</si>
  <si>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</si>
  <si>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</si>
  <si>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</si>
  <si>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</si>
  <si>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</si>
  <si>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</si>
  <si>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</si>
  <si>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</si>
  <si>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</si>
  <si>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</si>
  <si>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</si>
  <si>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</si>
  <si>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</si>
  <si>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</si>
  <si>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</si>
  <si>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</si>
  <si>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</si>
  <si>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</si>
  <si>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</si>
  <si>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</si>
  <si>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</si>
  <si>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</si>
  <si>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</si>
  <si>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</si>
  <si>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</si>
  <si>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</si>
  <si>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</si>
  <si>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</si>
  <si>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</si>
  <si>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</si>
  <si>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</si>
  <si>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</si>
  <si>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</si>
  <si>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</si>
  <si>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</si>
  <si>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</si>
  <si>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</si>
  <si>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</si>
  <si>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</si>
  <si>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</si>
  <si>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</si>
  <si>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</si>
  <si>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</si>
  <si>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</si>
  <si>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</si>
  <si>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</si>
  <si>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</si>
  <si>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</si>
  <si>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</si>
  <si>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</si>
  <si>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</si>
  <si>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</si>
  <si>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</si>
  <si>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</si>
  <si>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</si>
  <si>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</si>
  <si>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</si>
  <si>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</si>
  <si>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</si>
  <si>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</si>
  <si>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</si>
  <si>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</si>
  <si>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</si>
  <si>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</si>
  <si>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</si>
  <si>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</si>
  <si>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</si>
  <si>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</si>
  <si>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</si>
  <si>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</si>
  <si>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</si>
  <si>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</si>
  <si>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</si>
  <si>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</si>
  <si>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</si>
  <si>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</si>
  <si>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</si>
  <si>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</si>
  <si>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</si>
  <si>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</si>
  <si>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</si>
  <si>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</si>
  <si>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</si>
  <si>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</si>
  <si>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</si>
  <si>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</si>
  <si>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</si>
  <si>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</si>
  <si>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</si>
  <si>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</si>
  <si>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</si>
  <si>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</si>
  <si>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</si>
  <si>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</si>
  <si>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</si>
  <si>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</si>
  <si>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</si>
  <si>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</si>
  <si>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</si>
  <si>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</si>
  <si>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</si>
  <si>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</si>
  <si>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</si>
  <si>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</si>
  <si>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</si>
  <si>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</si>
  <si>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</si>
  <si>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</si>
  <si>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</si>
  <si>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</si>
  <si>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</si>
  <si>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</si>
  <si>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</si>
  <si>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</si>
  <si>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</si>
  <si>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</si>
  <si>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</si>
  <si>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</si>
  <si>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</si>
  <si>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</si>
  <si>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</si>
  <si>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</si>
  <si>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</si>
  <si>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</si>
  <si>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</si>
  <si>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</si>
  <si>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</si>
  <si>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</si>
  <si>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</si>
  <si>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</si>
  <si>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</si>
  <si>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</si>
  <si>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</si>
  <si>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</si>
  <si>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</si>
  <si>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</si>
  <si>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</si>
  <si>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</si>
  <si>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</si>
  <si>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</si>
  <si>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</si>
  <si>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</si>
  <si>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</si>
  <si>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</si>
  <si>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</si>
  <si>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</si>
  <si>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</si>
  <si>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</si>
  <si>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</si>
  <si>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</si>
  <si>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</si>
  <si>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</si>
  <si>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</si>
  <si>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</si>
  <si>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</si>
  <si>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</si>
  <si>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</si>
  <si>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</si>
  <si>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</si>
  <si>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</si>
  <si>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</si>
  <si>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</si>
  <si>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</si>
  <si>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</si>
  <si>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</si>
  <si>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</si>
  <si>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</si>
  <si>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</si>
  <si>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</si>
  <si>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</si>
  <si>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</si>
  <si>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</si>
  <si>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</si>
  <si>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</si>
  <si>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</si>
  <si>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</si>
  <si>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</si>
  <si>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</si>
  <si>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</si>
  <si>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</si>
  <si>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</si>
  <si>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</si>
  <si>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</si>
  <si>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</si>
  <si>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</si>
  <si>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</si>
  <si>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</si>
  <si>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</si>
  <si>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</si>
  <si>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</si>
  <si>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</si>
  <si>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</si>
  <si>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</si>
  <si>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</si>
  <si>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</si>
  <si>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</si>
  <si>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</si>
  <si>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</si>
  <si>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</si>
  <si>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</si>
  <si>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</si>
  <si>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</si>
  <si>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</si>
  <si>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</si>
  <si>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</si>
  <si>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</si>
  <si>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</si>
  <si>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</si>
  <si>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</si>
  <si>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</si>
  <si>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</si>
  <si>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</si>
  <si>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</si>
  <si>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</si>
  <si>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</si>
  <si>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</si>
  <si>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</si>
  <si>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</si>
  <si>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</si>
  <si>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</si>
  <si>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</si>
  <si>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</si>
  <si>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</si>
  <si>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</si>
  <si>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</si>
  <si>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</si>
  <si>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</si>
  <si>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</si>
  <si>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</si>
  <si>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</si>
  <si>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</si>
  <si>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</si>
  <si>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</si>
  <si>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</si>
  <si>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</si>
  <si>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</si>
  <si>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</si>
  <si>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</si>
  <si>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</si>
  <si>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</si>
  <si>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</si>
  <si>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</si>
  <si>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</si>
  <si>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</si>
  <si>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</si>
  <si>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</si>
  <si>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</si>
  <si>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</si>
  <si>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</si>
  <si>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</si>
  <si>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</si>
  <si>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</si>
  <si>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</si>
  <si>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</si>
  <si>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</si>
  <si>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</si>
  <si>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</si>
  <si>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</si>
  <si>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</si>
  <si>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</si>
  <si>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</si>
  <si>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</si>
  <si>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</si>
  <si>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</si>
  <si>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</si>
  <si>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</si>
  <si>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</si>
  <si>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</si>
  <si>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</si>
  <si>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</si>
  <si>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</si>
  <si>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</si>
  <si>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</si>
  <si>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</si>
  <si>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</si>
  <si>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</si>
  <si>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</si>
  <si>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</si>
  <si>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</si>
  <si>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</si>
  <si>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</si>
  <si>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</si>
  <si>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</si>
  <si>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</si>
  <si>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</si>
  <si>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</si>
  <si>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</si>
  <si>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</si>
  <si>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</si>
  <si>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</si>
  <si>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</si>
  <si>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</si>
  <si>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</si>
  <si>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</si>
  <si>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</si>
  <si>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</si>
  <si>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</si>
  <si>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</si>
  <si>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</si>
  <si>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</si>
  <si>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</si>
  <si>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</si>
  <si>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</si>
  <si>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</si>
  <si>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</si>
  <si>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</si>
  <si>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</si>
  <si>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</si>
  <si>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</si>
  <si>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</si>
  <si>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</si>
  <si>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</si>
  <si>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</si>
  <si>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</si>
  <si>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</si>
  <si>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</si>
  <si>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</si>
  <si>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</si>
  <si>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</si>
  <si>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</si>
  <si>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</si>
  <si>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</si>
  <si>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</si>
  <si>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</si>
  <si>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</si>
  <si>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</si>
  <si>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</si>
  <si>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</si>
  <si>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</si>
  <si>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</si>
  <si>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</si>
  <si>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</si>
  <si>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</si>
  <si>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</si>
  <si>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</si>
  <si>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</si>
  <si>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</si>
  <si>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</si>
  <si>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</si>
  <si>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</si>
  <si>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</si>
  <si>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</si>
  <si>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</si>
  <si>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</si>
  <si>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</si>
  <si>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</si>
  <si>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</si>
  <si>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</si>
  <si>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</si>
  <si>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</si>
  <si>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</si>
  <si>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</si>
  <si>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</si>
  <si>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</si>
  <si>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</si>
  <si>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</si>
  <si>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</si>
  <si>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</si>
  <si>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</si>
  <si>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</si>
  <si>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</si>
  <si>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</si>
  <si>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</si>
  <si>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</si>
  <si>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</si>
  <si>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</si>
  <si>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</si>
  <si>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</si>
  <si>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</si>
  <si>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</si>
  <si>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</si>
  <si>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</si>
  <si>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</si>
  <si>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</si>
  <si>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</si>
  <si>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</si>
  <si>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</si>
  <si>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</si>
  <si>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</si>
  <si>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</si>
  <si>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</si>
  <si>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</si>
  <si>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</si>
  <si>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</si>
  <si>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</si>
  <si>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</si>
  <si>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</si>
  <si>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</si>
  <si>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</si>
  <si>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</si>
  <si>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</si>
  <si>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</si>
  <si>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</si>
  <si>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</si>
  <si>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</si>
  <si>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</si>
  <si>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</si>
  <si>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</si>
  <si>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</si>
  <si>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</si>
  <si>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</si>
  <si>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</si>
  <si>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</si>
  <si>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</si>
  <si>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</si>
  <si>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</si>
  <si>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</si>
  <si>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</si>
  <si>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</si>
  <si>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</si>
  <si>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</si>
  <si>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</si>
  <si>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</si>
  <si>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</si>
  <si>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</si>
  <si>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</si>
  <si>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</si>
  <si>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</si>
  <si>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</si>
  <si>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</si>
  <si>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</si>
  <si>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</si>
  <si>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</si>
  <si>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</si>
  <si>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</si>
  <si>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</si>
  <si>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</si>
  <si>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</si>
  <si>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</si>
  <si>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</si>
  <si>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</si>
  <si>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</si>
  <si>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</si>
  <si>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</si>
  <si>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</si>
  <si>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</si>
  <si>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</si>
  <si>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</si>
  <si>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</si>
  <si>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</si>
  <si>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</si>
  <si>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</si>
  <si>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</si>
  <si>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</si>
  <si>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</si>
  <si>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</si>
  <si>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</si>
  <si>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</si>
  <si>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</si>
  <si>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</si>
  <si>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</si>
  <si>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</si>
  <si>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</si>
  <si>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</si>
  <si>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</si>
  <si>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</si>
  <si>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</si>
  <si>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</si>
  <si>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</si>
  <si>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</si>
  <si>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</si>
  <si>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</si>
  <si>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</si>
  <si>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</si>
  <si>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</si>
  <si>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</si>
  <si>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</si>
  <si>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</si>
  <si>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</si>
  <si>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</si>
  <si>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</si>
  <si>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</si>
  <si>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</si>
  <si>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</si>
  <si>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</si>
  <si>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</si>
  <si>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</si>
  <si>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</si>
  <si>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</si>
  <si>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</si>
  <si>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</si>
  <si>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</si>
  <si>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</si>
  <si>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</si>
  <si>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</si>
  <si>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</si>
  <si>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</si>
  <si>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</si>
  <si>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</si>
  <si>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</si>
  <si>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</si>
  <si>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</si>
  <si>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</si>
  <si>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</si>
  <si>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</si>
  <si>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</si>
  <si>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</si>
  <si>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</si>
  <si>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</si>
  <si>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</si>
  <si>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</si>
  <si>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</si>
  <si>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</si>
  <si>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</si>
  <si>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</si>
  <si>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</si>
  <si>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</si>
  <si>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</si>
  <si>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</si>
  <si>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</si>
  <si>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</si>
  <si>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</si>
  <si>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</si>
  <si>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</si>
  <si>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</si>
  <si>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</si>
  <si>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</si>
  <si>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</si>
  <si>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</si>
  <si>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</si>
  <si>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</si>
  <si>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</si>
  <si>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</si>
  <si>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</si>
  <si>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</si>
  <si>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</si>
  <si>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</si>
  <si>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</si>
  <si>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</si>
  <si>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</si>
  <si>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</si>
  <si>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</si>
  <si>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</si>
  <si>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</si>
  <si>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</si>
  <si>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</si>
  <si>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</si>
  <si>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</si>
  <si>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</si>
  <si>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</si>
  <si>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</si>
  <si>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</si>
  <si>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</si>
  <si>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</si>
  <si>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</si>
  <si>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</si>
  <si>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</si>
  <si>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</si>
  <si>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</si>
  <si>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</si>
  <si>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</si>
  <si>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</si>
  <si>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</si>
  <si>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</si>
  <si>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</si>
  <si>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</si>
  <si>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</si>
  <si>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</si>
  <si>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</si>
  <si>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</si>
  <si>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</si>
  <si>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</si>
  <si>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</si>
  <si>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</si>
  <si>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</si>
  <si>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</si>
  <si>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</si>
  <si>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</si>
  <si>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</si>
  <si>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</si>
  <si>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</si>
  <si>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</si>
  <si>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</si>
  <si>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</si>
  <si>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</si>
  <si>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</si>
  <si>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</si>
  <si>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</si>
  <si>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</si>
  <si>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</si>
  <si>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</si>
  <si>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</si>
  <si>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</si>
  <si>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</si>
  <si>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</si>
  <si>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</si>
  <si>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</si>
  <si>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</si>
  <si>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</si>
  <si>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</si>
  <si>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</si>
  <si>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</si>
  <si>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</si>
  <si>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</si>
  <si>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</si>
  <si>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</si>
  <si>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</si>
  <si>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</si>
  <si>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</si>
  <si>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</si>
  <si>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</si>
  <si>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</si>
  <si>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</si>
  <si>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</si>
  <si>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</si>
  <si>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</si>
  <si>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</si>
  <si>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</si>
  <si>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</si>
  <si>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</si>
  <si>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</si>
  <si>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</si>
  <si>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</si>
  <si>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</si>
  <si>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</si>
  <si>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</si>
  <si>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</si>
  <si>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</si>
  <si>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</si>
  <si>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</si>
  <si>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</si>
  <si>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</si>
  <si>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</si>
  <si>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</si>
  <si>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</si>
  <si>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</si>
  <si>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</si>
  <si>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</si>
  <si>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</si>
  <si>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</si>
  <si>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</si>
  <si>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</si>
  <si>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</si>
  <si>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</si>
  <si>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</si>
  <si>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</si>
  <si>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</si>
  <si>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</si>
  <si>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</si>
  <si>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</si>
  <si>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</si>
  <si>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</si>
  <si>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</si>
  <si>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</si>
  <si>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</si>
  <si>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</si>
  <si>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</si>
  <si>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</si>
  <si>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</si>
  <si>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</si>
  <si>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</si>
  <si>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</si>
  <si>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</si>
  <si>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</si>
  <si>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</si>
  <si>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</si>
  <si>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</si>
  <si>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</si>
  <si>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</si>
  <si>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</si>
  <si>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</si>
  <si>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</si>
  <si>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</si>
  <si>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</si>
  <si>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</si>
  <si>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</si>
  <si>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</si>
  <si>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</si>
  <si>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</si>
  <si>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</si>
  <si>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</si>
  <si>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</si>
  <si>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</si>
  <si>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</si>
  <si>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</si>
  <si>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</si>
  <si>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</si>
  <si>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</si>
  <si>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</si>
  <si>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</si>
  <si>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</si>
  <si>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</si>
  <si>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</si>
  <si>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</si>
  <si>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</si>
  <si>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</si>
  <si>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</si>
  <si>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</si>
  <si>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</si>
  <si>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</si>
  <si>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</si>
  <si>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</si>
  <si>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</si>
  <si>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</si>
  <si>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</si>
  <si>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</si>
  <si>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</si>
  <si>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</si>
  <si>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</si>
  <si>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</si>
  <si>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</si>
  <si>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</si>
  <si>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</si>
  <si>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</si>
  <si>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</si>
  <si>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</si>
  <si>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</si>
  <si>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</si>
  <si>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</si>
  <si>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</si>
  <si>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</si>
  <si>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</si>
  <si>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</si>
  <si>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</si>
  <si>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</si>
  <si>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</si>
  <si>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</si>
  <si>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</si>
  <si>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</si>
  <si>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</si>
  <si>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</si>
  <si>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</si>
  <si>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</si>
  <si>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</si>
  <si>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</si>
  <si>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</si>
  <si>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</si>
  <si>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</si>
  <si>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</si>
  <si>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</si>
  <si>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</si>
  <si>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</si>
  <si>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</si>
  <si>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</si>
  <si>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</si>
  <si>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</si>
  <si>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</si>
  <si>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</si>
  <si>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</si>
  <si>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</si>
  <si>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</si>
  <si>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</si>
  <si>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</si>
  <si>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</si>
  <si>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</si>
  <si>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</si>
  <si>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</si>
  <si>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</si>
  <si>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</si>
  <si>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</si>
  <si>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</si>
  <si>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</si>
  <si>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</si>
  <si>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</si>
  <si>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</si>
  <si>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</si>
  <si>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</si>
  <si>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</si>
  <si>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</si>
  <si>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</si>
  <si>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</si>
  <si>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</si>
  <si>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</si>
  <si>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</si>
  <si>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</si>
  <si>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</si>
  <si>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</si>
  <si>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</si>
  <si>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</si>
  <si>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</si>
  <si>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</si>
  <si>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</si>
  <si>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</si>
  <si>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</si>
  <si>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</si>
  <si>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</si>
  <si>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</si>
  <si>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</si>
  <si>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</si>
  <si>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</si>
  <si>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</si>
  <si>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</si>
  <si>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</si>
  <si>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</si>
  <si>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</si>
  <si>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</si>
  <si>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</si>
  <si>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</si>
  <si>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</si>
  <si>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</si>
  <si>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</si>
  <si>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</si>
  <si>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</si>
  <si>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</si>
  <si>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</si>
  <si>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</si>
  <si>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</si>
  <si>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</si>
  <si>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</si>
  <si>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</si>
  <si>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</si>
  <si>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</si>
  <si>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</si>
  <si>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</si>
  <si>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</si>
  <si>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</si>
  <si>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</si>
  <si>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</si>
  <si>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</si>
  <si>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</si>
  <si>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</si>
  <si>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</si>
  <si>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</si>
  <si>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</si>
  <si>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</si>
  <si>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</si>
  <si>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</si>
  <si>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</si>
  <si>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</si>
  <si>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</si>
  <si>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</si>
  <si>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</si>
  <si>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</si>
  <si>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</si>
  <si>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</si>
  <si>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</si>
  <si>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</si>
  <si>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</si>
  <si>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</si>
  <si>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</si>
  <si>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</si>
  <si>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</si>
  <si>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</si>
  <si>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</si>
  <si>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</si>
  <si>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</si>
  <si>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</si>
  <si>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</si>
  <si>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</si>
  <si>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</si>
  <si>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</si>
  <si>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</si>
  <si>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</si>
  <si>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</si>
  <si>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</si>
  <si>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</si>
  <si>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</si>
  <si>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</si>
  <si>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</si>
  <si>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</si>
  <si>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</si>
  <si>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</si>
  <si>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</si>
  <si>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</si>
  <si>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</si>
  <si>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</si>
  <si>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</si>
  <si>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</si>
  <si>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</si>
  <si>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</si>
  <si>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</si>
  <si>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</si>
  <si>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</si>
  <si>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</si>
  <si>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</si>
  <si>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</si>
  <si>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</si>
  <si>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</si>
  <si>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</si>
  <si>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</si>
  <si>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</si>
  <si>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</si>
  <si>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</si>
  <si>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</si>
  <si>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</si>
  <si>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</si>
  <si>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</si>
  <si>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</si>
  <si>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</si>
  <si>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</si>
  <si>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</si>
  <si>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</si>
  <si>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</si>
  <si>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</si>
  <si>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</si>
  <si>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</si>
  <si>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</si>
  <si>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</si>
  <si>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</si>
  <si>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</si>
  <si>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</si>
  <si>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</si>
  <si>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</si>
  <si>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</si>
  <si>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</si>
  <si>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</si>
  <si>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</si>
  <si>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</si>
  <si>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</si>
  <si>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</si>
  <si>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</si>
  <si>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</si>
  <si>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</si>
  <si>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</si>
  <si>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</si>
  <si>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</si>
  <si>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</si>
  <si>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</si>
  <si>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</si>
  <si>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</si>
  <si>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</si>
  <si>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</si>
  <si>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</si>
  <si>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</si>
  <si>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</si>
  <si>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</si>
  <si>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</si>
  <si>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</si>
  <si>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</si>
  <si>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</si>
  <si>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</si>
  <si>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</si>
  <si>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</si>
  <si>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</si>
  <si>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</si>
  <si>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</si>
  <si>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</si>
  <si>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</si>
  <si>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</si>
  <si>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</si>
  <si>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</si>
  <si>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</si>
  <si>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</si>
  <si>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</si>
  <si>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</si>
  <si>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</si>
  <si>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</si>
  <si>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</si>
  <si>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</si>
  <si>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</si>
  <si>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</si>
  <si>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</si>
  <si>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</si>
  <si>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</si>
  <si>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</si>
  <si>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</si>
  <si>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</si>
  <si>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</si>
  <si>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</si>
  <si>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</si>
  <si>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</si>
  <si>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</si>
  <si>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</si>
  <si>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</si>
  <si>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</si>
  <si>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</si>
  <si>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</si>
  <si>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</si>
  <si>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</si>
  <si>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</si>
  <si>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</si>
  <si>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</si>
  <si>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</si>
  <si>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</si>
  <si>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</si>
  <si>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</si>
  <si>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</si>
  <si>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</si>
  <si>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</si>
  <si>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</si>
  <si>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</si>
  <si>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</si>
  <si>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</si>
  <si>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</si>
  <si>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</si>
  <si>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</si>
  <si>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</si>
  <si>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</si>
  <si>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</si>
  <si>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</si>
  <si>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</si>
  <si>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</si>
  <si>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</si>
  <si>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</si>
  <si>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</si>
  <si>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</si>
  <si>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</si>
  <si>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</si>
  <si>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</si>
  <si>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</si>
  <si>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</si>
  <si>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</si>
  <si>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</si>
  <si>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</si>
  <si>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</si>
  <si>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</si>
  <si>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</si>
  <si>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</si>
  <si>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</si>
  <si>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</si>
  <si>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</si>
  <si>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</si>
  <si>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</si>
  <si>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</si>
  <si>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</si>
  <si>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</si>
  <si>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</si>
  <si>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</si>
  <si>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</si>
  <si>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</si>
  <si>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</si>
  <si>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</si>
  <si>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</si>
  <si>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</si>
  <si>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</si>
  <si>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</si>
  <si>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</si>
  <si>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</si>
  <si>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</si>
  <si>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</si>
  <si>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</si>
  <si>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</si>
  <si>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</si>
  <si>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</si>
  <si>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</si>
  <si>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</si>
  <si>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</si>
  <si>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</si>
  <si>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</si>
  <si>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</si>
  <si>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</si>
  <si>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</si>
  <si>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</si>
  <si>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</si>
  <si>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</si>
  <si>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</si>
  <si>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</si>
  <si>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</si>
  <si>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</si>
  <si>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</si>
  <si>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</si>
  <si>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</si>
  <si>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</si>
  <si>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</si>
  <si>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</si>
  <si>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</si>
  <si>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</si>
  <si>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</si>
  <si>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</si>
  <si>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</si>
  <si>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</si>
  <si>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</si>
  <si>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</si>
  <si>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</si>
  <si>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</si>
  <si>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</si>
  <si>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</si>
  <si>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</si>
  <si>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</si>
  <si>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</si>
  <si>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</si>
  <si>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</si>
  <si>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</si>
  <si>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</si>
  <si>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</si>
  <si>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</si>
  <si>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</si>
  <si>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</si>
  <si>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</si>
  <si>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</si>
  <si>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</si>
  <si>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</si>
  <si>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</si>
  <si>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</si>
  <si>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</si>
  <si>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</si>
  <si>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</si>
  <si>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</si>
  <si>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</si>
  <si>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</si>
  <si>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</si>
  <si>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</si>
  <si>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</si>
  <si>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</si>
  <si>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</si>
  <si>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</si>
  <si>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</si>
  <si>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</si>
  <si>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</si>
  <si>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</si>
  <si>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</si>
  <si>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</si>
  <si>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</si>
  <si>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</si>
  <si>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</si>
  <si>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</si>
  <si>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</si>
  <si>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</si>
  <si>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</si>
  <si>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</si>
  <si>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</si>
  <si>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</si>
  <si>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</si>
  <si>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</si>
  <si>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</si>
  <si>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</si>
  <si>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</si>
  <si>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</si>
  <si>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</si>
  <si>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</si>
  <si>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</si>
  <si>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</si>
  <si>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</si>
  <si>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</si>
  <si>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</si>
  <si>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</si>
  <si>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</si>
  <si>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</si>
  <si>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</si>
  <si>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</si>
  <si>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</si>
  <si>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</si>
  <si>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</si>
  <si>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</si>
  <si>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</si>
  <si>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</si>
  <si>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</si>
  <si>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</si>
  <si>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</si>
  <si>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</si>
  <si>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</si>
  <si>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</si>
  <si>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</si>
  <si>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</si>
  <si>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</si>
  <si>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</si>
  <si>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</si>
  <si>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</si>
  <si>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</si>
  <si>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</si>
  <si>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</si>
  <si>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</si>
  <si>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</si>
  <si>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</si>
  <si>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</si>
  <si>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</si>
  <si>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</si>
  <si>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</si>
  <si>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</si>
  <si>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</si>
  <si>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</si>
  <si>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</si>
  <si>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</si>
  <si>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</si>
  <si>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</si>
  <si>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</si>
  <si>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</si>
  <si>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</si>
  <si>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</si>
  <si>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</si>
  <si>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</si>
  <si>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</si>
  <si>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</si>
  <si>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</si>
  <si>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</si>
  <si>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</si>
  <si>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</si>
  <si>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</si>
  <si>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</si>
  <si>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</si>
  <si>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</si>
  <si>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</si>
  <si>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</si>
  <si>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</si>
  <si>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</si>
  <si>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</si>
  <si>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</si>
  <si>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</si>
  <si>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</si>
  <si>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</si>
  <si>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</si>
  <si>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</si>
  <si>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</si>
  <si>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</si>
  <si>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</si>
  <si>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</si>
  <si>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</si>
  <si>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</si>
  <si>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</si>
  <si>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</si>
  <si>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</si>
  <si>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</si>
  <si>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</si>
  <si>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</si>
  <si>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</si>
  <si>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</si>
  <si>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</si>
  <si>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</si>
  <si>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</si>
  <si>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</si>
  <si>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</si>
  <si>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</si>
  <si>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</si>
  <si>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</si>
  <si>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</si>
  <si>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</si>
  <si>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</si>
  <si>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</si>
  <si>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</si>
  <si>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</si>
  <si>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</si>
  <si>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</si>
  <si>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</si>
  <si>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</si>
  <si>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</si>
  <si>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</si>
  <si>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</si>
  <si>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</si>
  <si>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</si>
  <si>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</si>
  <si>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</si>
  <si>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</si>
  <si>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</si>
  <si>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</si>
  <si>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</si>
  <si>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</si>
  <si>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</si>
  <si>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</si>
  <si>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</si>
  <si>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</si>
  <si>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</si>
  <si>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</si>
  <si>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</si>
  <si>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</si>
  <si>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</si>
  <si>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</si>
  <si>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</si>
  <si>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</si>
  <si>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</si>
  <si>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</si>
  <si>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</si>
  <si>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</si>
  <si>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</si>
  <si>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</si>
  <si>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</si>
  <si>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</si>
  <si>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</si>
  <si>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</si>
  <si>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</si>
  <si>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</si>
  <si>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</si>
  <si>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</si>
  <si>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</si>
  <si>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</si>
  <si>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</si>
  <si>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</si>
  <si>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</si>
  <si>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</si>
  <si>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</si>
  <si>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</si>
  <si>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</si>
  <si>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</si>
  <si>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</si>
  <si>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</si>
  <si>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</si>
  <si>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</si>
  <si>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</si>
  <si>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</si>
  <si>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</si>
  <si>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</si>
  <si>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</si>
  <si>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</si>
  <si>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</si>
  <si>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</si>
  <si>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</si>
  <si>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</si>
  <si>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</si>
  <si>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</si>
  <si>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</si>
  <si>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</si>
  <si>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</si>
  <si>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</si>
  <si>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</si>
  <si>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</si>
  <si>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</si>
  <si>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</si>
  <si>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</si>
  <si>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</si>
  <si>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</si>
  <si>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</si>
  <si>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</si>
  <si>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</si>
  <si>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</si>
  <si>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</si>
  <si>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</si>
  <si>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</si>
  <si>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</si>
  <si>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</si>
  <si>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</si>
  <si>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</si>
  <si>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</si>
  <si>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</si>
  <si>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</si>
  <si>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</si>
  <si>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</si>
  <si>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</si>
  <si>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</si>
  <si>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</si>
  <si>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</si>
  <si>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</si>
  <si>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</si>
  <si>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</si>
  <si>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</si>
  <si>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</si>
  <si>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</si>
  <si>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</si>
  <si>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</si>
  <si>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</si>
  <si>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</si>
  <si>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</si>
  <si>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</si>
  <si>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</si>
  <si>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</si>
  <si>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</si>
  <si>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</si>
  <si>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</si>
  <si>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</si>
  <si>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</si>
  <si>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</si>
  <si>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</si>
  <si>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</si>
  <si>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</si>
  <si>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</si>
  <si>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</si>
  <si>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</si>
  <si>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</si>
  <si>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</si>
  <si>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</si>
  <si>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</si>
  <si>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</si>
  <si>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</si>
  <si>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</si>
  <si>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</si>
  <si>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</si>
  <si>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</si>
  <si>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</si>
  <si>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</si>
  <si>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</si>
  <si>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</si>
  <si>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</si>
  <si>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</si>
  <si>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</si>
  <si>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</si>
  <si>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</si>
  <si>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</si>
  <si>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</si>
  <si>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</si>
  <si>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</si>
  <si>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</si>
  <si>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</si>
  <si>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</si>
  <si>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</si>
  <si>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</si>
  <si>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</si>
  <si>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</si>
  <si>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</si>
  <si>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</si>
  <si>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</si>
  <si>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</si>
  <si>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</si>
  <si>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</si>
  <si>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</si>
  <si>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</si>
  <si>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</si>
  <si>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</si>
  <si>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</si>
  <si>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</si>
  <si>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</si>
  <si>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</si>
  <si>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</si>
  <si>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</si>
  <si>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</si>
  <si>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</si>
  <si>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</si>
  <si>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</si>
  <si>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</si>
  <si>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</si>
  <si>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</si>
  <si>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</si>
  <si>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</si>
  <si>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</si>
  <si>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</si>
  <si>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</si>
  <si>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</si>
  <si>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</si>
  <si>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</si>
  <si>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</si>
  <si>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</si>
  <si>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</si>
  <si>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</si>
  <si>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</si>
  <si>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</si>
  <si>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</si>
  <si>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</si>
  <si>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</si>
  <si>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</si>
  <si>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</si>
  <si>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</si>
  <si>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</si>
  <si>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</si>
  <si>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</si>
  <si>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</si>
  <si>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</si>
  <si>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</si>
  <si>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</si>
  <si>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</si>
  <si>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</si>
  <si>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</si>
  <si>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</si>
  <si>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</si>
  <si>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</si>
  <si>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</si>
  <si>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</si>
  <si>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</si>
  <si>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</si>
  <si>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</si>
  <si>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</si>
  <si>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</si>
  <si>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</si>
  <si>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</si>
  <si>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</si>
  <si>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</si>
  <si>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</si>
  <si>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</si>
  <si>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</si>
  <si>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</si>
  <si>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</si>
  <si>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</si>
  <si>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</si>
  <si>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</si>
  <si>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</si>
  <si>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</si>
  <si>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</si>
  <si>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</si>
  <si>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</si>
  <si>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</si>
  <si>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</si>
  <si>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</si>
  <si>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</si>
  <si>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</si>
  <si>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</si>
  <si>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</si>
  <si>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</si>
  <si>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</si>
  <si>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</si>
  <si>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</si>
  <si>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</si>
  <si>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</si>
  <si>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</si>
  <si>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</si>
  <si>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</si>
  <si>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</si>
  <si>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</si>
  <si>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</si>
  <si>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</si>
  <si>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</si>
  <si>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</si>
  <si>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</si>
  <si>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</si>
  <si>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</si>
  <si>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</si>
  <si>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</si>
  <si>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</si>
  <si>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</si>
  <si>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</si>
  <si>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</si>
  <si>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</si>
  <si>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</si>
  <si>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</si>
  <si>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</si>
  <si>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</si>
  <si>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</si>
  <si>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</si>
  <si>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</si>
  <si>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</si>
  <si>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</si>
  <si>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</si>
  <si>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</si>
  <si>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</si>
  <si>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</si>
  <si>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</si>
  <si>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</si>
  <si>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</si>
  <si>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</si>
  <si>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</si>
  <si>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</si>
  <si>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</si>
  <si>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</si>
  <si>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</si>
  <si>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</si>
  <si>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</si>
  <si>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</si>
  <si>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</si>
  <si>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</si>
  <si>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</si>
  <si>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</si>
  <si>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</si>
  <si>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</si>
  <si>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</si>
  <si>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</si>
  <si>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</si>
  <si>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</si>
  <si>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</si>
  <si>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</si>
  <si>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</si>
  <si>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</si>
  <si>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</si>
  <si>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</si>
  <si>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</si>
  <si>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</si>
  <si>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</si>
  <si>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</si>
  <si>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</si>
  <si>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</si>
  <si>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</si>
  <si>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</si>
  <si>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</si>
  <si>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</si>
  <si>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</si>
  <si>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</si>
  <si>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</si>
  <si>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</si>
  <si>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</si>
  <si>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</si>
  <si>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</si>
  <si>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</si>
  <si>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</si>
  <si>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</si>
  <si>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</si>
  <si>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</si>
  <si>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</si>
  <si>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</si>
  <si>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</si>
  <si>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</si>
  <si>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</si>
  <si>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</si>
  <si>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</si>
  <si>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</si>
  <si>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</si>
  <si>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</si>
  <si>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</si>
  <si>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</si>
  <si>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</si>
  <si>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</si>
  <si>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</si>
  <si>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</si>
  <si>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</si>
  <si>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</si>
  <si>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</si>
  <si>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</si>
  <si>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</si>
  <si>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</si>
  <si>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</si>
  <si>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</si>
  <si>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</si>
  <si>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</si>
  <si>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</si>
  <si>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</si>
  <si>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</si>
  <si>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</si>
  <si>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</si>
  <si>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</si>
  <si>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</si>
  <si>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</si>
  <si>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</si>
  <si>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</si>
  <si>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</si>
  <si>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</si>
  <si>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</si>
  <si>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</si>
  <si>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</si>
  <si>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</si>
  <si>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</si>
  <si>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</si>
  <si>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</si>
  <si>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</si>
  <si>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</si>
  <si>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</si>
  <si>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</si>
  <si>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</si>
  <si>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</si>
  <si>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</si>
  <si>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</si>
  <si>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</si>
  <si>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</si>
  <si>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</si>
  <si>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</si>
  <si>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</si>
  <si>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</si>
  <si>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</si>
  <si>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</si>
  <si>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</si>
  <si>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</si>
  <si>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</si>
  <si>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</si>
  <si>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</si>
  <si>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</si>
  <si>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</si>
  <si>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</si>
  <si>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</si>
  <si>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</si>
  <si>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</si>
  <si>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</si>
  <si>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</si>
  <si>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</si>
  <si>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</si>
  <si>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</si>
  <si>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</si>
  <si>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</si>
  <si>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</si>
  <si>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</si>
  <si>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</si>
  <si>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</si>
  <si>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</si>
  <si>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</si>
  <si>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</si>
  <si>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</si>
  <si>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</si>
  <si>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</si>
  <si>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</si>
  <si>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</si>
  <si>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</si>
  <si>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</si>
  <si>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</si>
  <si>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</si>
  <si>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</si>
  <si>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</si>
  <si>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</si>
  <si>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</si>
  <si>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</si>
  <si>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</si>
  <si>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</si>
  <si>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</si>
  <si>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</si>
  <si>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</si>
  <si>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</si>
  <si>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</si>
  <si>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</si>
  <si>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</si>
  <si>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</si>
  <si>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</si>
  <si>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</si>
  <si>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</si>
  <si>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</si>
  <si>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</si>
  <si>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</si>
  <si>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</si>
  <si>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</si>
  <si>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</si>
  <si>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</si>
  <si>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</si>
  <si>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</si>
  <si>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</si>
  <si>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</si>
  <si>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</si>
  <si>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</si>
  <si>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</si>
  <si>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</si>
  <si>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</si>
  <si>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</si>
  <si>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</si>
  <si>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</si>
  <si>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</si>
  <si>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</si>
  <si>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</si>
  <si>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</si>
  <si>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</si>
  <si>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</si>
  <si>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</si>
  <si>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</si>
  <si>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</si>
  <si>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</si>
  <si>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</si>
  <si>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</si>
  <si>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</si>
  <si>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</si>
  <si>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</si>
  <si>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</si>
  <si>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</si>
  <si>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</si>
  <si>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</si>
  <si>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</si>
  <si>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</si>
  <si>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</si>
  <si>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</si>
  <si>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</si>
  <si>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</si>
  <si>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</si>
  <si>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</si>
  <si>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</si>
  <si>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</si>
  <si>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</si>
  <si>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</si>
  <si>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</si>
  <si>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</si>
  <si>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</si>
  <si>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</si>
  <si>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</si>
  <si>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</si>
  <si>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</si>
  <si>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</si>
  <si>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</si>
  <si>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</si>
  <si>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</si>
  <si>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</si>
  <si>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</si>
  <si>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</si>
  <si>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</si>
  <si>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</si>
  <si>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</si>
  <si>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</si>
  <si>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</si>
  <si>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</si>
  <si>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</si>
  <si>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</si>
  <si>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</si>
  <si>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</si>
  <si>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</si>
  <si>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</si>
  <si>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</si>
  <si>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</si>
  <si>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</si>
  <si>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</si>
  <si>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</si>
  <si>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</si>
  <si>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</si>
  <si>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</si>
  <si>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</si>
  <si>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</si>
  <si>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</si>
  <si>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</si>
  <si>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</si>
  <si>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</si>
  <si>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</si>
  <si>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</si>
  <si>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</si>
  <si>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</si>
  <si>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</si>
  <si>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</si>
  <si>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</si>
  <si>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</si>
  <si>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</si>
  <si>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</si>
  <si>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</si>
  <si>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</si>
  <si>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</si>
  <si>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</si>
  <si>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</si>
  <si>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</si>
  <si>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</si>
  <si>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</si>
  <si>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</si>
  <si>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</si>
  <si>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</si>
  <si>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</si>
  <si>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</si>
  <si>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</si>
  <si>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</si>
  <si>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</si>
  <si>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</si>
  <si>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</si>
  <si>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</si>
  <si>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</si>
  <si>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</si>
  <si>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</si>
  <si>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</si>
  <si>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</si>
  <si>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</si>
  <si>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</si>
  <si>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</si>
  <si>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</si>
  <si>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</si>
  <si>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</si>
  <si>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</si>
  <si>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</si>
  <si>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</si>
  <si>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</si>
  <si>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</si>
  <si>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</si>
  <si>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</si>
  <si>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</si>
  <si>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</si>
  <si>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Date Created Conversion</t>
  </si>
  <si>
    <t>Date Ended Conersion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</si>
  <si>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</si>
  <si>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</si>
  <si>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</si>
  <si>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</si>
  <si>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</si>
  <si>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</si>
  <si>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</si>
  <si>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</si>
  <si>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</si>
  <si>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</si>
  <si>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</si>
  <si>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</si>
  <si>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</si>
  <si>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</si>
  <si>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</si>
  <si>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</si>
  <si>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</si>
  <si>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</si>
  <si>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</si>
  <si>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</si>
  <si>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Years</t>
  </si>
  <si>
    <t>Count of Category</t>
  </si>
  <si>
    <t>plays</t>
  </si>
  <si>
    <t>pop</t>
  </si>
  <si>
    <t>television</t>
  </si>
  <si>
    <t>Count of Sub-Category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</si>
  <si>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</si>
  <si>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</si>
  <si>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</si>
  <si>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</si>
  <si>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</si>
  <si>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</si>
  <si>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</si>
  <si>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</si>
  <si>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indie rock</t>
  </si>
  <si>
    <t>electronic music</t>
  </si>
  <si>
    <t>world music</t>
  </si>
  <si>
    <t>faith</t>
  </si>
  <si>
    <t>classical music</t>
  </si>
  <si>
    <t>spaces</t>
  </si>
  <si>
    <t>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</si>
  <si>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</si>
  <si>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</si>
  <si>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</si>
  <si>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</si>
  <si>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</si>
  <si>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</si>
  <si>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</si>
  <si>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</si>
  <si>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</si>
  <si>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</si>
  <si>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</si>
  <si>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</si>
  <si>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</si>
  <si>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</si>
  <si>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</si>
  <si>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</si>
  <si>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</si>
  <si>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to or equal to 50000</t>
  </si>
  <si>
    <t>Less than 999</t>
  </si>
  <si>
    <t>30000 to 34999</t>
  </si>
  <si>
    <t>standard deviation</t>
  </si>
  <si>
    <t>maximum</t>
  </si>
  <si>
    <t xml:space="preserve">outcome </t>
  </si>
  <si>
    <t>mean</t>
  </si>
  <si>
    <t>median</t>
  </si>
  <si>
    <t>variance</t>
  </si>
  <si>
    <t>minmum</t>
  </si>
  <si>
    <t>Percent Funded</t>
  </si>
  <si>
    <t>hardware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</si>
  <si>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</si>
  <si>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</si>
  <si>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</si>
  <si>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</si>
  <si>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</si>
  <si>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</si>
  <si>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</si>
  <si>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</si>
  <si>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</si>
  <si>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</si>
  <si>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</si>
  <si>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</si>
  <si>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</si>
  <si>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</si>
  <si>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</si>
  <si>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people</t>
  </si>
  <si>
    <t>tabletop games</t>
  </si>
  <si>
    <t>small batch</t>
  </si>
  <si>
    <t>restaurants</t>
  </si>
  <si>
    <t>space exploration</t>
  </si>
  <si>
    <t>makerspaces</t>
  </si>
  <si>
    <t>children's books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</si>
</sst>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9" fontId="0" fillId="0" borderId="0" xfId="1" applyFont="1"/>
    <xf numFmtId="0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Categorys Sheet 2!PivotTable6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Categorys 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9-47D5-A6A2-6B349A2DA747}"/>
            </c:ext>
          </c:extLst>
        </c:ser>
        <c:ser>
          <c:idx val="1"/>
          <c:order val="1"/>
          <c:tx>
            <c:strRef>
              <c:f>'KS Categorys 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9-47D5-A6A2-6B349A2DA747}"/>
            </c:ext>
          </c:extLst>
        </c:ser>
        <c:ser>
          <c:idx val="2"/>
          <c:order val="2"/>
          <c:tx>
            <c:strRef>
              <c:f>'KS Categorys 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9-47D5-A6A2-6B349A2DA747}"/>
            </c:ext>
          </c:extLst>
        </c:ser>
        <c:ser>
          <c:idx val="3"/>
          <c:order val="3"/>
          <c:tx>
            <c:strRef>
              <c:f>'KS Categorys 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9-47D5-A6A2-6B349A2DA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978960"/>
        <c:axId val="656985200"/>
      </c:barChart>
      <c:catAx>
        <c:axId val="6569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85200"/>
        <c:crosses val="autoZero"/>
        <c:auto val="1"/>
        <c:lblAlgn val="ctr"/>
        <c:lblOffset val="100"/>
        <c:noMultiLvlLbl val="0"/>
      </c:catAx>
      <c:valAx>
        <c:axId val="6569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Sub-Categorys Sheet 3!PivotTable7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54878516002493E-2"/>
          <c:y val="0.10094773395616297"/>
          <c:w val="0.84837207440573192"/>
          <c:h val="0.761942796797977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Sub-Categorys 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3'!$B$6:$B$47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D-4045-8311-72D6AE8F031A}"/>
            </c:ext>
          </c:extLst>
        </c:ser>
        <c:ser>
          <c:idx val="1"/>
          <c:order val="1"/>
          <c:tx>
            <c:strRef>
              <c:f>'KS Sub-Categorys Sheet 3'!$C$4:$C$5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3'!$C$6:$C$47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D-4045-8311-72D6AE8F031A}"/>
            </c:ext>
          </c:extLst>
        </c:ser>
        <c:ser>
          <c:idx val="2"/>
          <c:order val="2"/>
          <c:tx>
            <c:strRef>
              <c:f>'KS Sub-Categorys Sheet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3'!$D$6:$D$47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D-4045-8311-72D6AE8F031A}"/>
            </c:ext>
          </c:extLst>
        </c:ser>
        <c:ser>
          <c:idx val="3"/>
          <c:order val="3"/>
          <c:tx>
            <c:strRef>
              <c:f>'KS Sub-Categorys Sheet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3'!$E$6:$E$47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D-4045-8311-72D6AE8F0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152000"/>
        <c:axId val="1774151168"/>
      </c:barChart>
      <c:catAx>
        <c:axId val="17741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51168"/>
        <c:crosses val="autoZero"/>
        <c:auto val="1"/>
        <c:lblAlgn val="ctr"/>
        <c:lblOffset val="100"/>
        <c:noMultiLvlLbl val="0"/>
      </c:catAx>
      <c:valAx>
        <c:axId val="17741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Dates Sheet 4!PivotTable2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Dates 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1-486C-9476-1B1CF0695B70}"/>
            </c:ext>
          </c:extLst>
        </c:ser>
        <c:ser>
          <c:idx val="1"/>
          <c:order val="1"/>
          <c:tx>
            <c:strRef>
              <c:f>'KS Dates 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1-486C-9476-1B1CF0695B70}"/>
            </c:ext>
          </c:extLst>
        </c:ser>
        <c:ser>
          <c:idx val="2"/>
          <c:order val="2"/>
          <c:tx>
            <c:strRef>
              <c:f>'KS Dates Sheet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F1-486C-9476-1B1CF069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66160"/>
        <c:axId val="56866576"/>
      </c:lineChart>
      <c:catAx>
        <c:axId val="568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6576"/>
        <c:crosses val="autoZero"/>
        <c:auto val="1"/>
        <c:lblAlgn val="ctr"/>
        <c:lblOffset val="100"/>
        <c:noMultiLvlLbl val="0"/>
      </c:catAx>
      <c:valAx>
        <c:axId val="568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616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'KS Goal Sheet 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4A20-A61B-D8E98593073C}"/>
            </c:ext>
          </c:extLst>
        </c:ser>
        <c:ser>
          <c:idx val="1"/>
          <c:order val="1"/>
          <c:tx>
            <c:strRef>
              <c:f>'KS Goal Sheet 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8-4A20-A61B-D8E98593073C}"/>
            </c:ext>
          </c:extLst>
        </c:ser>
        <c:ser>
          <c:idx val="2"/>
          <c:order val="2"/>
          <c:tx>
            <c:strRef>
              <c:f>'KS Goal Sheet 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8-4A20-A61B-D8E98593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180080"/>
        <c:axId val="1959185072"/>
      </c:lineChart>
      <c:catAx>
        <c:axId val="195918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85072"/>
        <c:crosses val="autoZero"/>
        <c:auto val="1"/>
        <c:lblAlgn val="ctr"/>
        <c:lblOffset val="100"/>
        <c:noMultiLvlLbl val="0"/>
      </c:catAx>
      <c:valAx>
        <c:axId val="19591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19050</xdr:rowOff>
    </xdr:from>
    <xdr:to>
      <xdr:col>18</xdr:col>
      <xdr:colOff>323850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8F1B5-463E-4D9B-8533-1546C4D94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161924</xdr:rowOff>
    </xdr:from>
    <xdr:to>
      <xdr:col>20</xdr:col>
      <xdr:colOff>352425</xdr:colOff>
      <xdr:row>37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4D975-55BF-4654-90EE-A3A5A1DF6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66674</xdr:rowOff>
    </xdr:from>
    <xdr:to>
      <xdr:col>33</xdr:col>
      <xdr:colOff>66675</xdr:colOff>
      <xdr:row>30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381F1-5790-4BF9-9525-07305BDD6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1014411</xdr:colOff>
      <xdr:row>13</xdr:row>
      <xdr:rowOff>171450</xdr:rowOff>
    </xdr:from>
    <xdr:to>
      <xdr:col>7</xdr:col>
      <xdr:colOff>1457325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3BCA7-E24E-4AE5-A2AB-DA533A886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ewberry" refreshedDate="44346.683595601855" createdVersion="7" refreshedVersion="7" minRefreshableVersion="3" recordCount="4114" xr:uid="{2FE153EC-FAA7-4770-83F7-148C9F37AD03}">
  <cacheSource type="worksheet">
    <worksheetSource ref="A1:T4115" sheet="KS Data Sheet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16126-E744-411F-9A58-CA6BC26CDE34}" name="PivotTable6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DFBA4-09C2-45A6-B884-1BA5C8D9EA46}" name="PivotTable7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BD672-7EAC-43A8-B3CE-E97DB670E5EF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tabSelected="1" zoomScale="70" zoomScaleNormal="70" workbookViewId="0">
      <selection activeCell="L7" sqref="L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140625" style="11" customWidth="1"/>
    <col min="16" max="16" width="27.42578125" customWidth="1"/>
    <col min="17" max="17" width="13.7109375" customWidth="1"/>
    <col min="18" max="18" width="25.85546875" customWidth="1"/>
    <col min="19" max="19" width="29.140625" customWidth="1"/>
    <col min="20" max="20" width="2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8385</v>
      </c>
      <c r="P1" s="1" t="s">
        <v>8306</v>
      </c>
      <c r="Q1" s="1" t="s">
        <v>8307</v>
      </c>
      <c r="R1" s="1" t="s">
        <v>8308</v>
      </c>
      <c r="S1" s="1" t="s">
        <v>8315</v>
      </c>
      <c r="T1" s="1" t="s">
        <v>8316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>
        <f>E2/L2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587" si="243">RIGHT(N2563,LEN(N2563)-FIND("/",N2563))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>RIGHT(N2588,LEN(N2588)-FIND("/",N2588))</f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ref="R2589:R2652" si="246">RIGHT(N2589,LEN(N2589)-FIND("/",N2589))</f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6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6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6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6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6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6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6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6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6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6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6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6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6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6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6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6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6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6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6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6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6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6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6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6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6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6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6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6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6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6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6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6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6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6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6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6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6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7">E2627/D2627</f>
        <v>9.56</v>
      </c>
      <c r="P2627">
        <f t="shared" ref="P2627:P2690" si="248">E2627/L2627</f>
        <v>27.576923076923077</v>
      </c>
      <c r="Q2627" t="str">
        <f t="shared" ref="Q2627:Q2690" si="249">LEFT(N2627,SEARCH("/",N2627)-1)</f>
        <v>technology</v>
      </c>
      <c r="R2627" t="str">
        <f t="shared" si="246"/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ref="R2653:R2716" si="252">RIGHT(N2653,LEN(N2653)-FIND("/",N2653))</f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52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52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52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52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52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52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52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52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52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52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52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52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2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2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3">E2691/D2691</f>
        <v>2.8571428571428571E-5</v>
      </c>
      <c r="P2691">
        <f t="shared" ref="P2691:P2754" si="254">E2691/L2691</f>
        <v>1</v>
      </c>
      <c r="Q2691" t="str">
        <f t="shared" ref="Q2691:Q2754" si="255">LEFT(N2691,SEARCH("/",N2691)-1)</f>
        <v>food</v>
      </c>
      <c r="R2691" t="str">
        <f t="shared" si="252"/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ref="R2717:R2780" si="258">RIGHT(N2717,LEN(N2717)-FIND("/",N2717))</f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8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8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8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8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8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8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8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8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8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8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8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8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9">E2755/D2755</f>
        <v>0.19</v>
      </c>
      <c r="P2755">
        <f t="shared" ref="P2755:P2818" si="260">E2755/L2755</f>
        <v>47.5</v>
      </c>
      <c r="Q2755" t="str">
        <f t="shared" ref="Q2755:Q2818" si="261">LEFT(N2755,SEARCH("/",N2755)-1)</f>
        <v>publishing</v>
      </c>
      <c r="R2755" t="str">
        <f t="shared" si="258"/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ref="R2781:R2844" si="264">RIGHT(N2781,LEN(N2781)-FIND("/",N2781))</f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4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64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64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64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64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64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64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64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64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64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64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64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64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64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64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5">E2819/D2819</f>
        <v>1.3</v>
      </c>
      <c r="P2819">
        <f t="shared" ref="P2819:P2882" si="266">E2819/L2819</f>
        <v>23.636363636363637</v>
      </c>
      <c r="Q2819" t="str">
        <f t="shared" ref="Q2819:Q2882" si="267">LEFT(N2819,SEARCH("/",N2819)-1)</f>
        <v>theater</v>
      </c>
      <c r="R2819" t="str">
        <f t="shared" si="264"/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ref="R2845:R2908" si="270">RIGHT(N2845,LEN(N2845)-FIND("/",N2845))</f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70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70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70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70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70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70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70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70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70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70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70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70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70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70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70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70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70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70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70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70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70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70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70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1">E2883/D2883</f>
        <v>0</v>
      </c>
      <c r="P2883" t="e">
        <f t="shared" ref="P2883:P2946" si="272">E2883/L2883</f>
        <v>#DIV/0!</v>
      </c>
      <c r="Q2883" t="str">
        <f t="shared" ref="Q2883:Q2946" si="273">LEFT(N2883,SEARCH("/",N2883)-1)</f>
        <v>theater</v>
      </c>
      <c r="R2883" t="str">
        <f t="shared" si="270"/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ref="R2909:R2972" si="276">RIGHT(N2909,LEN(N2909)-FIND("/",N2909))</f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6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6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6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6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6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6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6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6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6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6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6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6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6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6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6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si="276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7">E2947/D2947</f>
        <v>0</v>
      </c>
      <c r="P2947" t="e">
        <f t="shared" ref="P2947:P3010" si="278">E2947/L2947</f>
        <v>#DIV/0!</v>
      </c>
      <c r="Q2947" t="str">
        <f t="shared" ref="Q2947:Q3010" si="279">LEFT(N2947,SEARCH("/",N2947)-1)</f>
        <v>theater</v>
      </c>
      <c r="R2947" t="str">
        <f t="shared" si="276"/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ref="R2973:R3036" si="282">RIGHT(N2973,LEN(N2973)-FIND("/",N2973))</f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82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82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82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82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82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82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82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82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82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82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82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82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82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3">E3011/D3011</f>
        <v>1.19756</v>
      </c>
      <c r="P3011">
        <f t="shared" ref="P3011:P3074" si="284">E3011/L3011</f>
        <v>233.8984375</v>
      </c>
      <c r="Q3011" t="str">
        <f t="shared" ref="Q3011:Q3074" si="285">LEFT(N3011,SEARCH("/",N3011)-1)</f>
        <v>theater</v>
      </c>
      <c r="R3011" t="str">
        <f t="shared" si="282"/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ref="R3037:R3100" si="288">RIGHT(N3037,LEN(N3037)-FIND("/",N3037))</f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8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8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8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8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8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8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8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8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8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8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8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8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8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8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8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8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8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8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8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8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8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si="288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9">E3075/D3075</f>
        <v>2.3035714285714285E-4</v>
      </c>
      <c r="P3075">
        <f t="shared" ref="P3075:P3138" si="290">E3075/L3075</f>
        <v>92.142857142857139</v>
      </c>
      <c r="Q3075" t="str">
        <f t="shared" ref="Q3075:Q3138" si="291">LEFT(N3075,SEARCH("/",N3075)-1)</f>
        <v>theater</v>
      </c>
      <c r="R3075" t="str">
        <f t="shared" si="288"/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ref="R3101:R3164" si="294">RIGHT(N3101,LEN(N3101)-FIND("/",N3101))</f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94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94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94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94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94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94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94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94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94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94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4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94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94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94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94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94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94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94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94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94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4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4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94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94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94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94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94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94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5">E3139/D3139</f>
        <v>3.3333333333333333E-2</v>
      </c>
      <c r="P3139">
        <f t="shared" ref="P3139:P3202" si="296">E3139/L3139</f>
        <v>50</v>
      </c>
      <c r="Q3139" t="str">
        <f t="shared" ref="Q3139:Q3202" si="297">LEFT(N3139,SEARCH("/",N3139)-1)</f>
        <v>theater</v>
      </c>
      <c r="R3139" t="str">
        <f t="shared" si="294"/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ref="R3165:R3228" si="300">RIGHT(N3165,LEN(N3165)-FIND("/",N3165))</f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300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300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300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300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300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300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300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300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300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300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300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300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300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si="300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1">E3203/D3203</f>
        <v>1.2500000000000001E-2</v>
      </c>
      <c r="P3203">
        <f t="shared" ref="P3203:P3266" si="302">E3203/L3203</f>
        <v>12.5</v>
      </c>
      <c r="Q3203" t="str">
        <f t="shared" ref="Q3203:Q3266" si="303">LEFT(N3203,SEARCH("/",N3203)-1)</f>
        <v>theater</v>
      </c>
      <c r="R3203" t="str">
        <f t="shared" si="300"/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ref="R3229:R3292" si="306">RIGHT(N3229,LEN(N3229)-FIND("/",N3229))</f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6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6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6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6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6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6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6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6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6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6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6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6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7">E3267/D3267</f>
        <v>1.64</v>
      </c>
      <c r="P3267">
        <f t="shared" ref="P3267:P3330" si="308">E3267/L3267</f>
        <v>70.285714285714292</v>
      </c>
      <c r="Q3267" t="str">
        <f t="shared" ref="Q3267:Q3330" si="309">LEFT(N3267,SEARCH("/",N3267)-1)</f>
        <v>theater</v>
      </c>
      <c r="R3267" t="str">
        <f t="shared" si="306"/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ref="R3293:R3356" si="312">RIGHT(N3293,LEN(N3293)-FIND("/",N3293))</f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12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12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12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12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12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12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12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12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12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12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12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12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12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12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12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12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12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12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12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3">E3331/D3331</f>
        <v>1.1679999999999999</v>
      </c>
      <c r="P3331">
        <f t="shared" ref="P3331:P3394" si="314">E3331/L3331</f>
        <v>44.92307692307692</v>
      </c>
      <c r="Q3331" t="str">
        <f t="shared" ref="Q3331:Q3394" si="315">LEFT(N3331,SEARCH("/",N3331)-1)</f>
        <v>theater</v>
      </c>
      <c r="R3331" t="str">
        <f t="shared" si="312"/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ref="R3357:R3420" si="318">RIGHT(N3357,LEN(N3357)-FIND("/",N3357))</f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8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8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8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8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8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8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8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8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8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8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9">E3395/D3395</f>
        <v>1.0580000000000001</v>
      </c>
      <c r="P3395">
        <f t="shared" ref="P3395:P3458" si="320">E3395/L3395</f>
        <v>36.06818181818182</v>
      </c>
      <c r="Q3395" t="str">
        <f t="shared" ref="Q3395:Q3458" si="321">LEFT(N3395,SEARCH("/",N3395)-1)</f>
        <v>theater</v>
      </c>
      <c r="R3395" t="str">
        <f t="shared" si="318"/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ref="R3421:R3484" si="324">RIGHT(N3421,LEN(N3421)-FIND("/",N3421))</f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24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24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24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24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24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24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24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24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24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24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24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24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24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24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24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24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24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5">E3459/D3459</f>
        <v>1.4019999999999999</v>
      </c>
      <c r="P3459">
        <f t="shared" ref="P3459:P3522" si="326">E3459/L3459</f>
        <v>50.981818181818184</v>
      </c>
      <c r="Q3459" t="str">
        <f t="shared" ref="Q3459:Q3522" si="327">LEFT(N3459,SEARCH("/",N3459)-1)</f>
        <v>theater</v>
      </c>
      <c r="R3459" t="str">
        <f t="shared" si="324"/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ref="R3485:R3548" si="330">RIGHT(N3485,LEN(N3485)-FIND("/",N3485))</f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30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30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30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30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30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30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30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30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30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30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30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30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30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30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30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1">E3523/D3523</f>
        <v>1.6942857142857144</v>
      </c>
      <c r="P3523">
        <f t="shared" ref="P3523:P3586" si="332">E3523/L3523</f>
        <v>45.615384615384613</v>
      </c>
      <c r="Q3523" t="str">
        <f t="shared" ref="Q3523:Q3586" si="333">LEFT(N3523,SEARCH("/",N3523)-1)</f>
        <v>theater</v>
      </c>
      <c r="R3523" t="str">
        <f t="shared" si="330"/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ref="R3549:R3612" si="336">RIGHT(N3549,LEN(N3549)-FIND("/",N3549))</f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6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6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6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6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6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6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6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6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6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6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6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7">E3587/D3587</f>
        <v>1.1911764705882353</v>
      </c>
      <c r="P3587">
        <f t="shared" ref="P3587:P3650" si="338">E3587/L3587</f>
        <v>176.08695652173913</v>
      </c>
      <c r="Q3587" t="str">
        <f t="shared" ref="Q3587:Q3650" si="339">LEFT(N3587,SEARCH("/",N3587)-1)</f>
        <v>theater</v>
      </c>
      <c r="R3587" t="str">
        <f t="shared" si="336"/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ref="R3613:R3676" si="342">RIGHT(N3613,LEN(N3613)-FIND("/",N3613))</f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42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42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42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42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42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42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42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42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42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2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42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42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42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2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42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42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2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42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2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42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42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3">E3651/D3651</f>
        <v>1.04</v>
      </c>
      <c r="P3651">
        <f t="shared" ref="P3651:P3714" si="344">E3651/L3651</f>
        <v>97.5</v>
      </c>
      <c r="Q3651" t="str">
        <f t="shared" ref="Q3651:Q3714" si="345">LEFT(N3651,SEARCH("/",N3651)-1)</f>
        <v>theater</v>
      </c>
      <c r="R3651" t="str">
        <f t="shared" si="342"/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ref="R3677:R3740" si="348">RIGHT(N3677,LEN(N3677)-FIND("/",N3677))</f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8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8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8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8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8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8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8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8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8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8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8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8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8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9">E3715/D3715</f>
        <v>1.0149999999999999</v>
      </c>
      <c r="P3715">
        <f t="shared" ref="P3715:P3778" si="350">E3715/L3715</f>
        <v>106.84210526315789</v>
      </c>
      <c r="Q3715" t="str">
        <f t="shared" ref="Q3715:Q3778" si="351">LEFT(N3715,SEARCH("/",N3715)-1)</f>
        <v>theater</v>
      </c>
      <c r="R3715" t="str">
        <f t="shared" si="348"/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ref="R3741:R3804" si="354">RIGHT(N3741,LEN(N3741)-FIND("/",N3741))</f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54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4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54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4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4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54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54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54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54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54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54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5">E3779/D3779</f>
        <v>1.4319999999999999</v>
      </c>
      <c r="P3779">
        <f t="shared" ref="P3779:P3842" si="356">E3779/L3779</f>
        <v>48.542372881355931</v>
      </c>
      <c r="Q3779" t="str">
        <f t="shared" ref="Q3779:Q3842" si="357">LEFT(N3779,SEARCH("/",N3779)-1)</f>
        <v>theater</v>
      </c>
      <c r="R3779" t="str">
        <f t="shared" si="354"/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ref="R3805:R3868" si="360">RIGHT(N3805,LEN(N3805)-FIND("/",N3805))</f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60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60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60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60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60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60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60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60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60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60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60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60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60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60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60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60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60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1">E3843/D3843</f>
        <v>8.72E-2</v>
      </c>
      <c r="P3843">
        <f t="shared" ref="P3843:P3906" si="362">E3843/L3843</f>
        <v>25.647058823529413</v>
      </c>
      <c r="Q3843" t="str">
        <f t="shared" ref="Q3843:Q3906" si="363">LEFT(N3843,SEARCH("/",N3843)-1)</f>
        <v>theater</v>
      </c>
      <c r="R3843" t="str">
        <f t="shared" si="360"/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ref="R3869:R3932" si="366">RIGHT(N3869,LEN(N3869)-FIND("/",N3869))</f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6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6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6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6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6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6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6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6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6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6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6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6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6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6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6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6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6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6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6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6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6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6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6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6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6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6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6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si="366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7">E3907/D3907</f>
        <v>0.11533333333333333</v>
      </c>
      <c r="P3907">
        <f t="shared" ref="P3907:P3970" si="368">E3907/L3907</f>
        <v>24.714285714285715</v>
      </c>
      <c r="Q3907" t="str">
        <f t="shared" ref="Q3907:Q3970" si="369">LEFT(N3907,SEARCH("/",N3907)-1)</f>
        <v>theater</v>
      </c>
      <c r="R3907" t="str">
        <f t="shared" si="366"/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ref="R3933:R3996" si="372">RIGHT(N3933,LEN(N3933)-FIND("/",N3933))</f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72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72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72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72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2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72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72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72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72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2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2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72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72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72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2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72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72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72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2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2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72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2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72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72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72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72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2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72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72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72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72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3">E3971/D3971</f>
        <v>7.4690265486725665E-2</v>
      </c>
      <c r="P3971">
        <f t="shared" ref="P3971:P4034" si="374">E3971/L3971</f>
        <v>35.166666666666664</v>
      </c>
      <c r="Q3971" t="str">
        <f t="shared" ref="Q3971:Q4034" si="375">LEFT(N3971,SEARCH("/",N3971)-1)</f>
        <v>theater</v>
      </c>
      <c r="R3971" t="str">
        <f t="shared" si="372"/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ref="R3997:R4060" si="378">RIGHT(N3997,LEN(N3997)-FIND("/",N3997))</f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8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8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8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8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8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8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8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8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8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8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8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8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8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8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8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8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8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8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8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8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8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8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8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8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8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8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8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8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9">E4035/D4035</f>
        <v>0.25698702928870293</v>
      </c>
      <c r="P4035">
        <f t="shared" ref="P4035:P4098" si="380">E4035/L4035</f>
        <v>65.340319148936175</v>
      </c>
      <c r="Q4035" t="str">
        <f t="shared" ref="Q4035:Q4098" si="381">LEFT(N4035,SEARCH("/",N4035)-1)</f>
        <v>theater</v>
      </c>
      <c r="R4035" t="str">
        <f t="shared" si="378"/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ref="R4061:R4115" si="384">RIGHT(N4061,LEN(N4061)-FIND("/",N4061))</f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84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4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84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84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84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84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84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84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84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4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84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84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84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4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84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4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84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4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84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84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84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84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84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4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84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84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84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84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84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84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5">E4099/D4099</f>
        <v>0</v>
      </c>
      <c r="P4099" t="e">
        <f t="shared" ref="P4099:P4115" si="386">E4099/L4099</f>
        <v>#DIV/0!</v>
      </c>
      <c r="Q4099" t="str">
        <f t="shared" ref="Q4099:Q4115" si="387">LEFT(N4099,SEARCH("/",N4099)-1)</f>
        <v>theater</v>
      </c>
      <c r="R4099" t="str">
        <f t="shared" si="384"/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42358.573182870372</v>
      </c>
      <c r="T4115" s="9">
        <f t="shared" si="389"/>
        <v>42377.273611111115</v>
      </c>
    </row>
    <row r="1048576" spans="15:15" x14ac:dyDescent="0.25">
      <c r="O1048576" s="11">
        <f>COUNT(O2:O1048575)</f>
        <v>4114</v>
      </c>
    </row>
  </sheetData>
  <conditionalFormatting sqref="F1:F1048576">
    <cfRule type="containsText" dxfId="5" priority="1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8" operator="containsText" text="canceled">
      <formula>NOT(ISERROR(SEARCH("canceled",F1)))</formula>
    </cfRule>
    <cfRule type="containsText" dxfId="2" priority="10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0F57-F923-4A12-B5FB-E3D192FD05DE}">
  <dimension ref="A1:F14"/>
  <sheetViews>
    <sheetView workbookViewId="0">
      <selection activeCell="E19" sqref="E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8311</v>
      </c>
    </row>
    <row r="3" spans="1:6" x14ac:dyDescent="0.25">
      <c r="A3" s="5" t="s">
        <v>8338</v>
      </c>
      <c r="B3" s="5" t="s">
        <v>8313</v>
      </c>
    </row>
    <row r="4" spans="1:6" x14ac:dyDescent="0.25">
      <c r="A4" s="5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5">
      <c r="A5" s="6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6" t="s">
        <v>8329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6" t="s">
        <v>8330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6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6" t="s">
        <v>8332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6" t="s">
        <v>8333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6" t="s">
        <v>8334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6" t="s">
        <v>8335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6" t="s">
        <v>8336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6" t="s">
        <v>8310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E04A4-6420-444F-A21E-18CE37F839AD}">
  <dimension ref="A1:F47"/>
  <sheetViews>
    <sheetView topLeftCell="B13" workbookViewId="0">
      <selection activeCell="F15" sqref="F1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8311</v>
      </c>
    </row>
    <row r="2" spans="1:6" x14ac:dyDescent="0.25">
      <c r="A2" s="5" t="s">
        <v>8307</v>
      </c>
      <c r="B2" t="s">
        <v>8311</v>
      </c>
    </row>
    <row r="4" spans="1:6" x14ac:dyDescent="0.25">
      <c r="A4" s="5" t="s">
        <v>8342</v>
      </c>
      <c r="B4" s="5" t="s">
        <v>8313</v>
      </c>
    </row>
    <row r="5" spans="1:6" x14ac:dyDescent="0.25">
      <c r="A5" s="5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6" t="s">
        <v>8386</v>
      </c>
      <c r="B6" s="8">
        <v>140</v>
      </c>
      <c r="C6" s="8"/>
      <c r="D6" s="8"/>
      <c r="E6" s="8"/>
      <c r="F6" s="8">
        <v>140</v>
      </c>
    </row>
    <row r="7" spans="1:6" x14ac:dyDescent="0.25">
      <c r="A7" s="6" t="s">
        <v>8339</v>
      </c>
      <c r="B7" s="8">
        <v>694</v>
      </c>
      <c r="C7" s="8">
        <v>19</v>
      </c>
      <c r="D7" s="8">
        <v>353</v>
      </c>
      <c r="E7" s="8"/>
      <c r="F7" s="8">
        <v>1066</v>
      </c>
    </row>
    <row r="8" spans="1:6" x14ac:dyDescent="0.25">
      <c r="A8" s="6" t="s">
        <v>8340</v>
      </c>
      <c r="B8" s="8">
        <v>40</v>
      </c>
      <c r="C8" s="8"/>
      <c r="D8" s="8"/>
      <c r="E8" s="8"/>
      <c r="F8" s="8">
        <v>40</v>
      </c>
    </row>
    <row r="9" spans="1:6" x14ac:dyDescent="0.25">
      <c r="A9" s="6" t="s">
        <v>8341</v>
      </c>
      <c r="B9" s="8">
        <v>60</v>
      </c>
      <c r="C9" s="8"/>
      <c r="D9" s="8"/>
      <c r="E9" s="8"/>
      <c r="F9" s="8">
        <v>60</v>
      </c>
    </row>
    <row r="10" spans="1:6" x14ac:dyDescent="0.25">
      <c r="A10" s="6" t="s">
        <v>8343</v>
      </c>
      <c r="B10" s="8">
        <v>60</v>
      </c>
      <c r="C10" s="8"/>
      <c r="D10" s="8"/>
      <c r="E10" s="8"/>
      <c r="F10" s="8">
        <v>60</v>
      </c>
    </row>
    <row r="11" spans="1:6" x14ac:dyDescent="0.25">
      <c r="A11" s="6" t="s">
        <v>8344</v>
      </c>
      <c r="B11" s="8"/>
      <c r="C11" s="8"/>
      <c r="D11" s="8"/>
      <c r="E11" s="8">
        <v>40</v>
      </c>
      <c r="F11" s="8">
        <v>40</v>
      </c>
    </row>
    <row r="12" spans="1:6" x14ac:dyDescent="0.25">
      <c r="A12" s="6" t="s">
        <v>8345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6" t="s">
        <v>8346</v>
      </c>
      <c r="B13" s="8">
        <v>180</v>
      </c>
      <c r="C13" s="8"/>
      <c r="D13" s="8"/>
      <c r="E13" s="8"/>
      <c r="F13" s="8">
        <v>180</v>
      </c>
    </row>
    <row r="14" spans="1:6" x14ac:dyDescent="0.25">
      <c r="A14" s="6" t="s">
        <v>8347</v>
      </c>
      <c r="B14" s="8"/>
      <c r="C14" s="8"/>
      <c r="D14" s="8">
        <v>100</v>
      </c>
      <c r="E14" s="8"/>
      <c r="F14" s="8">
        <v>100</v>
      </c>
    </row>
    <row r="15" spans="1:6" x14ac:dyDescent="0.25">
      <c r="A15" s="6" t="s">
        <v>8387</v>
      </c>
      <c r="B15" s="8"/>
      <c r="C15" s="8"/>
      <c r="D15" s="8">
        <v>60</v>
      </c>
      <c r="E15" s="8">
        <v>100</v>
      </c>
      <c r="F15" s="8">
        <v>160</v>
      </c>
    </row>
    <row r="16" spans="1:6" x14ac:dyDescent="0.25">
      <c r="A16" s="6" t="s">
        <v>8388</v>
      </c>
      <c r="B16" s="8">
        <v>20</v>
      </c>
      <c r="C16" s="8"/>
      <c r="D16" s="8">
        <v>120</v>
      </c>
      <c r="E16" s="8">
        <v>60</v>
      </c>
      <c r="F16" s="8">
        <v>200</v>
      </c>
    </row>
    <row r="17" spans="1:6" x14ac:dyDescent="0.25">
      <c r="A17" s="6" t="s">
        <v>8389</v>
      </c>
      <c r="B17" s="8">
        <v>60</v>
      </c>
      <c r="C17" s="8"/>
      <c r="D17" s="8"/>
      <c r="E17" s="8"/>
      <c r="F17" s="8">
        <v>60</v>
      </c>
    </row>
    <row r="18" spans="1:6" x14ac:dyDescent="0.25">
      <c r="A18" s="6" t="s">
        <v>8390</v>
      </c>
      <c r="B18" s="8"/>
      <c r="C18" s="8"/>
      <c r="D18" s="8">
        <v>40</v>
      </c>
      <c r="E18" s="8"/>
      <c r="F18" s="8">
        <v>40</v>
      </c>
    </row>
    <row r="19" spans="1:6" x14ac:dyDescent="0.25">
      <c r="A19" s="6" t="s">
        <v>8348</v>
      </c>
      <c r="B19" s="8">
        <v>260</v>
      </c>
      <c r="C19" s="8"/>
      <c r="D19" s="8"/>
      <c r="E19" s="8"/>
      <c r="F19" s="8">
        <v>260</v>
      </c>
    </row>
    <row r="20" spans="1:6" x14ac:dyDescent="0.25">
      <c r="A20" s="6" t="s">
        <v>8349</v>
      </c>
      <c r="B20" s="8">
        <v>20</v>
      </c>
      <c r="C20" s="8"/>
      <c r="D20" s="8"/>
      <c r="E20" s="8"/>
      <c r="F20" s="8">
        <v>20</v>
      </c>
    </row>
    <row r="21" spans="1:6" x14ac:dyDescent="0.25">
      <c r="A21" s="6" t="s">
        <v>8350</v>
      </c>
      <c r="B21" s="8"/>
      <c r="C21" s="8"/>
      <c r="D21" s="8">
        <v>60</v>
      </c>
      <c r="E21" s="8"/>
      <c r="F21" s="8">
        <v>60</v>
      </c>
    </row>
    <row r="22" spans="1:6" x14ac:dyDescent="0.25">
      <c r="A22" s="6" t="s">
        <v>8351</v>
      </c>
      <c r="B22" s="8">
        <v>140</v>
      </c>
      <c r="C22" s="8"/>
      <c r="D22" s="8">
        <v>20</v>
      </c>
      <c r="E22" s="8"/>
      <c r="F22" s="8">
        <v>160</v>
      </c>
    </row>
    <row r="23" spans="1:6" x14ac:dyDescent="0.25">
      <c r="A23" s="6" t="s">
        <v>8352</v>
      </c>
      <c r="B23" s="8">
        <v>40</v>
      </c>
      <c r="C23" s="8"/>
      <c r="D23" s="8"/>
      <c r="E23" s="8"/>
      <c r="F23" s="8">
        <v>40</v>
      </c>
    </row>
    <row r="24" spans="1:6" x14ac:dyDescent="0.25">
      <c r="A24" s="6" t="s">
        <v>8391</v>
      </c>
      <c r="B24" s="8"/>
      <c r="C24" s="8"/>
      <c r="D24" s="8"/>
      <c r="E24" s="8">
        <v>24</v>
      </c>
      <c r="F24" s="8">
        <v>24</v>
      </c>
    </row>
    <row r="25" spans="1:6" x14ac:dyDescent="0.25">
      <c r="A25" s="6" t="s">
        <v>8392</v>
      </c>
      <c r="B25" s="8"/>
      <c r="C25" s="8"/>
      <c r="D25" s="8">
        <v>100</v>
      </c>
      <c r="E25" s="8"/>
      <c r="F25" s="8">
        <v>100</v>
      </c>
    </row>
    <row r="26" spans="1:6" x14ac:dyDescent="0.25">
      <c r="A26" s="6" t="s">
        <v>8393</v>
      </c>
      <c r="B26" s="8"/>
      <c r="C26" s="8"/>
      <c r="D26" s="8">
        <v>40</v>
      </c>
      <c r="E26" s="8"/>
      <c r="F26" s="8">
        <v>40</v>
      </c>
    </row>
    <row r="27" spans="1:6" x14ac:dyDescent="0.25">
      <c r="A27" s="6" t="s">
        <v>8394</v>
      </c>
      <c r="B27" s="8"/>
      <c r="C27" s="8"/>
      <c r="D27" s="8">
        <v>120</v>
      </c>
      <c r="E27" s="8">
        <v>20</v>
      </c>
      <c r="F27" s="8">
        <v>140</v>
      </c>
    </row>
    <row r="28" spans="1:6" x14ac:dyDescent="0.25">
      <c r="A28" s="6" t="s">
        <v>8395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6" t="s">
        <v>8353</v>
      </c>
      <c r="B29" s="8"/>
      <c r="C29" s="8"/>
      <c r="D29" s="8"/>
      <c r="E29" s="8">
        <v>20</v>
      </c>
      <c r="F29" s="8">
        <v>20</v>
      </c>
    </row>
    <row r="30" spans="1:6" x14ac:dyDescent="0.25">
      <c r="A30" s="6" t="s">
        <v>8396</v>
      </c>
      <c r="B30" s="8"/>
      <c r="C30" s="8"/>
      <c r="D30" s="8">
        <v>47</v>
      </c>
      <c r="E30" s="8">
        <v>10</v>
      </c>
      <c r="F30" s="8">
        <v>57</v>
      </c>
    </row>
    <row r="31" spans="1:6" x14ac:dyDescent="0.25">
      <c r="A31" s="6" t="s">
        <v>8397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6" t="s">
        <v>8398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6" t="s">
        <v>8399</v>
      </c>
      <c r="B33" s="8"/>
      <c r="C33" s="8"/>
      <c r="D33" s="8"/>
      <c r="E33" s="8">
        <v>20</v>
      </c>
      <c r="F33" s="8">
        <v>20</v>
      </c>
    </row>
    <row r="34" spans="1:6" x14ac:dyDescent="0.25">
      <c r="A34" s="6" t="s">
        <v>8400</v>
      </c>
      <c r="B34" s="8"/>
      <c r="C34" s="8"/>
      <c r="D34" s="8">
        <v>20</v>
      </c>
      <c r="E34" s="8"/>
      <c r="F34" s="8">
        <v>20</v>
      </c>
    </row>
    <row r="35" spans="1:6" x14ac:dyDescent="0.25">
      <c r="A35" s="6" t="s">
        <v>8354</v>
      </c>
      <c r="B35" s="8"/>
      <c r="C35" s="8">
        <v>20</v>
      </c>
      <c r="D35" s="8">
        <v>40</v>
      </c>
      <c r="E35" s="8"/>
      <c r="F35" s="8">
        <v>60</v>
      </c>
    </row>
    <row r="36" spans="1:6" x14ac:dyDescent="0.25">
      <c r="A36" s="6" t="s">
        <v>8401</v>
      </c>
      <c r="B36" s="8"/>
      <c r="C36" s="8"/>
      <c r="D36" s="8">
        <v>20</v>
      </c>
      <c r="E36" s="8"/>
      <c r="F36" s="8">
        <v>20</v>
      </c>
    </row>
    <row r="37" spans="1:6" x14ac:dyDescent="0.25">
      <c r="A37" s="6" t="s">
        <v>8402</v>
      </c>
      <c r="B37" s="8"/>
      <c r="C37" s="8"/>
      <c r="D37" s="8">
        <v>20</v>
      </c>
      <c r="E37" s="8"/>
      <c r="F37" s="8">
        <v>20</v>
      </c>
    </row>
    <row r="38" spans="1:6" x14ac:dyDescent="0.25">
      <c r="A38" s="6" t="s">
        <v>8403</v>
      </c>
      <c r="B38" s="8">
        <v>80</v>
      </c>
      <c r="C38" s="8"/>
      <c r="D38" s="8"/>
      <c r="E38" s="8"/>
      <c r="F38" s="8">
        <v>80</v>
      </c>
    </row>
    <row r="39" spans="1:6" x14ac:dyDescent="0.25">
      <c r="A39" s="6" t="s">
        <v>8404</v>
      </c>
      <c r="B39" s="8">
        <v>34</v>
      </c>
      <c r="C39" s="8">
        <v>6</v>
      </c>
      <c r="D39" s="8"/>
      <c r="E39" s="8"/>
      <c r="F39" s="8">
        <v>40</v>
      </c>
    </row>
    <row r="40" spans="1:6" x14ac:dyDescent="0.25">
      <c r="A40" s="6" t="s">
        <v>8405</v>
      </c>
      <c r="B40" s="8"/>
      <c r="C40" s="8"/>
      <c r="D40" s="8">
        <v>20</v>
      </c>
      <c r="E40" s="8"/>
      <c r="F40" s="8">
        <v>20</v>
      </c>
    </row>
    <row r="41" spans="1:6" x14ac:dyDescent="0.25">
      <c r="A41" s="6" t="s">
        <v>8355</v>
      </c>
      <c r="B41" s="8">
        <v>40</v>
      </c>
      <c r="C41" s="8"/>
      <c r="D41" s="8"/>
      <c r="E41" s="8"/>
      <c r="F41" s="8">
        <v>40</v>
      </c>
    </row>
    <row r="42" spans="1:6" x14ac:dyDescent="0.25">
      <c r="A42" s="6" t="s">
        <v>8406</v>
      </c>
      <c r="B42" s="8">
        <v>40</v>
      </c>
      <c r="C42" s="8"/>
      <c r="D42" s="8">
        <v>2</v>
      </c>
      <c r="E42" s="8">
        <v>18</v>
      </c>
      <c r="F42" s="8">
        <v>60</v>
      </c>
    </row>
    <row r="43" spans="1:6" x14ac:dyDescent="0.25">
      <c r="A43" s="6" t="s">
        <v>8407</v>
      </c>
      <c r="B43" s="8">
        <v>9</v>
      </c>
      <c r="C43" s="8"/>
      <c r="D43" s="8">
        <v>11</v>
      </c>
      <c r="E43" s="8"/>
      <c r="F43" s="8">
        <v>20</v>
      </c>
    </row>
    <row r="44" spans="1:6" x14ac:dyDescent="0.25">
      <c r="A44" s="6" t="s">
        <v>8356</v>
      </c>
      <c r="B44" s="8">
        <v>85</v>
      </c>
      <c r="C44" s="8">
        <v>5</v>
      </c>
      <c r="D44" s="8">
        <v>80</v>
      </c>
      <c r="E44" s="8">
        <v>17</v>
      </c>
      <c r="F44" s="8">
        <v>187</v>
      </c>
    </row>
    <row r="45" spans="1:6" x14ac:dyDescent="0.25">
      <c r="A45" s="6" t="s">
        <v>8408</v>
      </c>
      <c r="B45" s="8"/>
      <c r="C45" s="8"/>
      <c r="D45" s="8">
        <v>40</v>
      </c>
      <c r="E45" s="8"/>
      <c r="F45" s="8">
        <v>40</v>
      </c>
    </row>
    <row r="46" spans="1:6" x14ac:dyDescent="0.25">
      <c r="A46" s="6" t="s">
        <v>8357</v>
      </c>
      <c r="B46" s="8">
        <v>60</v>
      </c>
      <c r="C46" s="8"/>
      <c r="D46" s="8">
        <v>60</v>
      </c>
      <c r="E46" s="8">
        <v>20</v>
      </c>
      <c r="F46" s="8">
        <v>140</v>
      </c>
    </row>
    <row r="47" spans="1:6" x14ac:dyDescent="0.25">
      <c r="A47" s="6" t="s">
        <v>8310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3063-0315-4E77-B828-D2D8D9662740}">
  <dimension ref="A1:E18"/>
  <sheetViews>
    <sheetView workbookViewId="0">
      <selection activeCell="D17" sqref="D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7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0" bestFit="1" customWidth="1"/>
    <col min="28" max="28" width="8.570312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1.5703125" bestFit="1" customWidth="1"/>
    <col min="41" max="41" width="12.28515625" bestFit="1" customWidth="1"/>
    <col min="42" max="42" width="4.28515625" bestFit="1" customWidth="1"/>
    <col min="43" max="43" width="4.5703125" bestFit="1" customWidth="1"/>
    <col min="44" max="44" width="4.140625" bestFit="1" customWidth="1"/>
    <col min="45" max="45" width="3.42578125" bestFit="1" customWidth="1"/>
    <col min="46" max="46" width="4.42578125" bestFit="1" customWidth="1"/>
    <col min="47" max="47" width="4" bestFit="1" customWidth="1"/>
    <col min="48" max="48" width="4.5703125" bestFit="1" customWidth="1"/>
    <col min="49" max="49" width="15.42578125" bestFit="1" customWidth="1"/>
    <col min="50" max="50" width="8" bestFit="1" customWidth="1"/>
    <col min="51" max="51" width="4.28515625" bestFit="1" customWidth="1"/>
    <col min="52" max="52" width="4.5703125" bestFit="1" customWidth="1"/>
    <col min="53" max="53" width="4.140625" bestFit="1" customWidth="1"/>
    <col min="54" max="54" width="4.85546875" bestFit="1" customWidth="1"/>
    <col min="55" max="55" width="4" bestFit="1" customWidth="1"/>
    <col min="56" max="56" width="3.42578125" bestFit="1" customWidth="1"/>
    <col min="57" max="57" width="4.42578125" bestFit="1" customWidth="1"/>
    <col min="58" max="58" width="4.28515625" bestFit="1" customWidth="1"/>
    <col min="59" max="59" width="4" bestFit="1" customWidth="1"/>
    <col min="60" max="60" width="4.5703125" bestFit="1" customWidth="1"/>
    <col min="61" max="61" width="4.28515625" bestFit="1" customWidth="1"/>
    <col min="62" max="62" width="11" bestFit="1" customWidth="1"/>
    <col min="63" max="63" width="14.140625" bestFit="1" customWidth="1"/>
    <col min="64" max="64" width="4.28515625" bestFit="1" customWidth="1"/>
    <col min="65" max="65" width="4.5703125" bestFit="1" customWidth="1"/>
    <col min="66" max="66" width="4.140625" bestFit="1" customWidth="1"/>
    <col min="67" max="67" width="4.85546875" bestFit="1" customWidth="1"/>
    <col min="68" max="68" width="4" bestFit="1" customWidth="1"/>
    <col min="69" max="69" width="3.42578125" bestFit="1" customWidth="1"/>
    <col min="70" max="70" width="4.42578125" bestFit="1" customWidth="1"/>
    <col min="71" max="71" width="4.28515625" bestFit="1" customWidth="1"/>
    <col min="72" max="72" width="4" bestFit="1" customWidth="1"/>
    <col min="73" max="73" width="4.5703125" bestFit="1" customWidth="1"/>
    <col min="74" max="74" width="4.28515625" bestFit="1" customWidth="1"/>
    <col min="75" max="75" width="17.42578125" bestFit="1" customWidth="1"/>
    <col min="76" max="76" width="12.140625" bestFit="1" customWidth="1"/>
    <col min="77" max="77" width="4.28515625" bestFit="1" customWidth="1"/>
    <col min="78" max="78" width="4.5703125" bestFit="1" customWidth="1"/>
    <col min="79" max="79" width="4.140625" bestFit="1" customWidth="1"/>
    <col min="80" max="80" width="4.85546875" bestFit="1" customWidth="1"/>
    <col min="81" max="81" width="4" bestFit="1" customWidth="1"/>
    <col min="82" max="82" width="3.42578125" bestFit="1" customWidth="1"/>
    <col min="83" max="83" width="4.42578125" bestFit="1" customWidth="1"/>
    <col min="84" max="84" width="4.28515625" bestFit="1" customWidth="1"/>
    <col min="85" max="85" width="4" bestFit="1" customWidth="1"/>
    <col min="86" max="86" width="4.5703125" bestFit="1" customWidth="1"/>
    <col min="87" max="87" width="4.28515625" bestFit="1" customWidth="1"/>
    <col min="88" max="88" width="15.28515625" bestFit="1" customWidth="1"/>
    <col min="89" max="89" width="12.7109375" bestFit="1" customWidth="1"/>
    <col min="90" max="90" width="4.28515625" bestFit="1" customWidth="1"/>
    <col min="91" max="91" width="4.5703125" bestFit="1" customWidth="1"/>
    <col min="92" max="92" width="4.140625" bestFit="1" customWidth="1"/>
    <col min="93" max="93" width="4.85546875" bestFit="1" customWidth="1"/>
    <col min="94" max="94" width="4" bestFit="1" customWidth="1"/>
    <col min="95" max="95" width="3.42578125" bestFit="1" customWidth="1"/>
    <col min="96" max="96" width="4.42578125" bestFit="1" customWidth="1"/>
    <col min="97" max="97" width="4.28515625" bestFit="1" customWidth="1"/>
    <col min="98" max="98" width="4" bestFit="1" customWidth="1"/>
    <col min="99" max="99" width="4.5703125" bestFit="1" customWidth="1"/>
    <col min="100" max="100" width="4.28515625" bestFit="1" customWidth="1"/>
    <col min="101" max="101" width="15.85546875" bestFit="1" customWidth="1"/>
    <col min="102" max="102" width="9.42578125" bestFit="1" customWidth="1"/>
    <col min="103" max="103" width="4.28515625" bestFit="1" customWidth="1"/>
    <col min="104" max="104" width="4.5703125" bestFit="1" customWidth="1"/>
    <col min="105" max="105" width="4.140625" bestFit="1" customWidth="1"/>
    <col min="106" max="106" width="4.85546875" bestFit="1" customWidth="1"/>
    <col min="107" max="108" width="4" bestFit="1" customWidth="1"/>
    <col min="109" max="109" width="4.42578125" bestFit="1" customWidth="1"/>
    <col min="110" max="110" width="4.28515625" bestFit="1" customWidth="1"/>
    <col min="111" max="111" width="4" bestFit="1" customWidth="1"/>
    <col min="112" max="112" width="4.5703125" bestFit="1" customWidth="1"/>
    <col min="113" max="113" width="4.28515625" bestFit="1" customWidth="1"/>
    <col min="114" max="114" width="12.42578125" bestFit="1" customWidth="1"/>
    <col min="115" max="115" width="11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5" t="s">
        <v>8307</v>
      </c>
      <c r="B1" t="s">
        <v>8311</v>
      </c>
    </row>
    <row r="2" spans="1:5" x14ac:dyDescent="0.25">
      <c r="A2" s="5" t="s">
        <v>8337</v>
      </c>
      <c r="B2" t="s">
        <v>8311</v>
      </c>
    </row>
    <row r="4" spans="1:5" x14ac:dyDescent="0.25">
      <c r="A4" s="5" t="s">
        <v>8312</v>
      </c>
      <c r="B4" s="5" t="s">
        <v>8313</v>
      </c>
    </row>
    <row r="5" spans="1:5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7" t="s">
        <v>8323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8324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8325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8326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8317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8327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8318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8319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8320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8321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8322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8328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30C7-4B03-454B-B979-4F25A62B3A2B}">
  <dimension ref="A1:H13"/>
  <sheetViews>
    <sheetView workbookViewId="0">
      <selection activeCell="I5" sqref="I5"/>
    </sheetView>
  </sheetViews>
  <sheetFormatPr defaultRowHeight="15" x14ac:dyDescent="0.25"/>
  <cols>
    <col min="1" max="1" width="24.85546875" customWidth="1"/>
    <col min="2" max="2" width="19.5703125" customWidth="1"/>
    <col min="3" max="3" width="15.5703125" customWidth="1"/>
    <col min="4" max="4" width="17.5703125" customWidth="1"/>
    <col min="5" max="5" width="15.42578125" customWidth="1"/>
    <col min="6" max="6" width="16.140625" style="12" customWidth="1"/>
    <col min="7" max="7" width="16.42578125" style="13" customWidth="1"/>
    <col min="8" max="8" width="22.140625" customWidth="1"/>
    <col min="9" max="9" width="24.5703125" customWidth="1"/>
  </cols>
  <sheetData>
    <row r="1" spans="1:8" x14ac:dyDescent="0.25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s="12" t="s">
        <v>8363</v>
      </c>
      <c r="G1" s="13" t="s">
        <v>8364</v>
      </c>
      <c r="H1" t="s">
        <v>8365</v>
      </c>
    </row>
    <row r="2" spans="1:8" x14ac:dyDescent="0.25">
      <c r="A2" t="s">
        <v>8376</v>
      </c>
      <c r="B2">
        <f>COUNTIFS(goal,"&lt;=999",state,"successful")</f>
        <v>322</v>
      </c>
      <c r="C2">
        <f>COUNTIFS(goal,"&lt;=999",state,"failed")</f>
        <v>113</v>
      </c>
      <c r="D2">
        <f>COUNTIFS(goal,"&lt;=999",state,"canceled")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8366</v>
      </c>
      <c r="B3">
        <f>COUNTIFS(goal,"&lt;=4999",goal,"&gt;=1000",state,"successful")</f>
        <v>932</v>
      </c>
      <c r="C3">
        <f>COUNTIFS(goal,"&lt;=4999",goal,"&gt;=1000",state,"failed")</f>
        <v>420</v>
      </c>
      <c r="D3">
        <f>COUNTIFS(goal,"&lt;=4999",goal,"&gt;=1000",state,"canceled")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8367</v>
      </c>
      <c r="B4">
        <f>COUNTIFS(goal,"&lt;=9999",goal,"&gt;=5000",state,"successful")</f>
        <v>381</v>
      </c>
      <c r="C4">
        <f>COUNTIFS(goal,"&lt;=9999",goal,"&gt;=5000",state,"failed")</f>
        <v>283</v>
      </c>
      <c r="D4">
        <f>COUNTIFS(goal,"&lt;=9999",goal,"&gt;=5000",state,"canceled")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8368</v>
      </c>
      <c r="B5">
        <f>COUNTIFS(goal,"&lt;=14999",goal,"&gt;=10000",state,"successful")</f>
        <v>168</v>
      </c>
      <c r="C5">
        <f>COUNTIFS(goal,"&lt;=14999",goal,"&gt;=10000",state,"failed")</f>
        <v>144</v>
      </c>
      <c r="D5">
        <f>COUNTIFS(goal,"&lt;=14999",goal,"&gt;=10000",state,"canceled")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8369</v>
      </c>
      <c r="B6">
        <f>COUNTIFS(goal,"&lt;=19999",goal,"&gt;=15000",state,"successful")</f>
        <v>94</v>
      </c>
      <c r="C6">
        <f>COUNTIFS(goal,"&lt;=19999",goal,"&gt;=15000",state,"failed")</f>
        <v>90</v>
      </c>
      <c r="D6">
        <f>COUNTIFS(goal,"&lt;=19999",goal,"&gt;=15000",state,"canceled")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8370</v>
      </c>
      <c r="B7">
        <f>COUNTIFS(goal,"&lt;=24999",goal,"&gt;=20000",state,"successful")</f>
        <v>62</v>
      </c>
      <c r="C7">
        <f>COUNTIFS(goal,"&lt;=24999",goal,"&gt;=20000",state,"failed")</f>
        <v>72</v>
      </c>
      <c r="D7">
        <f>COUNTIFS(goal,"&lt;=24999",goal,"&gt;=20000",state,"canceled")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8371</v>
      </c>
      <c r="B8">
        <f>COUNTIFS(goal,"&lt;=29999",goal,"&gt;=25000",state,"successful")</f>
        <v>55</v>
      </c>
      <c r="C8">
        <f>COUNTIFS(goal,"&lt;=29999",goal,"&gt;=25000",state,"failed")</f>
        <v>64</v>
      </c>
      <c r="D8">
        <f>COUNTIFS(goal,"&lt;=29999",goal,"&gt;=25000",state,"canceled")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8377</v>
      </c>
      <c r="B9">
        <f>COUNTIFS(goal,"&lt;=34999",goal,"&gt;=30000",state,"successful")</f>
        <v>32</v>
      </c>
      <c r="C9">
        <f>COUNTIFS(goal,"&lt;=34999",goal,"&gt;=30000",state,"failed")</f>
        <v>37</v>
      </c>
      <c r="D9">
        <f>COUNTIFS(goal,"&lt;=34999",goal,"&gt;=30000",state,"canceled")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8372</v>
      </c>
      <c r="B10">
        <f>COUNTIFS(goal,"&lt;=39999",goal,"&gt;=35000",state,"successful")</f>
        <v>26</v>
      </c>
      <c r="C10">
        <f>COUNTIFS(goal,"&lt;=39999",goal,"&gt;=35000",state,"failed")</f>
        <v>22</v>
      </c>
      <c r="D10">
        <f>COUNTIFS(goal,"&lt;=39999",goal,"&gt;=35000",state,"canceled")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8373</v>
      </c>
      <c r="B11">
        <f>COUNTIFS(goal,"&lt;=44999",goal,"&gt;=40000",state,"successful")</f>
        <v>21</v>
      </c>
      <c r="C11">
        <f>COUNTIFS(goal,"&lt;=44999",goal,"&gt;=40000",state,"failed")</f>
        <v>16</v>
      </c>
      <c r="D11">
        <f>COUNTIFS(goal,"&lt;=44999",goal,"&gt;=40000",state,"canceled")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8374</v>
      </c>
      <c r="B12">
        <f>COUNTIFS(goal,"&lt;=49999",goal,"&gt;=45000",state,"successful")</f>
        <v>6</v>
      </c>
      <c r="C12">
        <f>COUNTIFS(goal,"&lt;=49999",goal,"&gt;=45000",state,"failed")</f>
        <v>11</v>
      </c>
      <c r="D12">
        <f>COUNTIFS(goal,"&lt;=49999",goal,"&gt;=45000",state,"canceled")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8375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D627-450B-4B5D-A65C-F983D457947F}">
  <dimension ref="A1:E7"/>
  <sheetViews>
    <sheetView topLeftCell="A22" workbookViewId="0">
      <selection activeCell="E2" sqref="E2"/>
    </sheetView>
  </sheetViews>
  <sheetFormatPr defaultRowHeight="15" x14ac:dyDescent="0.25"/>
  <cols>
    <col min="1" max="1" width="17.85546875" customWidth="1"/>
    <col min="2" max="2" width="19.5703125" customWidth="1"/>
    <col min="3" max="3" width="13.42578125" style="14" customWidth="1"/>
    <col min="4" max="4" width="17.85546875" customWidth="1"/>
    <col min="5" max="5" width="14.5703125" style="14" customWidth="1"/>
  </cols>
  <sheetData>
    <row r="1" spans="1:5" x14ac:dyDescent="0.25">
      <c r="B1" t="s">
        <v>8380</v>
      </c>
      <c r="C1" s="14" t="s">
        <v>8262</v>
      </c>
      <c r="D1" t="s">
        <v>8380</v>
      </c>
      <c r="E1" s="14" t="s">
        <v>8262</v>
      </c>
    </row>
    <row r="2" spans="1:5" x14ac:dyDescent="0.25">
      <c r="A2" t="s">
        <v>8381</v>
      </c>
      <c r="B2" t="s">
        <v>8219</v>
      </c>
      <c r="C2" s="14" cm="1">
        <f t="array" ref="C2">AVERAGE(IF(state=B2,backers))</f>
        <v>194.42517162471395</v>
      </c>
      <c r="D2" t="s">
        <v>8221</v>
      </c>
      <c r="E2" s="14" cm="1">
        <f t="array" ref="E2">AVERAGE(IF(state=D2,backers))</f>
        <v>17.709803921568628</v>
      </c>
    </row>
    <row r="3" spans="1:5" x14ac:dyDescent="0.25">
      <c r="A3" t="s">
        <v>8382</v>
      </c>
      <c r="B3" t="s">
        <v>8219</v>
      </c>
      <c r="C3" s="14" cm="1">
        <f t="array" ref="C3">MEDIAN(IF(state=B3,backers))</f>
        <v>62</v>
      </c>
      <c r="D3" t="s">
        <v>8221</v>
      </c>
      <c r="E3" s="14" cm="1">
        <f t="array" ref="E3">MEDIAN(IF(state=D3,backers))</f>
        <v>4</v>
      </c>
    </row>
    <row r="4" spans="1:5" x14ac:dyDescent="0.25">
      <c r="A4" t="s">
        <v>8384</v>
      </c>
      <c r="B4" t="s">
        <v>8219</v>
      </c>
      <c r="C4" s="14" cm="1">
        <f t="array" ref="C4">MIN(IF(state=B4,backers))</f>
        <v>1</v>
      </c>
      <c r="D4" t="s">
        <v>8221</v>
      </c>
      <c r="E4" s="14" cm="1">
        <f t="array" ref="E4">MIN(IF(state=D4,backers))</f>
        <v>0</v>
      </c>
    </row>
    <row r="5" spans="1:5" x14ac:dyDescent="0.25">
      <c r="A5" t="s">
        <v>8379</v>
      </c>
      <c r="B5" t="s">
        <v>8219</v>
      </c>
      <c r="C5" s="14" cm="1">
        <f t="array" ref="C5">MAX(IF(state=B5,backers))</f>
        <v>26457</v>
      </c>
      <c r="D5" t="s">
        <v>8221</v>
      </c>
      <c r="E5" s="14" cm="1">
        <f t="array" ref="E5">MAX(IF(state=D5,backers))</f>
        <v>1293</v>
      </c>
    </row>
    <row r="6" spans="1:5" x14ac:dyDescent="0.25">
      <c r="A6" t="s">
        <v>8383</v>
      </c>
      <c r="B6" t="s">
        <v>8219</v>
      </c>
      <c r="C6" s="14" cm="1">
        <f t="array" ref="C6">_xlfn.VAR.P(IF(state=B6,backers))</f>
        <v>712840.9867348104</v>
      </c>
      <c r="D6" t="s">
        <v>8221</v>
      </c>
      <c r="E6" s="14" cm="1">
        <f t="array" ref="E6">_xlfn.VAR.P(IF(state=D6,backers))</f>
        <v>3773.2216685890044</v>
      </c>
    </row>
    <row r="7" spans="1:5" x14ac:dyDescent="0.25">
      <c r="A7" t="s">
        <v>8378</v>
      </c>
      <c r="B7" t="s">
        <v>8219</v>
      </c>
      <c r="C7" s="14" cm="1">
        <f t="array" ref="C7">_xlfn.STDEV.P(IF(state=B7,backers))</f>
        <v>844.29910975602149</v>
      </c>
      <c r="D7" t="s">
        <v>8221</v>
      </c>
      <c r="E7" s="14" cm="1">
        <f t="array" ref="E7">_xlfn.STDEV.P(IF(state=D7,backers))</f>
        <v>61.426555076684906</v>
      </c>
    </row>
  </sheetData>
  <conditionalFormatting sqref="B1:B1048576">
    <cfRule type="containsText" dxfId="1" priority="3" operator="containsText" text="successful">
      <formula>NOT(ISERROR(SEARCH("successful",B1)))</formula>
    </cfRule>
  </conditionalFormatting>
  <conditionalFormatting sqref="D1:D1048576">
    <cfRule type="containsText" dxfId="0" priority="1" operator="containsText" text="failed">
      <formula>NOT(ISERROR(SEARCH("failed",D1)))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KS Data Sheet 1</vt:lpstr>
      <vt:lpstr>KS Categorys Sheet 2</vt:lpstr>
      <vt:lpstr>KS Sub-Categorys Sheet 3</vt:lpstr>
      <vt:lpstr>KS Dates Sheet 4</vt:lpstr>
      <vt:lpstr>KS Goal Sheet 5</vt:lpstr>
      <vt:lpstr>KS Analysis Sheet 6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Newberry</cp:lastModifiedBy>
  <dcterms:created xsi:type="dcterms:W3CDTF">2017-04-20T15:17:24Z</dcterms:created>
  <dcterms:modified xsi:type="dcterms:W3CDTF">2021-06-03T00:20:28Z</dcterms:modified>
</cp:coreProperties>
</file>