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olis\OneDrive - TECH INDUSTRIAS GLOBALES S.R.L\Documentos\ENEL G\CAMPAÑA\8.TOTALIZADORES\ENTREGABLES\"/>
    </mc:Choice>
  </mc:AlternateContent>
  <xr:revisionPtr revIDLastSave="0" documentId="13_ncr:1_{BBE48C53-804C-4E0D-8BC0-FE12AFEE4EF5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Instalados acumulados" sheetId="1" state="hidden" r:id="rId1"/>
    <sheet name="Entregable Carpeta" sheetId="2" state="hidden" r:id="rId2"/>
    <sheet name="Ord. Fecha" sheetId="4" r:id="rId3"/>
    <sheet name="TIPO_CLIENTE" sheetId="7" r:id="rId4"/>
    <sheet name="Balance" sheetId="5" state="hidden" r:id="rId5"/>
    <sheet name="Hoja1" sheetId="6" state="hidden" r:id="rId6"/>
  </sheets>
  <definedNames>
    <definedName name="_xlnm._FilterDatabase" localSheetId="0" hidden="1">'Instalados acumulados'!$B$1:$AS$72</definedName>
    <definedName name="_xlnm._FilterDatabase" localSheetId="2" hidden="1">'Ord. Fecha'!$C$3:$AS$88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9" i="4" l="1"/>
  <c r="S109" i="4" s="1"/>
  <c r="T109" i="4" s="1"/>
  <c r="U109" i="4" s="1"/>
  <c r="AE110" i="4"/>
  <c r="S110" i="4" s="1"/>
  <c r="T110" i="4" s="1"/>
  <c r="U110" i="4" s="1"/>
  <c r="AE111" i="4"/>
  <c r="S111" i="4" s="1"/>
  <c r="T111" i="4" s="1"/>
  <c r="U111" i="4" s="1"/>
  <c r="AE112" i="4"/>
  <c r="S112" i="4" s="1"/>
  <c r="T112" i="4" s="1"/>
  <c r="U112" i="4" s="1"/>
  <c r="AE113" i="4"/>
  <c r="S113" i="4" s="1"/>
  <c r="T113" i="4" s="1"/>
  <c r="U113" i="4" s="1"/>
  <c r="AE114" i="4"/>
  <c r="S114" i="4" s="1"/>
  <c r="T114" i="4" s="1"/>
  <c r="U114" i="4" s="1"/>
  <c r="AE115" i="4"/>
  <c r="S115" i="4" s="1"/>
  <c r="T115" i="4" s="1"/>
  <c r="U115" i="4" s="1"/>
  <c r="AE116" i="4"/>
  <c r="S116" i="4" s="1"/>
  <c r="T116" i="4" s="1"/>
  <c r="U116" i="4" s="1"/>
  <c r="AE117" i="4"/>
  <c r="S117" i="4" s="1"/>
  <c r="T117" i="4" s="1"/>
  <c r="U117" i="4" s="1"/>
  <c r="AE118" i="4"/>
  <c r="S118" i="4" s="1"/>
  <c r="T118" i="4" s="1"/>
  <c r="U118" i="4" s="1"/>
  <c r="AE119" i="4"/>
  <c r="S119" i="4" s="1"/>
  <c r="T119" i="4" s="1"/>
  <c r="U119" i="4" s="1"/>
  <c r="AE120" i="4"/>
  <c r="S120" i="4" s="1"/>
  <c r="T120" i="4" s="1"/>
  <c r="U120" i="4" s="1"/>
  <c r="Z109" i="4"/>
  <c r="Z110" i="4"/>
  <c r="Z111" i="4"/>
  <c r="Z112" i="4"/>
  <c r="Z113" i="4"/>
  <c r="Z114" i="4"/>
  <c r="Z115" i="4"/>
  <c r="Z116" i="4"/>
  <c r="Z117" i="4"/>
  <c r="Z118" i="4"/>
  <c r="Z119" i="4"/>
  <c r="Z120" i="4"/>
  <c r="AE89" i="4"/>
  <c r="S89" i="4" s="1"/>
  <c r="T89" i="4" s="1"/>
  <c r="U89" i="4" s="1"/>
  <c r="AE90" i="4"/>
  <c r="S90" i="4" s="1"/>
  <c r="T90" i="4" s="1"/>
  <c r="U90" i="4" s="1"/>
  <c r="AE91" i="4"/>
  <c r="S91" i="4" s="1"/>
  <c r="T91" i="4" s="1"/>
  <c r="U91" i="4" s="1"/>
  <c r="AE92" i="4"/>
  <c r="S92" i="4" s="1"/>
  <c r="T92" i="4" s="1"/>
  <c r="U92" i="4" s="1"/>
  <c r="AE93" i="4"/>
  <c r="S93" i="4" s="1"/>
  <c r="T93" i="4" s="1"/>
  <c r="U93" i="4" s="1"/>
  <c r="AE94" i="4"/>
  <c r="S94" i="4" s="1"/>
  <c r="T94" i="4" s="1"/>
  <c r="U94" i="4" s="1"/>
  <c r="AE95" i="4"/>
  <c r="S95" i="4" s="1"/>
  <c r="T95" i="4" s="1"/>
  <c r="U95" i="4" s="1"/>
  <c r="AE96" i="4"/>
  <c r="S96" i="4" s="1"/>
  <c r="T96" i="4" s="1"/>
  <c r="U96" i="4" s="1"/>
  <c r="AE97" i="4"/>
  <c r="S97" i="4" s="1"/>
  <c r="T97" i="4" s="1"/>
  <c r="U97" i="4" s="1"/>
  <c r="AE98" i="4"/>
  <c r="S98" i="4" s="1"/>
  <c r="T98" i="4" s="1"/>
  <c r="U98" i="4" s="1"/>
  <c r="AE99" i="4"/>
  <c r="S99" i="4" s="1"/>
  <c r="T99" i="4" s="1"/>
  <c r="U99" i="4" s="1"/>
  <c r="AE100" i="4"/>
  <c r="S100" i="4" s="1"/>
  <c r="T100" i="4" s="1"/>
  <c r="U100" i="4" s="1"/>
  <c r="AE101" i="4"/>
  <c r="S101" i="4" s="1"/>
  <c r="T101" i="4" s="1"/>
  <c r="U101" i="4" s="1"/>
  <c r="AE102" i="4"/>
  <c r="S102" i="4" s="1"/>
  <c r="T102" i="4" s="1"/>
  <c r="U102" i="4" s="1"/>
  <c r="AE103" i="4"/>
  <c r="S103" i="4" s="1"/>
  <c r="T103" i="4" s="1"/>
  <c r="U103" i="4" s="1"/>
  <c r="AE104" i="4"/>
  <c r="S104" i="4" s="1"/>
  <c r="T104" i="4" s="1"/>
  <c r="U104" i="4" s="1"/>
  <c r="AE105" i="4"/>
  <c r="S105" i="4" s="1"/>
  <c r="T105" i="4" s="1"/>
  <c r="U105" i="4" s="1"/>
  <c r="AE106" i="4"/>
  <c r="S106" i="4" s="1"/>
  <c r="T106" i="4" s="1"/>
  <c r="U106" i="4" s="1"/>
  <c r="AE107" i="4"/>
  <c r="S107" i="4" s="1"/>
  <c r="T107" i="4" s="1"/>
  <c r="U107" i="4" s="1"/>
  <c r="AE108" i="4"/>
  <c r="S108" i="4" s="1"/>
  <c r="T108" i="4" s="1"/>
  <c r="U108" i="4" s="1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E60" i="4"/>
  <c r="AE61" i="4"/>
  <c r="S61" i="4" s="1"/>
  <c r="T61" i="4" s="1"/>
  <c r="U61" i="4" s="1"/>
  <c r="AE62" i="4"/>
  <c r="S62" i="4" s="1"/>
  <c r="T62" i="4" s="1"/>
  <c r="U62" i="4" s="1"/>
  <c r="AE63" i="4"/>
  <c r="AE64" i="4"/>
  <c r="AE65" i="4"/>
  <c r="S65" i="4" s="1"/>
  <c r="T65" i="4" s="1"/>
  <c r="U65" i="4" s="1"/>
  <c r="AE66" i="4"/>
  <c r="S66" i="4" s="1"/>
  <c r="T66" i="4" s="1"/>
  <c r="U66" i="4" s="1"/>
  <c r="AE67" i="4"/>
  <c r="AE68" i="4"/>
  <c r="S68" i="4" s="1"/>
  <c r="T68" i="4" s="1"/>
  <c r="U68" i="4" s="1"/>
  <c r="AE69" i="4"/>
  <c r="S69" i="4" s="1"/>
  <c r="T69" i="4" s="1"/>
  <c r="U69" i="4" s="1"/>
  <c r="AE70" i="4"/>
  <c r="S70" i="4" s="1"/>
  <c r="T70" i="4" s="1"/>
  <c r="U70" i="4" s="1"/>
  <c r="AE71" i="4"/>
  <c r="AE72" i="4"/>
  <c r="AE73" i="4"/>
  <c r="S73" i="4" s="1"/>
  <c r="T73" i="4" s="1"/>
  <c r="U73" i="4" s="1"/>
  <c r="AE74" i="4"/>
  <c r="S74" i="4" s="1"/>
  <c r="T74" i="4" s="1"/>
  <c r="U74" i="4" s="1"/>
  <c r="AE75" i="4"/>
  <c r="AE76" i="4"/>
  <c r="S76" i="4" s="1"/>
  <c r="T76" i="4" s="1"/>
  <c r="U76" i="4" s="1"/>
  <c r="AE77" i="4"/>
  <c r="S77" i="4" s="1"/>
  <c r="T77" i="4" s="1"/>
  <c r="U77" i="4" s="1"/>
  <c r="AE78" i="4"/>
  <c r="S78" i="4" s="1"/>
  <c r="T78" i="4" s="1"/>
  <c r="U78" i="4" s="1"/>
  <c r="AE79" i="4"/>
  <c r="AE80" i="4"/>
  <c r="AE81" i="4"/>
  <c r="S81" i="4" s="1"/>
  <c r="T81" i="4" s="1"/>
  <c r="U81" i="4" s="1"/>
  <c r="AE82" i="4"/>
  <c r="S82" i="4" s="1"/>
  <c r="T82" i="4" s="1"/>
  <c r="U82" i="4" s="1"/>
  <c r="AE83" i="4"/>
  <c r="AE84" i="4"/>
  <c r="S84" i="4" s="1"/>
  <c r="T84" i="4" s="1"/>
  <c r="U84" i="4" s="1"/>
  <c r="AE85" i="4"/>
  <c r="S85" i="4" s="1"/>
  <c r="T85" i="4" s="1"/>
  <c r="U85" i="4" s="1"/>
  <c r="AE86" i="4"/>
  <c r="S86" i="4" s="1"/>
  <c r="T86" i="4" s="1"/>
  <c r="U86" i="4" s="1"/>
  <c r="AE87" i="4"/>
  <c r="S87" i="4" s="1"/>
  <c r="T87" i="4" s="1"/>
  <c r="U87" i="4" s="1"/>
  <c r="AE88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S60" i="4"/>
  <c r="T60" i="4" s="1"/>
  <c r="U60" i="4" s="1"/>
  <c r="S63" i="4"/>
  <c r="T63" i="4" s="1"/>
  <c r="U63" i="4" s="1"/>
  <c r="S64" i="4"/>
  <c r="T64" i="4" s="1"/>
  <c r="U64" i="4" s="1"/>
  <c r="S67" i="4"/>
  <c r="T67" i="4" s="1"/>
  <c r="U67" i="4" s="1"/>
  <c r="S71" i="4"/>
  <c r="T71" i="4" s="1"/>
  <c r="U71" i="4" s="1"/>
  <c r="S72" i="4"/>
  <c r="T72" i="4" s="1"/>
  <c r="U72" i="4" s="1"/>
  <c r="S75" i="4"/>
  <c r="T75" i="4" s="1"/>
  <c r="U75" i="4" s="1"/>
  <c r="S79" i="4"/>
  <c r="T79" i="4" s="1"/>
  <c r="U79" i="4" s="1"/>
  <c r="S80" i="4"/>
  <c r="T80" i="4" s="1"/>
  <c r="U80" i="4" s="1"/>
  <c r="S83" i="4"/>
  <c r="T83" i="4" s="1"/>
  <c r="U83" i="4" s="1"/>
  <c r="S88" i="4"/>
  <c r="T88" i="4" s="1"/>
  <c r="U88" i="4" s="1"/>
  <c r="T51" i="4"/>
  <c r="U51" i="4" s="1"/>
  <c r="Z51" i="4"/>
  <c r="C10" i="5"/>
  <c r="C8" i="5"/>
  <c r="AP59" i="4"/>
  <c r="AE59" i="4"/>
  <c r="S59" i="4" s="1"/>
  <c r="T59" i="4" s="1"/>
  <c r="Z59" i="4"/>
  <c r="AP58" i="4"/>
  <c r="AE58" i="4"/>
  <c r="Z58" i="4"/>
  <c r="S58" i="4"/>
  <c r="T58" i="4" s="1"/>
  <c r="AP54" i="4"/>
  <c r="AE54" i="4"/>
  <c r="S54" i="4" s="1"/>
  <c r="T54" i="4" s="1"/>
  <c r="Z54" i="4"/>
  <c r="AP56" i="4"/>
  <c r="AE56" i="4"/>
  <c r="Z56" i="4"/>
  <c r="S56" i="4"/>
  <c r="T56" i="4" s="1"/>
  <c r="AP55" i="4"/>
  <c r="AE55" i="4"/>
  <c r="S55" i="4" s="1"/>
  <c r="T55" i="4" s="1"/>
  <c r="Z55" i="4"/>
  <c r="AP53" i="4"/>
  <c r="AE53" i="4"/>
  <c r="Z53" i="4"/>
  <c r="S53" i="4"/>
  <c r="T53" i="4" s="1"/>
  <c r="AP57" i="4"/>
  <c r="AE57" i="4"/>
  <c r="S57" i="4" s="1"/>
  <c r="T57" i="4" s="1"/>
  <c r="Z57" i="4"/>
  <c r="AP52" i="4"/>
  <c r="AE52" i="4"/>
  <c r="S52" i="4" s="1"/>
  <c r="T52" i="4" s="1"/>
  <c r="Z52" i="4"/>
  <c r="AP49" i="4"/>
  <c r="AE49" i="4"/>
  <c r="S49" i="4" s="1"/>
  <c r="T49" i="4" s="1"/>
  <c r="Z49" i="4"/>
  <c r="AP50" i="4"/>
  <c r="AE50" i="4"/>
  <c r="S50" i="4" s="1"/>
  <c r="T50" i="4" s="1"/>
  <c r="Z50" i="4"/>
  <c r="AP47" i="4"/>
  <c r="AE47" i="4"/>
  <c r="S47" i="4" s="1"/>
  <c r="T47" i="4" s="1"/>
  <c r="Z47" i="4"/>
  <c r="AP48" i="4"/>
  <c r="AE48" i="4"/>
  <c r="S48" i="4" s="1"/>
  <c r="T48" i="4" s="1"/>
  <c r="Z48" i="4"/>
  <c r="AP45" i="4"/>
  <c r="AE45" i="4"/>
  <c r="S45" i="4" s="1"/>
  <c r="T45" i="4" s="1"/>
  <c r="Z45" i="4"/>
  <c r="AP46" i="4"/>
  <c r="AE46" i="4"/>
  <c r="S46" i="4" s="1"/>
  <c r="T46" i="4" s="1"/>
  <c r="Z46" i="4"/>
  <c r="AP43" i="4"/>
  <c r="AE43" i="4"/>
  <c r="S43" i="4" s="1"/>
  <c r="T43" i="4" s="1"/>
  <c r="Z43" i="4"/>
  <c r="AP44" i="4"/>
  <c r="AE44" i="4"/>
  <c r="Z44" i="4"/>
  <c r="S44" i="4"/>
  <c r="T44" i="4" s="1"/>
  <c r="AP42" i="4"/>
  <c r="AE42" i="4"/>
  <c r="S42" i="4" s="1"/>
  <c r="T42" i="4" s="1"/>
  <c r="Z42" i="4"/>
  <c r="AP41" i="4"/>
  <c r="AE41" i="4"/>
  <c r="S41" i="4" s="1"/>
  <c r="T41" i="4" s="1"/>
  <c r="Z41" i="4"/>
  <c r="AP38" i="4"/>
  <c r="AE38" i="4"/>
  <c r="S38" i="4" s="1"/>
  <c r="T38" i="4" s="1"/>
  <c r="C5" i="5" s="1"/>
  <c r="Z38" i="4"/>
  <c r="AP37" i="4"/>
  <c r="AE37" i="4"/>
  <c r="S37" i="4" s="1"/>
  <c r="T37" i="4" s="1"/>
  <c r="Z37" i="4"/>
  <c r="AP40" i="4"/>
  <c r="AE40" i="4"/>
  <c r="S40" i="4" s="1"/>
  <c r="T40" i="4" s="1"/>
  <c r="Z40" i="4"/>
  <c r="AP39" i="4"/>
  <c r="AE39" i="4"/>
  <c r="S39" i="4" s="1"/>
  <c r="T39" i="4" s="1"/>
  <c r="Z39" i="4"/>
  <c r="AP36" i="4"/>
  <c r="AE36" i="4"/>
  <c r="S36" i="4" s="1"/>
  <c r="Z36" i="4"/>
  <c r="R36" i="4"/>
  <c r="AP35" i="4"/>
  <c r="AE35" i="4"/>
  <c r="S35" i="4" s="1"/>
  <c r="Z35" i="4"/>
  <c r="R35" i="4"/>
  <c r="AP34" i="4"/>
  <c r="AE34" i="4"/>
  <c r="S34" i="4" s="1"/>
  <c r="Z34" i="4"/>
  <c r="R34" i="4"/>
  <c r="AP33" i="4"/>
  <c r="AE33" i="4"/>
  <c r="S33" i="4" s="1"/>
  <c r="Z33" i="4"/>
  <c r="R33" i="4"/>
  <c r="AP32" i="4"/>
  <c r="AE32" i="4"/>
  <c r="S32" i="4" s="1"/>
  <c r="Z32" i="4"/>
  <c r="R32" i="4"/>
  <c r="AP31" i="4"/>
  <c r="AE31" i="4"/>
  <c r="S31" i="4" s="1"/>
  <c r="Z31" i="4"/>
  <c r="R31" i="4"/>
  <c r="AP30" i="4"/>
  <c r="AE30" i="4"/>
  <c r="S30" i="4" s="1"/>
  <c r="Z30" i="4"/>
  <c r="R30" i="4"/>
  <c r="AP29" i="4"/>
  <c r="AE29" i="4"/>
  <c r="S29" i="4" s="1"/>
  <c r="Z29" i="4"/>
  <c r="R29" i="4"/>
  <c r="AP28" i="4"/>
  <c r="AE28" i="4"/>
  <c r="S28" i="4" s="1"/>
  <c r="Z28" i="4"/>
  <c r="R28" i="4"/>
  <c r="AP27" i="4"/>
  <c r="AE27" i="4"/>
  <c r="S27" i="4" s="1"/>
  <c r="Z27" i="4"/>
  <c r="R27" i="4"/>
  <c r="AP26" i="4"/>
  <c r="AE26" i="4"/>
  <c r="S26" i="4" s="1"/>
  <c r="Z26" i="4"/>
  <c r="R26" i="4"/>
  <c r="AP25" i="4"/>
  <c r="AE25" i="4"/>
  <c r="S25" i="4" s="1"/>
  <c r="Z25" i="4"/>
  <c r="R25" i="4"/>
  <c r="AP24" i="4"/>
  <c r="AE24" i="4"/>
  <c r="Z24" i="4"/>
  <c r="S24" i="4"/>
  <c r="R24" i="4"/>
  <c r="AP23" i="4"/>
  <c r="AE23" i="4"/>
  <c r="S23" i="4" s="1"/>
  <c r="Z23" i="4"/>
  <c r="R23" i="4"/>
  <c r="AP22" i="4"/>
  <c r="AE22" i="4"/>
  <c r="S22" i="4" s="1"/>
  <c r="Z22" i="4"/>
  <c r="R22" i="4"/>
  <c r="AP21" i="4"/>
  <c r="AE21" i="4"/>
  <c r="S21" i="4" s="1"/>
  <c r="Z21" i="4"/>
  <c r="R21" i="4"/>
  <c r="AP20" i="4"/>
  <c r="AE20" i="4"/>
  <c r="S20" i="4" s="1"/>
  <c r="Z20" i="4"/>
  <c r="R20" i="4"/>
  <c r="AP19" i="4"/>
  <c r="AE19" i="4"/>
  <c r="S19" i="4" s="1"/>
  <c r="Z19" i="4"/>
  <c r="R19" i="4"/>
  <c r="AP18" i="4"/>
  <c r="AE18" i="4"/>
  <c r="S18" i="4" s="1"/>
  <c r="Z18" i="4"/>
  <c r="R18" i="4"/>
  <c r="AP17" i="4"/>
  <c r="AE17" i="4"/>
  <c r="S17" i="4" s="1"/>
  <c r="Z17" i="4"/>
  <c r="R17" i="4"/>
  <c r="AP16" i="4"/>
  <c r="AE16" i="4"/>
  <c r="S16" i="4" s="1"/>
  <c r="Z16" i="4"/>
  <c r="R16" i="4"/>
  <c r="AP15" i="4"/>
  <c r="AE15" i="4"/>
  <c r="S15" i="4" s="1"/>
  <c r="Z15" i="4"/>
  <c r="R15" i="4"/>
  <c r="AP14" i="4"/>
  <c r="AE14" i="4"/>
  <c r="Z14" i="4"/>
  <c r="S14" i="4"/>
  <c r="R14" i="4"/>
  <c r="AP13" i="4"/>
  <c r="AE13" i="4"/>
  <c r="S13" i="4" s="1"/>
  <c r="Z13" i="4"/>
  <c r="R13" i="4"/>
  <c r="AP12" i="4"/>
  <c r="AE12" i="4"/>
  <c r="S12" i="4" s="1"/>
  <c r="Z12" i="4"/>
  <c r="R12" i="4"/>
  <c r="AP11" i="4"/>
  <c r="AE11" i="4"/>
  <c r="S11" i="4" s="1"/>
  <c r="Z11" i="4"/>
  <c r="R11" i="4"/>
  <c r="AP10" i="4"/>
  <c r="AE10" i="4"/>
  <c r="Z10" i="4"/>
  <c r="S10" i="4"/>
  <c r="R10" i="4"/>
  <c r="AP9" i="4"/>
  <c r="AE9" i="4"/>
  <c r="S9" i="4" s="1"/>
  <c r="Z9" i="4"/>
  <c r="R9" i="4"/>
  <c r="AP8" i="4"/>
  <c r="AE8" i="4"/>
  <c r="S8" i="4" s="1"/>
  <c r="Z8" i="4"/>
  <c r="R8" i="4"/>
  <c r="AP7" i="4"/>
  <c r="AE7" i="4"/>
  <c r="S7" i="4" s="1"/>
  <c r="Z7" i="4"/>
  <c r="R7" i="4"/>
  <c r="AP6" i="4"/>
  <c r="AE6" i="4"/>
  <c r="S6" i="4" s="1"/>
  <c r="Z6" i="4"/>
  <c r="R6" i="4"/>
  <c r="AP5" i="4"/>
  <c r="AE5" i="4"/>
  <c r="S5" i="4" s="1"/>
  <c r="C3" i="5" s="1"/>
  <c r="Z5" i="4"/>
  <c r="C7" i="5" s="1"/>
  <c r="R5" i="4"/>
  <c r="C4" i="5" s="1"/>
  <c r="AP4" i="4"/>
  <c r="AE4" i="4"/>
  <c r="S4" i="4" s="1"/>
  <c r="Z4" i="4"/>
  <c r="R4" i="4"/>
  <c r="R16" i="1"/>
  <c r="R47" i="1"/>
  <c r="R27" i="1"/>
  <c r="R9" i="1"/>
  <c r="R4" i="1"/>
  <c r="R43" i="1"/>
  <c r="R24" i="1"/>
  <c r="R10" i="1"/>
  <c r="R12" i="1"/>
  <c r="R42" i="1"/>
  <c r="R40" i="1"/>
  <c r="R26" i="1"/>
  <c r="R44" i="1"/>
  <c r="R23" i="1"/>
  <c r="R19" i="1"/>
  <c r="R36" i="1"/>
  <c r="R35" i="1"/>
  <c r="R41" i="1"/>
  <c r="R14" i="1"/>
  <c r="R30" i="1"/>
  <c r="R38" i="1"/>
  <c r="R29" i="1"/>
  <c r="R22" i="1"/>
  <c r="R34" i="1"/>
  <c r="R5" i="1"/>
  <c r="R31" i="1"/>
  <c r="R6" i="1"/>
  <c r="R11" i="1"/>
  <c r="R46" i="1"/>
  <c r="R7" i="1"/>
  <c r="R32" i="1"/>
  <c r="R25" i="1"/>
  <c r="R17" i="1"/>
  <c r="AQ8" i="1"/>
  <c r="AQ13" i="1"/>
  <c r="AQ15" i="1"/>
  <c r="AQ18" i="1"/>
  <c r="AQ20" i="1"/>
  <c r="AQ21" i="1"/>
  <c r="AQ28" i="1"/>
  <c r="AQ33" i="1"/>
  <c r="AQ37" i="1"/>
  <c r="AQ39" i="1"/>
  <c r="AQ45" i="1"/>
  <c r="AQ48" i="1"/>
  <c r="AQ49" i="1"/>
  <c r="AQ50" i="1"/>
  <c r="AQ51" i="1"/>
  <c r="AQ52" i="1"/>
  <c r="AQ53" i="1"/>
  <c r="AQ54" i="1"/>
  <c r="AQ55" i="1"/>
  <c r="AQ56" i="1"/>
  <c r="AQ57" i="1"/>
  <c r="AQ58" i="1"/>
  <c r="AR8" i="1"/>
  <c r="AR13" i="1"/>
  <c r="AR15" i="1"/>
  <c r="AR18" i="1"/>
  <c r="AR20" i="1"/>
  <c r="AR21" i="1"/>
  <c r="AR28" i="1"/>
  <c r="AR33" i="1"/>
  <c r="AR37" i="1"/>
  <c r="AR39" i="1"/>
  <c r="AR45" i="1"/>
  <c r="AR48" i="1"/>
  <c r="AR49" i="1"/>
  <c r="AR50" i="1"/>
  <c r="AR51" i="1"/>
  <c r="AR52" i="1"/>
  <c r="AR53" i="1"/>
  <c r="AR54" i="1"/>
  <c r="AR55" i="1"/>
  <c r="AR56" i="1"/>
  <c r="AR57" i="1"/>
  <c r="AR58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E4" i="1"/>
  <c r="S4" i="1" s="1"/>
  <c r="T4" i="1" s="1"/>
  <c r="U4" i="1" s="1"/>
  <c r="AE5" i="1"/>
  <c r="S5" i="1" s="1"/>
  <c r="T5" i="1" s="1"/>
  <c r="AE6" i="1"/>
  <c r="S6" i="1" s="1"/>
  <c r="AE7" i="1"/>
  <c r="S7" i="1" s="1"/>
  <c r="T7" i="1" s="1"/>
  <c r="AE8" i="1"/>
  <c r="S8" i="1" s="1"/>
  <c r="T8" i="1" s="1"/>
  <c r="U8" i="1" s="1"/>
  <c r="AE9" i="1"/>
  <c r="S9" i="1" s="1"/>
  <c r="T9" i="1" s="1"/>
  <c r="AE10" i="1"/>
  <c r="S10" i="1" s="1"/>
  <c r="T10" i="1" s="1"/>
  <c r="AE11" i="1"/>
  <c r="S11" i="1" s="1"/>
  <c r="T11" i="1" s="1"/>
  <c r="AE12" i="1"/>
  <c r="S12" i="1" s="1"/>
  <c r="T12" i="1" s="1"/>
  <c r="AE13" i="1"/>
  <c r="S13" i="1" s="1"/>
  <c r="T13" i="1" s="1"/>
  <c r="U13" i="1" s="1"/>
  <c r="AE14" i="1"/>
  <c r="S14" i="1" s="1"/>
  <c r="T14" i="1" s="1"/>
  <c r="AE15" i="1"/>
  <c r="S15" i="1" s="1"/>
  <c r="T15" i="1" s="1"/>
  <c r="U15" i="1" s="1"/>
  <c r="AE16" i="1"/>
  <c r="S16" i="1" s="1"/>
  <c r="T16" i="1" s="1"/>
  <c r="AE17" i="1"/>
  <c r="S17" i="1" s="1"/>
  <c r="T17" i="1" s="1"/>
  <c r="AE18" i="1"/>
  <c r="S18" i="1" s="1"/>
  <c r="T18" i="1" s="1"/>
  <c r="U18" i="1" s="1"/>
  <c r="AE19" i="1"/>
  <c r="S19" i="1" s="1"/>
  <c r="T19" i="1" s="1"/>
  <c r="AE20" i="1"/>
  <c r="S20" i="1" s="1"/>
  <c r="T20" i="1" s="1"/>
  <c r="U20" i="1" s="1"/>
  <c r="AE21" i="1"/>
  <c r="S21" i="1" s="1"/>
  <c r="T21" i="1" s="1"/>
  <c r="U21" i="1" s="1"/>
  <c r="AE22" i="1"/>
  <c r="S22" i="1" s="1"/>
  <c r="T22" i="1" s="1"/>
  <c r="AE23" i="1"/>
  <c r="S23" i="1" s="1"/>
  <c r="T23" i="1" s="1"/>
  <c r="AE24" i="1"/>
  <c r="S24" i="1" s="1"/>
  <c r="T24" i="1" s="1"/>
  <c r="AE25" i="1"/>
  <c r="S25" i="1" s="1"/>
  <c r="T25" i="1" s="1"/>
  <c r="AE26" i="1"/>
  <c r="S26" i="1" s="1"/>
  <c r="T26" i="1" s="1"/>
  <c r="AE27" i="1"/>
  <c r="S27" i="1" s="1"/>
  <c r="T27" i="1" s="1"/>
  <c r="AE28" i="1"/>
  <c r="S28" i="1" s="1"/>
  <c r="T28" i="1" s="1"/>
  <c r="U28" i="1" s="1"/>
  <c r="AE29" i="1"/>
  <c r="S29" i="1" s="1"/>
  <c r="T29" i="1" s="1"/>
  <c r="AE30" i="1"/>
  <c r="S30" i="1" s="1"/>
  <c r="T30" i="1" s="1"/>
  <c r="AE31" i="1"/>
  <c r="S31" i="1" s="1"/>
  <c r="T31" i="1" s="1"/>
  <c r="AE32" i="1"/>
  <c r="S32" i="1" s="1"/>
  <c r="T32" i="1" s="1"/>
  <c r="AE33" i="1"/>
  <c r="S33" i="1" s="1"/>
  <c r="T33" i="1" s="1"/>
  <c r="U33" i="1" s="1"/>
  <c r="AE34" i="1"/>
  <c r="S34" i="1" s="1"/>
  <c r="T34" i="1" s="1"/>
  <c r="AE35" i="1"/>
  <c r="S35" i="1" s="1"/>
  <c r="T35" i="1" s="1"/>
  <c r="AE36" i="1"/>
  <c r="S36" i="1" s="1"/>
  <c r="T36" i="1" s="1"/>
  <c r="AE37" i="1"/>
  <c r="S37" i="1" s="1"/>
  <c r="T37" i="1" s="1"/>
  <c r="U37" i="1" s="1"/>
  <c r="AE38" i="1"/>
  <c r="S38" i="1" s="1"/>
  <c r="T38" i="1" s="1"/>
  <c r="AE39" i="1"/>
  <c r="S39" i="1" s="1"/>
  <c r="T39" i="1" s="1"/>
  <c r="U39" i="1" s="1"/>
  <c r="AE40" i="1"/>
  <c r="S40" i="1" s="1"/>
  <c r="T40" i="1" s="1"/>
  <c r="AE41" i="1"/>
  <c r="S41" i="1" s="1"/>
  <c r="T41" i="1" s="1"/>
  <c r="AE42" i="1"/>
  <c r="S42" i="1" s="1"/>
  <c r="T42" i="1" s="1"/>
  <c r="AE43" i="1"/>
  <c r="S43" i="1" s="1"/>
  <c r="T43" i="1" s="1"/>
  <c r="AE44" i="1"/>
  <c r="S44" i="1" s="1"/>
  <c r="T44" i="1" s="1"/>
  <c r="AE45" i="1"/>
  <c r="S45" i="1" s="1"/>
  <c r="T45" i="1" s="1"/>
  <c r="U45" i="1" s="1"/>
  <c r="AE46" i="1"/>
  <c r="S46" i="1" s="1"/>
  <c r="T46" i="1" s="1"/>
  <c r="AE47" i="1"/>
  <c r="S47" i="1" s="1"/>
  <c r="T47" i="1" s="1"/>
  <c r="AE48" i="1"/>
  <c r="S48" i="1" s="1"/>
  <c r="T48" i="1" s="1"/>
  <c r="U48" i="1" s="1"/>
  <c r="AE49" i="1"/>
  <c r="S49" i="1" s="1"/>
  <c r="T49" i="1" s="1"/>
  <c r="U49" i="1" s="1"/>
  <c r="AE50" i="1"/>
  <c r="S50" i="1" s="1"/>
  <c r="T50" i="1" s="1"/>
  <c r="U50" i="1" s="1"/>
  <c r="AE51" i="1"/>
  <c r="S51" i="1" s="1"/>
  <c r="T51" i="1" s="1"/>
  <c r="U51" i="1" s="1"/>
  <c r="AE52" i="1"/>
  <c r="S52" i="1" s="1"/>
  <c r="T52" i="1" s="1"/>
  <c r="U52" i="1" s="1"/>
  <c r="AE53" i="1"/>
  <c r="S53" i="1" s="1"/>
  <c r="T53" i="1" s="1"/>
  <c r="U53" i="1" s="1"/>
  <c r="AE54" i="1"/>
  <c r="S54" i="1" s="1"/>
  <c r="T54" i="1" s="1"/>
  <c r="U54" i="1" s="1"/>
  <c r="AE55" i="1"/>
  <c r="S55" i="1" s="1"/>
  <c r="T55" i="1" s="1"/>
  <c r="U55" i="1" s="1"/>
  <c r="AE56" i="1"/>
  <c r="S56" i="1" s="1"/>
  <c r="T56" i="1" s="1"/>
  <c r="U56" i="1" s="1"/>
  <c r="AE57" i="1"/>
  <c r="S57" i="1" s="1"/>
  <c r="T57" i="1" s="1"/>
  <c r="U57" i="1" s="1"/>
  <c r="AE58" i="1"/>
  <c r="S58" i="1" s="1"/>
  <c r="T58" i="1" s="1"/>
  <c r="U58" i="1" s="1"/>
  <c r="Z58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T6" i="1"/>
  <c r="U6" i="1" s="1"/>
  <c r="U59" i="4" l="1"/>
  <c r="AR59" i="4"/>
  <c r="AQ59" i="4"/>
  <c r="U58" i="4"/>
  <c r="AR58" i="4"/>
  <c r="AQ58" i="4"/>
  <c r="U39" i="4"/>
  <c r="AR39" i="4"/>
  <c r="AQ39" i="4"/>
  <c r="U40" i="4"/>
  <c r="AR40" i="4"/>
  <c r="AQ40" i="4"/>
  <c r="U37" i="4"/>
  <c r="AR37" i="4"/>
  <c r="AQ37" i="4"/>
  <c r="U38" i="4"/>
  <c r="C9" i="5" s="1"/>
  <c r="AR38" i="4"/>
  <c r="AQ38" i="4"/>
  <c r="U41" i="4"/>
  <c r="AR41" i="4"/>
  <c r="AQ41" i="4"/>
  <c r="U42" i="4"/>
  <c r="AR42" i="4"/>
  <c r="AQ42" i="4"/>
  <c r="U44" i="4"/>
  <c r="AR44" i="4"/>
  <c r="AQ44" i="4"/>
  <c r="U43" i="4"/>
  <c r="AR43" i="4"/>
  <c r="AQ43" i="4"/>
  <c r="U46" i="4"/>
  <c r="AR46" i="4"/>
  <c r="AQ46" i="4"/>
  <c r="U45" i="4"/>
  <c r="AR45" i="4"/>
  <c r="AQ45" i="4"/>
  <c r="U48" i="4"/>
  <c r="AR48" i="4"/>
  <c r="AQ48" i="4"/>
  <c r="U47" i="4"/>
  <c r="AR47" i="4"/>
  <c r="AQ47" i="4"/>
  <c r="U50" i="4"/>
  <c r="AR50" i="4"/>
  <c r="AQ50" i="4"/>
  <c r="U49" i="4"/>
  <c r="AR49" i="4"/>
  <c r="AQ49" i="4"/>
  <c r="U52" i="4"/>
  <c r="AR52" i="4"/>
  <c r="AQ52" i="4"/>
  <c r="U57" i="4"/>
  <c r="AR57" i="4"/>
  <c r="AQ57" i="4"/>
  <c r="U53" i="4"/>
  <c r="AR53" i="4"/>
  <c r="AQ53" i="4"/>
  <c r="U55" i="4"/>
  <c r="AR55" i="4"/>
  <c r="AQ55" i="4"/>
  <c r="U56" i="4"/>
  <c r="AR56" i="4"/>
  <c r="AQ56" i="4"/>
  <c r="U54" i="4"/>
  <c r="AR54" i="4"/>
  <c r="AQ54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U16" i="1"/>
  <c r="AQ16" i="1"/>
  <c r="AR16" i="1"/>
  <c r="U47" i="1"/>
  <c r="AQ47" i="1"/>
  <c r="AR47" i="1"/>
  <c r="U27" i="1"/>
  <c r="AQ27" i="1"/>
  <c r="AR27" i="1"/>
  <c r="U9" i="1"/>
  <c r="AQ9" i="1"/>
  <c r="AR9" i="1"/>
  <c r="U43" i="1"/>
  <c r="AQ43" i="1"/>
  <c r="AR43" i="1"/>
  <c r="U24" i="1"/>
  <c r="AQ24" i="1"/>
  <c r="AR24" i="1"/>
  <c r="U10" i="1"/>
  <c r="AQ10" i="1"/>
  <c r="AR10" i="1"/>
  <c r="U12" i="1"/>
  <c r="AQ12" i="1"/>
  <c r="AR12" i="1"/>
  <c r="U42" i="1"/>
  <c r="AQ42" i="1"/>
  <c r="AR42" i="1"/>
  <c r="U40" i="1"/>
  <c r="AQ40" i="1"/>
  <c r="AR40" i="1"/>
  <c r="U26" i="1"/>
  <c r="AQ26" i="1"/>
  <c r="AR26" i="1"/>
  <c r="U44" i="1"/>
  <c r="AQ44" i="1"/>
  <c r="AR44" i="1"/>
  <c r="U23" i="1"/>
  <c r="AQ23" i="1"/>
  <c r="AR23" i="1"/>
  <c r="U19" i="1"/>
  <c r="AQ19" i="1"/>
  <c r="AR19" i="1"/>
  <c r="U36" i="1"/>
  <c r="AQ36" i="1"/>
  <c r="AR36" i="1"/>
  <c r="U35" i="1"/>
  <c r="AQ35" i="1"/>
  <c r="AR35" i="1"/>
  <c r="U41" i="1"/>
  <c r="AQ41" i="1"/>
  <c r="AR41" i="1"/>
  <c r="U14" i="1"/>
  <c r="AQ14" i="1"/>
  <c r="AR14" i="1"/>
  <c r="U30" i="1"/>
  <c r="AQ30" i="1"/>
  <c r="AR30" i="1"/>
  <c r="U38" i="1"/>
  <c r="AQ38" i="1"/>
  <c r="AR38" i="1"/>
  <c r="U29" i="1"/>
  <c r="AQ29" i="1"/>
  <c r="AR29" i="1"/>
  <c r="U22" i="1"/>
  <c r="AQ22" i="1"/>
  <c r="AR22" i="1"/>
  <c r="U34" i="1"/>
  <c r="AQ34" i="1"/>
  <c r="AR34" i="1"/>
  <c r="U5" i="1"/>
  <c r="AQ5" i="1"/>
  <c r="AR5" i="1"/>
  <c r="U31" i="1"/>
  <c r="AQ31" i="1"/>
  <c r="AR31" i="1"/>
  <c r="U11" i="1"/>
  <c r="AQ11" i="1"/>
  <c r="AR11" i="1"/>
  <c r="U46" i="1"/>
  <c r="AQ46" i="1"/>
  <c r="AR46" i="1"/>
  <c r="U7" i="1"/>
  <c r="AQ7" i="1"/>
  <c r="AR7" i="1"/>
  <c r="U32" i="1"/>
  <c r="AQ32" i="1"/>
  <c r="AR32" i="1"/>
  <c r="U25" i="1"/>
  <c r="AQ25" i="1"/>
  <c r="AR25" i="1"/>
  <c r="U17" i="1"/>
  <c r="AQ17" i="1"/>
  <c r="AR17" i="1"/>
  <c r="AQ4" i="1"/>
  <c r="AR4" i="1"/>
  <c r="AQ6" i="1"/>
  <c r="AR6" i="1"/>
  <c r="U36" i="4" l="1"/>
  <c r="AR36" i="4"/>
  <c r="AQ36" i="4"/>
  <c r="U35" i="4"/>
  <c r="AR35" i="4"/>
  <c r="AQ35" i="4"/>
  <c r="U34" i="4"/>
  <c r="AR34" i="4"/>
  <c r="AQ34" i="4"/>
  <c r="U33" i="4"/>
  <c r="AR33" i="4"/>
  <c r="AQ33" i="4"/>
  <c r="U32" i="4"/>
  <c r="AR32" i="4"/>
  <c r="AQ32" i="4"/>
  <c r="U31" i="4"/>
  <c r="AR31" i="4"/>
  <c r="AQ31" i="4"/>
  <c r="U30" i="4"/>
  <c r="AR30" i="4"/>
  <c r="AQ30" i="4"/>
  <c r="U29" i="4"/>
  <c r="AR29" i="4"/>
  <c r="AQ29" i="4"/>
  <c r="U28" i="4"/>
  <c r="AR28" i="4"/>
  <c r="AQ28" i="4"/>
  <c r="U27" i="4"/>
  <c r="AR27" i="4"/>
  <c r="AQ27" i="4"/>
  <c r="U26" i="4"/>
  <c r="AR26" i="4"/>
  <c r="AQ26" i="4"/>
  <c r="U25" i="4"/>
  <c r="AR25" i="4"/>
  <c r="AQ25" i="4"/>
  <c r="U24" i="4"/>
  <c r="AR24" i="4"/>
  <c r="AQ24" i="4"/>
  <c r="U23" i="4"/>
  <c r="AR23" i="4"/>
  <c r="AQ23" i="4"/>
  <c r="U22" i="4"/>
  <c r="AR22" i="4"/>
  <c r="AQ22" i="4"/>
  <c r="U21" i="4"/>
  <c r="AR21" i="4"/>
  <c r="AQ21" i="4"/>
  <c r="U20" i="4"/>
  <c r="AR20" i="4"/>
  <c r="AQ20" i="4"/>
  <c r="U19" i="4"/>
  <c r="AR19" i="4"/>
  <c r="AQ19" i="4"/>
  <c r="U18" i="4"/>
  <c r="AR18" i="4"/>
  <c r="AQ18" i="4"/>
  <c r="U17" i="4"/>
  <c r="AR17" i="4"/>
  <c r="AQ17" i="4"/>
  <c r="U16" i="4"/>
  <c r="AR16" i="4"/>
  <c r="AQ16" i="4"/>
  <c r="U15" i="4"/>
  <c r="AR15" i="4"/>
  <c r="AQ15" i="4"/>
  <c r="U14" i="4"/>
  <c r="AR14" i="4"/>
  <c r="AQ14" i="4"/>
  <c r="U13" i="4"/>
  <c r="AR13" i="4"/>
  <c r="AQ13" i="4"/>
  <c r="U12" i="4"/>
  <c r="AR12" i="4"/>
  <c r="AQ12" i="4"/>
  <c r="U11" i="4"/>
  <c r="AR11" i="4"/>
  <c r="AQ11" i="4"/>
  <c r="U10" i="4"/>
  <c r="AR10" i="4"/>
  <c r="AQ10" i="4"/>
  <c r="U9" i="4"/>
  <c r="AR9" i="4"/>
  <c r="AQ9" i="4"/>
  <c r="U8" i="4"/>
  <c r="AR8" i="4"/>
  <c r="AQ8" i="4"/>
  <c r="U7" i="4"/>
  <c r="AR7" i="4"/>
  <c r="AQ7" i="4"/>
  <c r="U6" i="4"/>
  <c r="AR6" i="4"/>
  <c r="AQ6" i="4"/>
  <c r="U5" i="4"/>
  <c r="C6" i="5" s="1"/>
  <c r="AR5" i="4"/>
  <c r="AQ5" i="4"/>
  <c r="U4" i="4"/>
  <c r="AR4" i="4"/>
  <c r="AQ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tc={164EFC21-B138-4C39-AA4B-62A03CCF9B20}</author>
  </authors>
  <commentList>
    <comment ref="R3" authorId="0" shapeId="0" xr:uid="{164EFC21-B138-4C39-AA4B-62A03CCF9B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Div. entre 1000 y Mult. x Factor</t>
      </text>
    </comment>
  </commentList>
</comments>
</file>

<file path=xl/sharedStrings.xml><?xml version="1.0" encoding="utf-8"?>
<sst xmlns="http://schemas.openxmlformats.org/spreadsheetml/2006/main" count="1892" uniqueCount="329">
  <si>
    <t>J</t>
  </si>
  <si>
    <t>L</t>
  </si>
  <si>
    <t>F</t>
  </si>
  <si>
    <t>Item</t>
  </si>
  <si>
    <t>EECC</t>
  </si>
  <si>
    <t>Análisis - Centro Control</t>
  </si>
  <si>
    <t>Balance - Centro Control</t>
  </si>
  <si>
    <t>Cantidad Clientes</t>
  </si>
  <si>
    <t>Facturación Clientes (MWh)</t>
  </si>
  <si>
    <t>Datos CNR</t>
  </si>
  <si>
    <t>Inspecciones</t>
  </si>
  <si>
    <t>SED</t>
  </si>
  <si>
    <t>Fecha Instalación</t>
  </si>
  <si>
    <t>Distrito</t>
  </si>
  <si>
    <t>N° medidor instalado</t>
  </si>
  <si>
    <t>Marca</t>
  </si>
  <si>
    <t>Factor</t>
  </si>
  <si>
    <t>IP</t>
  </si>
  <si>
    <t>Tipología Cliente</t>
  </si>
  <si>
    <t>Acta Entregada</t>
  </si>
  <si>
    <t xml:space="preserve">Validación </t>
  </si>
  <si>
    <t>Estado de Telemedida</t>
  </si>
  <si>
    <t>Horaro Max Demanda</t>
  </si>
  <si>
    <t>Mes</t>
  </si>
  <si>
    <t>Ene. Dist (MWh)</t>
  </si>
  <si>
    <t>Ene Fact (MWh)</t>
  </si>
  <si>
    <t>Perd. Proy Mes (MWh)</t>
  </si>
  <si>
    <t>%</t>
  </si>
  <si>
    <t>Mon</t>
  </si>
  <si>
    <t>Trif</t>
  </si>
  <si>
    <t>Mult</t>
  </si>
  <si>
    <t>GGCC</t>
  </si>
  <si>
    <t>Total</t>
  </si>
  <si>
    <t>Resid</t>
  </si>
  <si>
    <t>Ener Res</t>
  </si>
  <si>
    <t>Ener Mul</t>
  </si>
  <si>
    <t>Ret</t>
  </si>
  <si>
    <t>Ener Ret</t>
  </si>
  <si>
    <t>Aled</t>
  </si>
  <si>
    <t>Ener Ale</t>
  </si>
  <si>
    <t>AAHH</t>
  </si>
  <si>
    <t>Ener AAHH</t>
  </si>
  <si>
    <t>Perd. No identificada</t>
  </si>
  <si>
    <t>Estrategia</t>
  </si>
  <si>
    <t>Fecha de envío de carpeta</t>
  </si>
  <si>
    <t>02053A</t>
  </si>
  <si>
    <t>CALLAO</t>
  </si>
  <si>
    <t>ELS</t>
  </si>
  <si>
    <t>10.156.217.15</t>
  </si>
  <si>
    <t>OCA</t>
  </si>
  <si>
    <t>Comercial</t>
  </si>
  <si>
    <t>SI</t>
  </si>
  <si>
    <t>Residencial</t>
  </si>
  <si>
    <t>02180A</t>
  </si>
  <si>
    <t>PUENTE PIEDRA</t>
  </si>
  <si>
    <t>10.159.20.240</t>
  </si>
  <si>
    <t>Industrial</t>
  </si>
  <si>
    <t>02262A</t>
  </si>
  <si>
    <t>ANCÓN</t>
  </si>
  <si>
    <t>10.159.20.237</t>
  </si>
  <si>
    <t>NO</t>
  </si>
  <si>
    <t>02435A</t>
  </si>
  <si>
    <t>10.159.20.244</t>
  </si>
  <si>
    <t>02730A</t>
  </si>
  <si>
    <t>10.156.217.3</t>
  </si>
  <si>
    <t>02846A</t>
  </si>
  <si>
    <t>CARABAYLLO</t>
  </si>
  <si>
    <t>10.156.218.13</t>
  </si>
  <si>
    <t>EQUANS</t>
  </si>
  <si>
    <t>02939A</t>
  </si>
  <si>
    <t>COMAS</t>
  </si>
  <si>
    <t>10.156.217.12</t>
  </si>
  <si>
    <t>03411A</t>
  </si>
  <si>
    <t>LOS OLIVOS</t>
  </si>
  <si>
    <t>10.159.20.239</t>
  </si>
  <si>
    <t>03509A</t>
  </si>
  <si>
    <t>10.156.218.47</t>
  </si>
  <si>
    <t>03730A</t>
  </si>
  <si>
    <t>10.159.20.241</t>
  </si>
  <si>
    <t>04453A</t>
  </si>
  <si>
    <t>SAN MARTIN DE PORRES</t>
  </si>
  <si>
    <t>10.156.218.45</t>
  </si>
  <si>
    <t>04559A</t>
  </si>
  <si>
    <t>04916A</t>
  </si>
  <si>
    <t>10.156.217.16</t>
  </si>
  <si>
    <t>04921A</t>
  </si>
  <si>
    <t>10.159.20.245</t>
  </si>
  <si>
    <t>04947A</t>
  </si>
  <si>
    <t>12221A</t>
  </si>
  <si>
    <t>10.156.218.48</t>
  </si>
  <si>
    <t>12402A</t>
  </si>
  <si>
    <t>10.156.218.52</t>
  </si>
  <si>
    <t>12799A</t>
  </si>
  <si>
    <t>VENTANILLA</t>
  </si>
  <si>
    <t>13064A</t>
  </si>
  <si>
    <t>10.159.20.238</t>
  </si>
  <si>
    <t>13352A</t>
  </si>
  <si>
    <t>13372A</t>
  </si>
  <si>
    <t>10.156.217.17</t>
  </si>
  <si>
    <t>13409A</t>
  </si>
  <si>
    <t>10.159.20.236</t>
  </si>
  <si>
    <t>13828A</t>
  </si>
  <si>
    <t>13873A</t>
  </si>
  <si>
    <t>10.156.217.14</t>
  </si>
  <si>
    <t>13917A</t>
  </si>
  <si>
    <t>10.156.217.2</t>
  </si>
  <si>
    <t>14108A</t>
  </si>
  <si>
    <t>10.156.218.11</t>
  </si>
  <si>
    <t>14156A</t>
  </si>
  <si>
    <t>10.159.21.48</t>
  </si>
  <si>
    <t>14270A</t>
  </si>
  <si>
    <t>10.156.218.12</t>
  </si>
  <si>
    <t>14346A</t>
  </si>
  <si>
    <t>10.159.20.235</t>
  </si>
  <si>
    <t>14549A</t>
  </si>
  <si>
    <t>10.156.217.7</t>
  </si>
  <si>
    <t>14673A</t>
  </si>
  <si>
    <t>10.156.217.13</t>
  </si>
  <si>
    <t>14825A</t>
  </si>
  <si>
    <t>10.159.21.73</t>
  </si>
  <si>
    <t>15596A</t>
  </si>
  <si>
    <t>10.156.217.1</t>
  </si>
  <si>
    <t>15650A</t>
  </si>
  <si>
    <t>15673A</t>
  </si>
  <si>
    <t>10.156.217.9</t>
  </si>
  <si>
    <t>15900A</t>
  </si>
  <si>
    <t>10.156.218.51</t>
  </si>
  <si>
    <t>16206A</t>
  </si>
  <si>
    <t>10.156.218.46</t>
  </si>
  <si>
    <t>16413A</t>
  </si>
  <si>
    <t>16524A</t>
  </si>
  <si>
    <t>10.156.218.49</t>
  </si>
  <si>
    <t>21434A</t>
  </si>
  <si>
    <t>10.159.21.181</t>
  </si>
  <si>
    <t>21467A</t>
  </si>
  <si>
    <t>10.156.217.11</t>
  </si>
  <si>
    <t>21485A</t>
  </si>
  <si>
    <t>10.156.217.10</t>
  </si>
  <si>
    <t>21488A</t>
  </si>
  <si>
    <t>10.159.20.243</t>
  </si>
  <si>
    <t>21575A</t>
  </si>
  <si>
    <t>10.156.218.40</t>
  </si>
  <si>
    <t>22230A</t>
  </si>
  <si>
    <t>10.156.217.6</t>
  </si>
  <si>
    <t>04920A</t>
  </si>
  <si>
    <t>10.159.21.89</t>
  </si>
  <si>
    <t>13134A</t>
  </si>
  <si>
    <t>10.156.218.53</t>
  </si>
  <si>
    <t>13186A</t>
  </si>
  <si>
    <t>SAN ANTONIO DE CHACLLA</t>
  </si>
  <si>
    <t>10.159.21.128</t>
  </si>
  <si>
    <t>13286A</t>
  </si>
  <si>
    <t>10.156.218.56</t>
  </si>
  <si>
    <t>14417A</t>
  </si>
  <si>
    <t>10.156.218.37</t>
  </si>
  <si>
    <t>14773A</t>
  </si>
  <si>
    <t>10.156.218.55</t>
  </si>
  <si>
    <t>14918A</t>
  </si>
  <si>
    <t>SAN JUAN DE LURIGANCHO</t>
  </si>
  <si>
    <t>10.156.218.10</t>
  </si>
  <si>
    <t>15233A</t>
  </si>
  <si>
    <t>10.156.218.42</t>
  </si>
  <si>
    <t>21572A</t>
  </si>
  <si>
    <t>10.159.21.127</t>
  </si>
  <si>
    <t>21577A</t>
  </si>
  <si>
    <t>10.156.218.41</t>
  </si>
  <si>
    <t>12632A</t>
  </si>
  <si>
    <t>10.156.213.33</t>
  </si>
  <si>
    <t>DOMINION</t>
  </si>
  <si>
    <t>21430A</t>
  </si>
  <si>
    <t>10.156.217.8</t>
  </si>
  <si>
    <t>14300A</t>
  </si>
  <si>
    <t>10.156.218.43</t>
  </si>
  <si>
    <t>12896A</t>
  </si>
  <si>
    <t>10.159.21.56</t>
  </si>
  <si>
    <t>03602A</t>
  </si>
  <si>
    <t>14159A</t>
  </si>
  <si>
    <t>10.159.21.64</t>
  </si>
  <si>
    <t>13278A</t>
  </si>
  <si>
    <t>13383A</t>
  </si>
  <si>
    <t>10.159.21.53</t>
  </si>
  <si>
    <t>04103A</t>
  </si>
  <si>
    <t>04251A</t>
  </si>
  <si>
    <t>10.159.21.134</t>
  </si>
  <si>
    <t>15385A</t>
  </si>
  <si>
    <t>12493A</t>
  </si>
  <si>
    <t>10.159.21.80</t>
  </si>
  <si>
    <t>16283A</t>
  </si>
  <si>
    <t>12492A</t>
  </si>
  <si>
    <t>Descripción</t>
  </si>
  <si>
    <t xml:space="preserve">Menores Compras </t>
  </si>
  <si>
    <t>Carpeta</t>
  </si>
  <si>
    <t>Perfil de carga de la Sed</t>
  </si>
  <si>
    <t>Teching</t>
  </si>
  <si>
    <t>Rango horario de inspección en campo</t>
  </si>
  <si>
    <t xml:space="preserve">Balance proyectado </t>
  </si>
  <si>
    <t>Perfiles de energía de medidores multifunción</t>
  </si>
  <si>
    <t>Si</t>
  </si>
  <si>
    <t>Lista de clientes con datos comerciales</t>
  </si>
  <si>
    <t>Enel</t>
  </si>
  <si>
    <t>Lista de clientes sospechosos</t>
  </si>
  <si>
    <t>Lista clientes truncos</t>
  </si>
  <si>
    <t>Lista de hurtadores Retirados, Aledaños y AAHH con sus impacto enenergía/mes</t>
  </si>
  <si>
    <t>Lista de clientes marcado con las campañas</t>
  </si>
  <si>
    <t>Lista de CNR totales</t>
  </si>
  <si>
    <t>Plano de Sed general y por cuircuito</t>
  </si>
  <si>
    <t>Lista de clientes con facturación cerrada y promedio</t>
  </si>
  <si>
    <t>10.156.217.235</t>
  </si>
  <si>
    <t>10.156.189.196</t>
  </si>
  <si>
    <t>10.156.216.145</t>
  </si>
  <si>
    <t>10.156.216.253</t>
  </si>
  <si>
    <t>10.156.216.255</t>
  </si>
  <si>
    <t>10.156.216.254</t>
  </si>
  <si>
    <t>10.156.216.146</t>
  </si>
  <si>
    <t>10.156.216.151</t>
  </si>
  <si>
    <t>10.156.216.150</t>
  </si>
  <si>
    <t>10.156.216.152</t>
  </si>
  <si>
    <t>10.156.216.149</t>
  </si>
  <si>
    <t>10.156.216.251</t>
  </si>
  <si>
    <t>SIN DATA</t>
  </si>
  <si>
    <t>02234A</t>
  </si>
  <si>
    <t>10.156.216.252</t>
  </si>
  <si>
    <t>20604A</t>
  </si>
  <si>
    <t>10.159.21.49</t>
  </si>
  <si>
    <t>13721A</t>
  </si>
  <si>
    <t>10.159.21.72</t>
  </si>
  <si>
    <t>04112A</t>
  </si>
  <si>
    <t>10.156.217.28</t>
  </si>
  <si>
    <t>14691A</t>
  </si>
  <si>
    <t>10.156.217.55</t>
  </si>
  <si>
    <t>13311A</t>
  </si>
  <si>
    <t>10.156.217.5</t>
  </si>
  <si>
    <t>15389A</t>
  </si>
  <si>
    <t>10.159.21.54</t>
  </si>
  <si>
    <t>12224A</t>
  </si>
  <si>
    <t>10.156.217.26</t>
  </si>
  <si>
    <t>04630A</t>
  </si>
  <si>
    <t>INDEPENDENCIA</t>
  </si>
  <si>
    <t>10.156.216.186</t>
  </si>
  <si>
    <t>LARI</t>
  </si>
  <si>
    <t>03853A</t>
  </si>
  <si>
    <t>10.156.217.195</t>
  </si>
  <si>
    <t>02750A</t>
  </si>
  <si>
    <t>10.156.216.250</t>
  </si>
  <si>
    <t>03594A</t>
  </si>
  <si>
    <t>10.156.217.25</t>
  </si>
  <si>
    <t>03004A</t>
  </si>
  <si>
    <t>10.156.217.24</t>
  </si>
  <si>
    <t>12685A</t>
  </si>
  <si>
    <t>10.156.217.27</t>
  </si>
  <si>
    <t>14298A</t>
  </si>
  <si>
    <t>10.159.21.58</t>
  </si>
  <si>
    <t>12596A</t>
  </si>
  <si>
    <t>10.156.217.136</t>
  </si>
  <si>
    <t>14014A</t>
  </si>
  <si>
    <t>10.156.217.4</t>
  </si>
  <si>
    <t>12528A</t>
  </si>
  <si>
    <t>10.156.217.56</t>
  </si>
  <si>
    <t>14015A</t>
  </si>
  <si>
    <t>10.156.216.148</t>
  </si>
  <si>
    <t>10839A</t>
  </si>
  <si>
    <t>10.159.21.79</t>
  </si>
  <si>
    <t>14939A</t>
  </si>
  <si>
    <t xml:space="preserve">10.156.217.92 </t>
  </si>
  <si>
    <t>02434A</t>
  </si>
  <si>
    <t>10.156.217.23</t>
  </si>
  <si>
    <t>03619A</t>
  </si>
  <si>
    <t>10.156.217.86</t>
  </si>
  <si>
    <t>03751A</t>
  </si>
  <si>
    <t>10.156.217.22</t>
  </si>
  <si>
    <t>15446A</t>
  </si>
  <si>
    <t>10.156.217.34</t>
  </si>
  <si>
    <t>04511A</t>
  </si>
  <si>
    <t>10.156.216.156</t>
  </si>
  <si>
    <t>13248A</t>
  </si>
  <si>
    <t>10.156.217.48</t>
  </si>
  <si>
    <t>02851A</t>
  </si>
  <si>
    <t>10.156.216.153</t>
  </si>
  <si>
    <t>21462A</t>
  </si>
  <si>
    <t>10.156.217.90</t>
  </si>
  <si>
    <t>12979A</t>
  </si>
  <si>
    <t>10.156.216.157</t>
  </si>
  <si>
    <t>13812A</t>
  </si>
  <si>
    <t>10.156.216.135</t>
  </si>
  <si>
    <t>12411A</t>
  </si>
  <si>
    <t xml:space="preserve">10.156.217.93 </t>
  </si>
  <si>
    <t>04372A</t>
  </si>
  <si>
    <t>10.156.216.158</t>
  </si>
  <si>
    <t>15628A</t>
  </si>
  <si>
    <t>10.156.217.30</t>
  </si>
  <si>
    <t>22048A</t>
  </si>
  <si>
    <t>10.156.216.159</t>
  </si>
  <si>
    <t>15080A</t>
  </si>
  <si>
    <t>10.156.217.194</t>
  </si>
  <si>
    <t>12374A</t>
  </si>
  <si>
    <t>10.156.216.154</t>
  </si>
  <si>
    <t>04017A</t>
  </si>
  <si>
    <t>10.156.217.190</t>
  </si>
  <si>
    <t>Comercial-Residencial</t>
  </si>
  <si>
    <t>02969A</t>
  </si>
  <si>
    <t>10.156.217.18</t>
  </si>
  <si>
    <t>04917A</t>
  </si>
  <si>
    <t>10.156.217.192</t>
  </si>
  <si>
    <t>Industrial-Residencial</t>
  </si>
  <si>
    <t>02667A</t>
  </si>
  <si>
    <t>10.156.217.193</t>
  </si>
  <si>
    <t>03015A</t>
  </si>
  <si>
    <t>10.156.216.155</t>
  </si>
  <si>
    <t>13479A</t>
  </si>
  <si>
    <t>10.156.217.51</t>
  </si>
  <si>
    <t>16450A</t>
  </si>
  <si>
    <t>10.156.217.21</t>
  </si>
  <si>
    <t>04501A</t>
  </si>
  <si>
    <t>10.156.217.19</t>
  </si>
  <si>
    <t>21464A</t>
  </si>
  <si>
    <t>10.156.217.52</t>
  </si>
  <si>
    <t>12720A</t>
  </si>
  <si>
    <t>10.156.217.20</t>
  </si>
  <si>
    <t>04743A</t>
  </si>
  <si>
    <t>10.159.21.65</t>
  </si>
  <si>
    <t>E. Facturada</t>
  </si>
  <si>
    <t>E. Proyectada</t>
  </si>
  <si>
    <t>Var. Energía</t>
  </si>
  <si>
    <t>% Perdida</t>
  </si>
  <si>
    <t>Total. de Clientes</t>
  </si>
  <si>
    <t>Maxímetros</t>
  </si>
  <si>
    <t>X</t>
  </si>
  <si>
    <t>M</t>
  </si>
  <si>
    <t>Hora Max. Dem.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</si>
</sst>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</font>
    <font>
      <sz val="9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7030A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9">
    <xf numFmtId="0" fontId="0" fillId="0" borderId="0" xfId="0"/>
    <xf numFmtId="9" fontId="0" fillId="0" borderId="10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3" fillId="35" borderId="10" xfId="0" applyFont="1" applyFill="1" applyBorder="1" applyAlignment="1">
      <alignment horizontal="center" vertical="center" wrapText="1"/>
    </xf>
    <xf numFmtId="0" fontId="13" fillId="35" borderId="11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6" borderId="11" xfId="0" applyFont="1" applyFill="1" applyBorder="1" applyAlignment="1">
      <alignment horizontal="center" vertical="center" wrapText="1"/>
    </xf>
    <xf numFmtId="3" fontId="18" fillId="36" borderId="11" xfId="0" applyNumberFormat="1" applyFont="1" applyFill="1" applyBorder="1" applyAlignment="1">
      <alignment horizontal="center" vertical="center" wrapText="1"/>
    </xf>
    <xf numFmtId="3" fontId="0" fillId="0" borderId="10" xfId="0" applyNumberFormat="1" applyBorder="1" applyAlignment="1">
      <alignment horizontal="center"/>
    </xf>
    <xf numFmtId="3" fontId="0" fillId="0" borderId="10" xfId="1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3" fillId="37" borderId="10" xfId="0" applyFont="1" applyFill="1" applyBorder="1" applyAlignment="1">
      <alignment horizontal="center" vertical="center"/>
    </xf>
    <xf numFmtId="0" fontId="13" fillId="37" borderId="10" xfId="0" applyFont="1" applyFill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/>
    </xf>
    <xf numFmtId="1" fontId="0" fillId="0" borderId="10" xfId="1" applyNumberFormat="1" applyFont="1" applyBorder="1" applyAlignment="1">
      <alignment horizontal="center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horizontal="center"/>
    </xf>
    <xf numFmtId="0" fontId="18" fillId="36" borderId="13" xfId="0" applyFont="1" applyFill="1" applyBorder="1" applyAlignment="1">
      <alignment horizontal="center" vertical="center" wrapText="1"/>
    </xf>
    <xf numFmtId="0" fontId="13" fillId="35" borderId="12" xfId="0" applyFont="1" applyFill="1" applyBorder="1" applyAlignment="1">
      <alignment horizontal="center" vertical="center" wrapText="1"/>
    </xf>
    <xf numFmtId="0" fontId="0" fillId="0" borderId="14" xfId="0" applyBorder="1"/>
    <xf numFmtId="164" fontId="0" fillId="0" borderId="10" xfId="0" applyNumberFormat="1" applyBorder="1" applyAlignment="1">
      <alignment horizontal="center"/>
    </xf>
    <xf numFmtId="3" fontId="13" fillId="38" borderId="11" xfId="0" applyNumberFormat="1" applyFont="1" applyFill="1" applyBorder="1" applyAlignment="1">
      <alignment horizontal="center" vertical="center" wrapText="1"/>
    </xf>
    <xf numFmtId="0" fontId="13" fillId="38" borderId="11" xfId="0" applyFont="1" applyFill="1" applyBorder="1" applyAlignment="1">
      <alignment horizontal="center" vertical="center" wrapText="1"/>
    </xf>
    <xf numFmtId="3" fontId="13" fillId="39" borderId="11" xfId="0" applyNumberFormat="1" applyFont="1" applyFill="1" applyBorder="1" applyAlignment="1">
      <alignment horizontal="center" vertical="center" wrapText="1"/>
    </xf>
    <xf numFmtId="0" fontId="13" fillId="39" borderId="11" xfId="0" applyFont="1" applyFill="1" applyBorder="1" applyAlignment="1">
      <alignment horizontal="center" vertical="center" wrapText="1"/>
    </xf>
    <xf numFmtId="3" fontId="18" fillId="40" borderId="11" xfId="0" applyNumberFormat="1" applyFont="1" applyFill="1" applyBorder="1" applyAlignment="1">
      <alignment horizontal="center" vertical="center" wrapText="1"/>
    </xf>
    <xf numFmtId="0" fontId="18" fillId="40" borderId="11" xfId="0" applyFont="1" applyFill="1" applyBorder="1" applyAlignment="1">
      <alignment horizontal="center" vertical="center" wrapText="1"/>
    </xf>
    <xf numFmtId="4" fontId="0" fillId="0" borderId="0" xfId="0" applyNumberFormat="1"/>
    <xf numFmtId="4" fontId="18" fillId="34" borderId="10" xfId="0" applyNumberFormat="1" applyFont="1" applyFill="1" applyBorder="1" applyAlignment="1">
      <alignment horizontal="center" vertical="center" wrapText="1"/>
    </xf>
    <xf numFmtId="4" fontId="0" fillId="0" borderId="1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1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9" borderId="0" xfId="0" applyFill="1" applyAlignment="1">
      <alignment horizontal="center"/>
    </xf>
    <xf numFmtId="4" fontId="0" fillId="39" borderId="0" xfId="0" applyNumberFormat="1" applyFill="1" applyAlignment="1">
      <alignment horizontal="center" vertical="center"/>
    </xf>
    <xf numFmtId="0" fontId="0" fillId="42" borderId="0" xfId="0" applyFill="1" applyAlignment="1">
      <alignment horizontal="center"/>
    </xf>
    <xf numFmtId="0" fontId="0" fillId="42" borderId="0" xfId="0" applyFill="1" applyAlignment="1">
      <alignment horizontal="center" vertical="center"/>
    </xf>
    <xf numFmtId="0" fontId="20" fillId="0" borderId="10" xfId="0" applyFont="1" applyBorder="1"/>
    <xf numFmtId="0" fontId="0" fillId="0" borderId="16" xfId="0" applyBorder="1"/>
    <xf numFmtId="17" fontId="0" fillId="0" borderId="16" xfId="0" applyNumberFormat="1" applyBorder="1" applyAlignment="1">
      <alignment horizontal="center"/>
    </xf>
    <xf numFmtId="21" fontId="21" fillId="0" borderId="16" xfId="0" applyNumberFormat="1" applyFont="1" applyBorder="1"/>
    <xf numFmtId="17" fontId="21" fillId="0" borderId="16" xfId="0" applyNumberFormat="1" applyFont="1" applyBorder="1"/>
    <xf numFmtId="0" fontId="0" fillId="0" borderId="16" xfId="0" applyBorder="1" applyAlignment="1">
      <alignment horizontal="center"/>
    </xf>
    <xf numFmtId="0" fontId="0" fillId="0" borderId="12" xfId="0" applyBorder="1"/>
    <xf numFmtId="4" fontId="0" fillId="0" borderId="11" xfId="0" applyNumberFormat="1" applyBorder="1" applyAlignment="1">
      <alignment horizontal="center"/>
    </xf>
    <xf numFmtId="0" fontId="13" fillId="35" borderId="15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4" fontId="18" fillId="34" borderId="15" xfId="0" applyNumberFormat="1" applyFont="1" applyFill="1" applyBorder="1" applyAlignment="1">
      <alignment horizontal="center" vertical="center" wrapText="1"/>
    </xf>
    <xf numFmtId="4" fontId="0" fillId="0" borderId="17" xfId="0" applyNumberForma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20" fillId="0" borderId="11" xfId="0" applyFont="1" applyBorder="1"/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14" fontId="22" fillId="0" borderId="11" xfId="0" applyNumberFormat="1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14" fontId="22" fillId="0" borderId="20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0" fontId="22" fillId="0" borderId="16" xfId="0" applyFont="1" applyBorder="1" applyAlignment="1">
      <alignment horizontal="center" vertical="center"/>
    </xf>
    <xf numFmtId="4" fontId="0" fillId="0" borderId="16" xfId="0" applyNumberFormat="1" applyBorder="1"/>
    <xf numFmtId="3" fontId="0" fillId="0" borderId="16" xfId="0" applyNumberFormat="1" applyBorder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9" fontId="0" fillId="0" borderId="15" xfId="1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25" xfId="0" applyBorder="1"/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4" fontId="0" fillId="0" borderId="16" xfId="0" applyNumberFormat="1" applyBorder="1" applyAlignment="1">
      <alignment horizontal="center"/>
    </xf>
    <xf numFmtId="9" fontId="0" fillId="0" borderId="16" xfId="1" applyFon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" fontId="0" fillId="0" borderId="16" xfId="0" applyNumberFormat="1" applyBorder="1" applyAlignment="1">
      <alignment horizontal="center" vertical="center"/>
    </xf>
    <xf numFmtId="17" fontId="21" fillId="0" borderId="16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21" fontId="21" fillId="0" borderId="16" xfId="0" applyNumberFormat="1" applyFont="1" applyBorder="1" applyAlignment="1">
      <alignment horizontal="center"/>
    </xf>
    <xf numFmtId="17" fontId="23" fillId="0" borderId="16" xfId="0" applyNumberFormat="1" applyFont="1" applyBorder="1" applyAlignment="1">
      <alignment horizontal="center" vertical="center"/>
    </xf>
    <xf numFmtId="21" fontId="23" fillId="0" borderId="16" xfId="0" applyNumberFormat="1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14" fontId="0" fillId="43" borderId="10" xfId="0" applyNumberFormat="1" applyFill="1" applyBorder="1" applyAlignment="1">
      <alignment horizontal="center"/>
    </xf>
    <xf numFmtId="14" fontId="0" fillId="44" borderId="10" xfId="0" applyNumberFormat="1" applyFill="1" applyBorder="1" applyAlignment="1">
      <alignment horizontal="center"/>
    </xf>
    <xf numFmtId="14" fontId="0" fillId="45" borderId="10" xfId="0" applyNumberFormat="1" applyFill="1" applyBorder="1" applyAlignment="1">
      <alignment horizontal="center"/>
    </xf>
    <xf numFmtId="14" fontId="22" fillId="45" borderId="10" xfId="0" applyNumberFormat="1" applyFont="1" applyFill="1" applyBorder="1" applyAlignment="1">
      <alignment horizontal="center" vertical="center"/>
    </xf>
    <xf numFmtId="14" fontId="0" fillId="45" borderId="15" xfId="0" applyNumberFormat="1" applyFill="1" applyBorder="1" applyAlignment="1">
      <alignment horizontal="center"/>
    </xf>
    <xf numFmtId="14" fontId="0" fillId="45" borderId="16" xfId="0" applyNumberFormat="1" applyFill="1" applyBorder="1" applyAlignment="1">
      <alignment horizontal="center"/>
    </xf>
    <xf numFmtId="14" fontId="0" fillId="45" borderId="11" xfId="0" applyNumberForma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9" fillId="0" borderId="26" xfId="0" applyFont="1" applyBorder="1" applyAlignment="1">
      <alignment horizontal="center"/>
    </xf>
    <xf numFmtId="2" fontId="19" fillId="0" borderId="27" xfId="0" applyNumberFormat="1" applyFont="1" applyBorder="1" applyAlignment="1">
      <alignment horizontal="center"/>
    </xf>
    <xf numFmtId="9" fontId="19" fillId="0" borderId="27" xfId="0" applyNumberFormat="1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21" fontId="19" fillId="0" borderId="29" xfId="0" applyNumberFormat="1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19" fillId="46" borderId="30" xfId="0" applyFont="1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22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4" fontId="25" fillId="34" borderId="15" xfId="0" applyNumberFormat="1" applyFont="1" applyFill="1" applyBorder="1" applyAlignment="1">
      <alignment horizontal="center" vertical="center" wrapText="1"/>
    </xf>
    <xf numFmtId="14" fontId="22" fillId="47" borderId="20" xfId="0" applyNumberFormat="1" applyFont="1" applyFill="1" applyBorder="1" applyAlignment="1">
      <alignment horizontal="center" vertical="center"/>
    </xf>
    <xf numFmtId="14" fontId="22" fillId="47" borderId="32" xfId="0" applyNumberFormat="1" applyFont="1" applyFill="1" applyBorder="1" applyAlignment="1">
      <alignment horizontal="center" vertical="center"/>
    </xf>
    <xf numFmtId="14" fontId="22" fillId="47" borderId="16" xfId="0" applyNumberFormat="1" applyFont="1" applyFill="1" applyBorder="1" applyAlignment="1">
      <alignment horizontal="center" vertical="center"/>
    </xf>
    <xf numFmtId="14" fontId="0" fillId="47" borderId="16" xfId="0" applyNumberFormat="1" applyFill="1" applyBorder="1" applyAlignment="1">
      <alignment horizontal="center"/>
    </xf>
    <xf numFmtId="0" fontId="26" fillId="0" borderId="16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17" fontId="23" fillId="0" borderId="17" xfId="0" applyNumberFormat="1" applyFont="1" applyBorder="1" applyAlignment="1">
      <alignment horizontal="center"/>
    </xf>
    <xf numFmtId="17" fontId="23" fillId="0" borderId="34" xfId="0" applyNumberFormat="1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0" xfId="0" applyFont="1" applyAlignment="1">
      <alignment horizontal="center"/>
    </xf>
    <xf numFmtId="14" fontId="20" fillId="48" borderId="16" xfId="0" applyNumberFormat="1" applyFont="1" applyFill="1" applyBorder="1" applyAlignment="1">
      <alignment horizontal="center"/>
    </xf>
    <xf numFmtId="0" fontId="0" fillId="0" borderId="16" xfId="0" applyBorder="1" applyAlignment="1">
      <alignment vertical="center"/>
    </xf>
    <xf numFmtId="14" fontId="20" fillId="48" borderId="33" xfId="0" applyNumberFormat="1" applyFont="1" applyFill="1" applyBorder="1" applyAlignment="1">
      <alignment horizontal="center"/>
    </xf>
    <xf numFmtId="0" fontId="22" fillId="0" borderId="35" xfId="0" applyFont="1" applyBorder="1" applyAlignment="1">
      <alignment horizontal="center" vertical="center"/>
    </xf>
    <xf numFmtId="9" fontId="0" fillId="0" borderId="18" xfId="1" applyFon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18" xfId="0" applyBorder="1"/>
    <xf numFmtId="164" fontId="0" fillId="0" borderId="18" xfId="0" applyNumberForma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34" borderId="10" xfId="0" applyNumberFormat="1" applyFont="1" applyFill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/>
    </xf>
    <xf numFmtId="49" fontId="22" fillId="0" borderId="10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/>
    </xf>
    <xf numFmtId="49" fontId="22" fillId="0" borderId="21" xfId="0" applyNumberFormat="1" applyFont="1" applyBorder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49" fontId="0" fillId="0" borderId="16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4" fontId="20" fillId="48" borderId="35" xfId="0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0" fontId="16" fillId="0" borderId="0" xfId="0" applyFont="1" applyAlignment="1">
      <alignment horizontal="center" vertical="center"/>
    </xf>
    <xf numFmtId="14" fontId="20" fillId="49" borderId="33" xfId="0" applyNumberFormat="1" applyFont="1" applyFill="1" applyBorder="1" applyAlignment="1">
      <alignment horizontal="center"/>
    </xf>
    <xf numFmtId="0" fontId="0" fillId="45" borderId="0" xfId="0" applyFill="1"/>
    <xf numFmtId="0" fontId="0" fillId="49" borderId="0" xfId="0" applyFill="1"/>
    <xf numFmtId="0" fontId="0" fillId="0" borderId="33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3" fillId="35" borderId="10" xfId="0" applyFont="1" applyFill="1" applyBorder="1" applyAlignment="1">
      <alignment horizontal="center"/>
    </xf>
    <xf numFmtId="0" fontId="13" fillId="35" borderId="15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/>
    </xf>
    <xf numFmtId="0" fontId="13" fillId="35" borderId="12" xfId="0" applyFont="1" applyFill="1" applyBorder="1" applyAlignment="1">
      <alignment horizontal="center"/>
    </xf>
    <xf numFmtId="0" fontId="13" fillId="35" borderId="13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3" fillId="35" borderId="10" xfId="0" applyFont="1" applyFill="1" applyBorder="1" applyAlignment="1">
      <alignment horizontal="center" vertical="center"/>
    </xf>
    <xf numFmtId="0" fontId="13" fillId="35" borderId="15" xfId="0" applyFont="1" applyFill="1" applyBorder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142000</xdr:colOff>
      <xdr:row>11</xdr:row>
      <xdr:rowOff>180690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E0FFB3-9DFC-341B-F2C4-F1C3128FC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00000" cy="2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9</xdr:col>
      <xdr:colOff>218190</xdr:colOff>
      <xdr:row>25</xdr:row>
      <xdr:rowOff>171143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ADAD3B-668B-B698-9A1C-5176CEED8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6500"/>
          <a:ext cx="7076190" cy="2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</xdr:rowOff>
    </xdr:from>
    <xdr:to>
      <xdr:col>5</xdr:col>
      <xdr:colOff>714375</xdr:colOff>
      <xdr:row>36</xdr:row>
      <xdr:rowOff>154897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D7B7D75-A3E6-93D0-3E7C-F4E91D4E6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43501"/>
          <a:ext cx="4524375" cy="18693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9</xdr:col>
      <xdr:colOff>86590</xdr:colOff>
      <xdr:row>49</xdr:row>
      <xdr:rowOff>95250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FEB2A7-7B44-CB9E-1BFA-06066CBC7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239000"/>
          <a:ext cx="6944590" cy="2190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69086</xdr:rowOff>
    </xdr:from>
    <xdr:to>
      <xdr:col>9</xdr:col>
      <xdr:colOff>9525</xdr:colOff>
      <xdr:row>62</xdr:row>
      <xdr:rowOff>94926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8160794-8F05-4E9D-BD6E-4CA37918A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594086"/>
          <a:ext cx="6867525" cy="23118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11</xdr:row>
      <xdr:rowOff>19050</xdr:rowOff>
    </xdr:from>
    <xdr:to>
      <xdr:col>2</xdr:col>
      <xdr:colOff>266700</xdr:colOff>
      <xdr:row>12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E005E7E-3F48-CCCE-A4B4-FEB7F714BEB7}"/>
            </a:ext>
          </a:extLst>
        </xdr:cNvPr>
        <xdr:cNvSpPr txBox="1"/>
      </xdr:nvSpPr>
      <xdr:spPr>
        <a:xfrm>
          <a:off x="57150" y="1924050"/>
          <a:ext cx="13811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Formula actualizada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to Orellana TECHING" id="{8AE1191E-4A6E-418A-866B-63BEA9C6ADD8}" userId="S::aorellana@teching.com.pe::db8d6bca-2efe-4868-a6c2-fd4a4e275340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3" dT="2024-03-21T17:19:39.46" personId="{8AE1191E-4A6E-418A-866B-63BEA9C6ADD8}" id="{164EFC21-B138-4C39-AA4B-62A03CCF9B20}">
    <text>Div. entre 1000 y Mult. x Factor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94"/>
  <sheetViews>
    <sheetView showGridLines="0" zoomScale="85" zoomScaleNormal="85" workbookViewId="0">
      <selection activeCell="P4" sqref="P4"/>
    </sheetView>
  </sheetViews>
  <sheetFormatPr baseColWidth="10" defaultColWidth="11.42578125" defaultRowHeight="15" x14ac:dyDescent="0.25"/>
  <cols>
    <col min="1" max="1" width="3.5703125" customWidth="1"/>
    <col min="2" max="2" width="5.42578125" style="4" customWidth="1"/>
    <col min="3" max="3" width="9.140625" style="4" customWidth="1"/>
    <col min="4" max="4" width="11.42578125" style="4" customWidth="1"/>
    <col min="5" max="5" width="18" customWidth="1"/>
    <col min="6" max="6" width="10.7109375" customWidth="1"/>
    <col min="7" max="7" width="7.140625" style="4" customWidth="1"/>
    <col min="8" max="8" width="7" style="4" customWidth="1"/>
    <col min="9" max="9" width="13.7109375" style="4" customWidth="1"/>
    <col min="10" max="10" width="10.7109375" style="4" customWidth="1"/>
    <col min="11" max="11" width="11.42578125" customWidth="1"/>
    <col min="12" max="12" width="10.5703125" customWidth="1"/>
    <col min="13" max="13" width="11.7109375" customWidth="1"/>
    <col min="14" max="14" width="13.140625" customWidth="1"/>
    <col min="15" max="15" width="12.28515625" customWidth="1"/>
    <col min="16" max="16" width="11.42578125" bestFit="1" customWidth="1"/>
    <col min="17" max="17" width="8.42578125" style="4" customWidth="1"/>
    <col min="18" max="20" width="11.42578125" style="34" bestFit="1" customWidth="1"/>
    <col min="21" max="21" width="11.42578125" bestFit="1" customWidth="1"/>
    <col min="22" max="31" width="6.7109375" customWidth="1"/>
    <col min="32" max="32" width="6.7109375" style="13" customWidth="1"/>
    <col min="33" max="33" width="6.7109375" style="4" customWidth="1"/>
    <col min="34" max="34" width="6.7109375" style="13" customWidth="1"/>
    <col min="35" max="35" width="6.7109375" style="4" customWidth="1"/>
    <col min="36" max="36" width="6.7109375" style="13" customWidth="1"/>
    <col min="37" max="37" width="6.7109375" style="4" customWidth="1"/>
    <col min="38" max="38" width="6.7109375" style="13" customWidth="1"/>
    <col min="39" max="39" width="6.7109375" style="4" customWidth="1"/>
    <col min="40" max="40" width="6.7109375" style="13" customWidth="1"/>
    <col min="41" max="43" width="6.7109375" style="4" customWidth="1"/>
    <col min="44" max="45" width="26.7109375" customWidth="1"/>
  </cols>
  <sheetData>
    <row r="1" spans="2:45" x14ac:dyDescent="0.25">
      <c r="C1" s="39" t="s">
        <v>0</v>
      </c>
      <c r="D1" s="39" t="s">
        <v>0</v>
      </c>
      <c r="E1" s="39" t="s">
        <v>0</v>
      </c>
      <c r="F1" s="39" t="s">
        <v>0</v>
      </c>
      <c r="G1" s="39" t="s">
        <v>0</v>
      </c>
      <c r="H1" s="39" t="s">
        <v>0</v>
      </c>
      <c r="I1" s="39" t="s">
        <v>0</v>
      </c>
      <c r="J1" s="38" t="s">
        <v>0</v>
      </c>
      <c r="K1" s="4"/>
      <c r="L1" s="43" t="s">
        <v>1</v>
      </c>
      <c r="M1" s="39" t="s">
        <v>0</v>
      </c>
      <c r="N1" s="39" t="s">
        <v>0</v>
      </c>
      <c r="O1" s="44" t="s">
        <v>1</v>
      </c>
      <c r="P1" s="40" t="s">
        <v>2</v>
      </c>
      <c r="Q1" s="41" t="s">
        <v>2</v>
      </c>
      <c r="R1" s="42" t="s">
        <v>2</v>
      </c>
    </row>
    <row r="2" spans="2:45" x14ac:dyDescent="0.25">
      <c r="B2" s="179" t="s">
        <v>3</v>
      </c>
      <c r="C2" s="180" t="s">
        <v>4</v>
      </c>
      <c r="D2" s="180"/>
      <c r="E2" s="180"/>
      <c r="F2" s="180"/>
      <c r="G2" s="180"/>
      <c r="H2" s="180"/>
      <c r="I2" s="180"/>
      <c r="J2" s="180"/>
      <c r="K2" s="180"/>
      <c r="L2" s="174" t="s">
        <v>5</v>
      </c>
      <c r="M2" s="174"/>
      <c r="N2" s="174"/>
      <c r="O2" s="174"/>
      <c r="P2" s="174"/>
      <c r="Q2" s="180" t="s">
        <v>6</v>
      </c>
      <c r="R2" s="180"/>
      <c r="S2" s="180"/>
      <c r="T2" s="180"/>
      <c r="U2" s="180"/>
      <c r="V2" s="181" t="s">
        <v>7</v>
      </c>
      <c r="W2" s="182"/>
      <c r="X2" s="182"/>
      <c r="Y2" s="182"/>
      <c r="Z2" s="183"/>
      <c r="AA2" s="184" t="s">
        <v>8</v>
      </c>
      <c r="AB2" s="185"/>
      <c r="AC2" s="185"/>
      <c r="AD2" s="185"/>
      <c r="AE2" s="186"/>
      <c r="AF2" s="176" t="s">
        <v>9</v>
      </c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8"/>
      <c r="AR2" s="174" t="s">
        <v>10</v>
      </c>
      <c r="AS2" s="175"/>
    </row>
    <row r="3" spans="2:45" ht="31.5" customHeight="1" x14ac:dyDescent="0.25">
      <c r="B3" s="179"/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5" t="s">
        <v>4</v>
      </c>
      <c r="K3" s="5" t="s">
        <v>18</v>
      </c>
      <c r="L3" s="6" t="s">
        <v>19</v>
      </c>
      <c r="M3" s="6" t="s">
        <v>20</v>
      </c>
      <c r="N3" s="6" t="s">
        <v>21</v>
      </c>
      <c r="O3" s="6" t="s">
        <v>18</v>
      </c>
      <c r="P3" s="53" t="s">
        <v>22</v>
      </c>
      <c r="Q3" s="54" t="s">
        <v>23</v>
      </c>
      <c r="R3" s="55" t="s">
        <v>24</v>
      </c>
      <c r="S3" s="35" t="s">
        <v>25</v>
      </c>
      <c r="T3" s="35" t="s">
        <v>26</v>
      </c>
      <c r="U3" s="5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  <c r="AA3" s="8" t="s">
        <v>28</v>
      </c>
      <c r="AB3" s="8" t="s">
        <v>29</v>
      </c>
      <c r="AC3" s="8" t="s">
        <v>30</v>
      </c>
      <c r="AD3" s="8" t="s">
        <v>31</v>
      </c>
      <c r="AE3" s="8" t="s">
        <v>32</v>
      </c>
      <c r="AF3" s="28" t="s">
        <v>33</v>
      </c>
      <c r="AG3" s="29" t="s">
        <v>34</v>
      </c>
      <c r="AH3" s="30" t="s">
        <v>30</v>
      </c>
      <c r="AI3" s="31" t="s">
        <v>35</v>
      </c>
      <c r="AJ3" s="10" t="s">
        <v>36</v>
      </c>
      <c r="AK3" s="9" t="s">
        <v>37</v>
      </c>
      <c r="AL3" s="32" t="s">
        <v>38</v>
      </c>
      <c r="AM3" s="33" t="s">
        <v>39</v>
      </c>
      <c r="AN3" s="32" t="s">
        <v>40</v>
      </c>
      <c r="AO3" s="33" t="s">
        <v>41</v>
      </c>
      <c r="AP3" s="24" t="s">
        <v>32</v>
      </c>
      <c r="AQ3" s="24" t="s">
        <v>42</v>
      </c>
      <c r="AR3" s="25" t="s">
        <v>43</v>
      </c>
      <c r="AS3" s="6" t="s">
        <v>44</v>
      </c>
    </row>
    <row r="4" spans="2:45" x14ac:dyDescent="0.25">
      <c r="B4" s="2">
        <v>1</v>
      </c>
      <c r="C4" s="2" t="s">
        <v>45</v>
      </c>
      <c r="D4" s="23">
        <v>45349</v>
      </c>
      <c r="E4" s="45" t="s">
        <v>46</v>
      </c>
      <c r="F4" s="2">
        <v>6843</v>
      </c>
      <c r="G4" s="2" t="s">
        <v>47</v>
      </c>
      <c r="H4" s="2">
        <v>200</v>
      </c>
      <c r="I4" s="2" t="s">
        <v>48</v>
      </c>
      <c r="J4" s="2" t="s">
        <v>49</v>
      </c>
      <c r="K4" s="3" t="s">
        <v>50</v>
      </c>
      <c r="L4" s="2" t="s">
        <v>51</v>
      </c>
      <c r="M4" s="2" t="s">
        <v>51</v>
      </c>
      <c r="N4" s="2" t="s">
        <v>51</v>
      </c>
      <c r="O4" s="51" t="s">
        <v>52</v>
      </c>
      <c r="P4" s="48">
        <v>0.84375</v>
      </c>
      <c r="Q4" s="49">
        <v>45352</v>
      </c>
      <c r="R4" s="56">
        <f>626.0035
*H4/1000</f>
        <v>125.20070000000001</v>
      </c>
      <c r="S4" s="52">
        <f t="shared" ref="S4:S35" si="0">+AE4</f>
        <v>14.589</v>
      </c>
      <c r="T4" s="36">
        <f t="shared" ref="T4:T35" si="1">R4-S4</f>
        <v>110.61170000000001</v>
      </c>
      <c r="U4" s="1">
        <f t="shared" ref="U4:U35" si="2">IFERROR(T4/R4,"")</f>
        <v>0.883475092391656</v>
      </c>
      <c r="V4" s="20">
        <v>255</v>
      </c>
      <c r="W4" s="20">
        <v>16</v>
      </c>
      <c r="X4" s="20">
        <v>0</v>
      </c>
      <c r="Y4" s="20">
        <v>0</v>
      </c>
      <c r="Z4" s="20">
        <f t="shared" ref="Z4:Z35" si="3">+SUM(V4:Y4)</f>
        <v>271</v>
      </c>
      <c r="AA4" s="20">
        <v>13.291</v>
      </c>
      <c r="AB4" s="20">
        <v>1.298</v>
      </c>
      <c r="AC4" s="20">
        <v>0</v>
      </c>
      <c r="AD4" s="20">
        <v>0</v>
      </c>
      <c r="AE4" s="20">
        <f t="shared" ref="AE4:AE35" si="4">+SUM(AA4:AD4)</f>
        <v>14.589</v>
      </c>
      <c r="AF4" s="11">
        <v>17</v>
      </c>
      <c r="AG4" s="27">
        <v>3.0550312509999999</v>
      </c>
      <c r="AH4" s="11">
        <v>0</v>
      </c>
      <c r="AI4" s="27">
        <v>0</v>
      </c>
      <c r="AJ4" s="11">
        <v>4</v>
      </c>
      <c r="AK4" s="27">
        <v>4.3905788890000004</v>
      </c>
      <c r="AL4" s="11">
        <v>9</v>
      </c>
      <c r="AM4" s="27">
        <v>11.879459219999999</v>
      </c>
      <c r="AN4" s="11">
        <v>1</v>
      </c>
      <c r="AO4" s="27">
        <v>1.6701999999999999</v>
      </c>
      <c r="AP4" s="27">
        <f t="shared" ref="AP4:AP35" si="5">+AG4+AI4+AK4+AM4+AO4</f>
        <v>20.995269360000002</v>
      </c>
      <c r="AQ4" s="37">
        <f t="shared" ref="AQ4:AQ35" si="6">+IF(R4&lt;&gt;0,T4-AP4,"pend. Ene. Dist")</f>
        <v>89.616430640000004</v>
      </c>
      <c r="AR4" s="26" t="str">
        <f t="shared" ref="AR4:AR35" si="7">+IF(R4&lt;&gt;0,IF(T4&lt;AP4,"Menores Compras","Inspecciones"),"Pendiente Ene. Dist")</f>
        <v>Inspecciones</v>
      </c>
      <c r="AS4" s="3"/>
    </row>
    <row r="5" spans="2:45" x14ac:dyDescent="0.25">
      <c r="B5" s="2">
        <v>2</v>
      </c>
      <c r="C5" s="2" t="s">
        <v>53</v>
      </c>
      <c r="D5" s="23">
        <v>45345</v>
      </c>
      <c r="E5" s="45" t="s">
        <v>54</v>
      </c>
      <c r="F5" s="2">
        <v>6808</v>
      </c>
      <c r="G5" s="2" t="s">
        <v>47</v>
      </c>
      <c r="H5" s="2">
        <v>140</v>
      </c>
      <c r="I5" s="2" t="s">
        <v>55</v>
      </c>
      <c r="J5" s="2" t="s">
        <v>49</v>
      </c>
      <c r="K5" s="3" t="s">
        <v>56</v>
      </c>
      <c r="L5" s="2" t="s">
        <v>51</v>
      </c>
      <c r="M5" s="2" t="s">
        <v>51</v>
      </c>
      <c r="N5" s="2" t="s">
        <v>51</v>
      </c>
      <c r="O5" s="51" t="s">
        <v>56</v>
      </c>
      <c r="P5" s="48">
        <v>0.47916666666666669</v>
      </c>
      <c r="Q5" s="49">
        <v>45323</v>
      </c>
      <c r="R5" s="56">
        <f>342.5826*H5/1000</f>
        <v>47.961563999999996</v>
      </c>
      <c r="S5" s="52">
        <f t="shared" si="0"/>
        <v>151.76300000000001</v>
      </c>
      <c r="T5" s="36">
        <f t="shared" si="1"/>
        <v>-103.80143600000001</v>
      </c>
      <c r="U5" s="1">
        <f t="shared" si="2"/>
        <v>-2.1642629502240589</v>
      </c>
      <c r="V5" s="20">
        <v>58</v>
      </c>
      <c r="W5" s="20">
        <v>35</v>
      </c>
      <c r="X5" s="20">
        <v>5</v>
      </c>
      <c r="Y5" s="20">
        <v>1</v>
      </c>
      <c r="Z5" s="20">
        <f t="shared" si="3"/>
        <v>99</v>
      </c>
      <c r="AA5" s="20">
        <v>7.569</v>
      </c>
      <c r="AB5" s="20">
        <v>12.651</v>
      </c>
      <c r="AC5" s="20">
        <v>9.66</v>
      </c>
      <c r="AD5" s="20">
        <v>121.883</v>
      </c>
      <c r="AE5" s="20">
        <f t="shared" si="4"/>
        <v>151.76300000000001</v>
      </c>
      <c r="AF5" s="11">
        <v>13</v>
      </c>
      <c r="AG5" s="27">
        <v>5.1354394020000003</v>
      </c>
      <c r="AH5" s="11">
        <v>2</v>
      </c>
      <c r="AI5" s="27">
        <v>4.7934745830000001</v>
      </c>
      <c r="AJ5" s="11">
        <v>2</v>
      </c>
      <c r="AK5" s="27">
        <v>19.045783329999999</v>
      </c>
      <c r="AL5" s="11">
        <v>5</v>
      </c>
      <c r="AM5" s="27">
        <v>4.236602381</v>
      </c>
      <c r="AN5" s="11">
        <v>0</v>
      </c>
      <c r="AO5" s="27">
        <v>0</v>
      </c>
      <c r="AP5" s="27">
        <f t="shared" si="5"/>
        <v>33.211299695999998</v>
      </c>
      <c r="AQ5" s="37">
        <f t="shared" si="6"/>
        <v>-137.01273569599999</v>
      </c>
      <c r="AR5" s="26" t="str">
        <f t="shared" si="7"/>
        <v>Menores Compras</v>
      </c>
      <c r="AS5" s="3"/>
    </row>
    <row r="6" spans="2:45" x14ac:dyDescent="0.25">
      <c r="B6" s="2">
        <v>3</v>
      </c>
      <c r="C6" s="2" t="s">
        <v>57</v>
      </c>
      <c r="D6" s="23">
        <v>45344</v>
      </c>
      <c r="E6" s="45" t="s">
        <v>58</v>
      </c>
      <c r="F6" s="2">
        <v>6807</v>
      </c>
      <c r="G6" s="2" t="s">
        <v>47</v>
      </c>
      <c r="H6" s="2">
        <v>100</v>
      </c>
      <c r="I6" s="2" t="s">
        <v>59</v>
      </c>
      <c r="J6" s="2" t="s">
        <v>49</v>
      </c>
      <c r="K6" s="3" t="s">
        <v>50</v>
      </c>
      <c r="L6" s="2" t="s">
        <v>51</v>
      </c>
      <c r="M6" s="2" t="s">
        <v>51</v>
      </c>
      <c r="N6" s="2" t="s">
        <v>60</v>
      </c>
      <c r="O6" s="51" t="s">
        <v>52</v>
      </c>
      <c r="P6" s="48">
        <v>0.875</v>
      </c>
      <c r="Q6" s="49">
        <v>45323</v>
      </c>
      <c r="R6" s="56">
        <f>575.2768*H6/1000</f>
        <v>57.527680000000004</v>
      </c>
      <c r="S6" s="52">
        <f t="shared" si="0"/>
        <v>24.198</v>
      </c>
      <c r="T6" s="36">
        <f t="shared" si="1"/>
        <v>33.329680000000003</v>
      </c>
      <c r="U6" s="1">
        <f t="shared" si="2"/>
        <v>0.57936770611990618</v>
      </c>
      <c r="V6" s="21">
        <v>113</v>
      </c>
      <c r="W6" s="21">
        <v>13</v>
      </c>
      <c r="X6" s="21">
        <v>2</v>
      </c>
      <c r="Y6" s="21">
        <v>0</v>
      </c>
      <c r="Z6" s="20">
        <f t="shared" si="3"/>
        <v>128</v>
      </c>
      <c r="AA6" s="21">
        <v>15.77</v>
      </c>
      <c r="AB6" s="21">
        <v>2.3079999999999998</v>
      </c>
      <c r="AC6" s="21">
        <v>6.12</v>
      </c>
      <c r="AD6" s="21">
        <v>0</v>
      </c>
      <c r="AE6" s="20">
        <f t="shared" si="4"/>
        <v>24.198</v>
      </c>
      <c r="AF6" s="12">
        <v>7</v>
      </c>
      <c r="AG6" s="57">
        <v>1.556304476</v>
      </c>
      <c r="AH6" s="12">
        <v>1</v>
      </c>
      <c r="AI6" s="57">
        <v>0</v>
      </c>
      <c r="AJ6" s="12">
        <v>4</v>
      </c>
      <c r="AK6" s="57">
        <v>13.82760833</v>
      </c>
      <c r="AL6" s="12">
        <v>5</v>
      </c>
      <c r="AM6" s="57">
        <v>7.3058527780000002</v>
      </c>
      <c r="AN6" s="12">
        <v>11</v>
      </c>
      <c r="AO6" s="57">
        <v>9.1660402780000005</v>
      </c>
      <c r="AP6" s="27">
        <f t="shared" si="5"/>
        <v>31.855805862</v>
      </c>
      <c r="AQ6" s="37">
        <f t="shared" si="6"/>
        <v>1.4738741380000029</v>
      </c>
      <c r="AR6" s="26" t="str">
        <f t="shared" si="7"/>
        <v>Inspecciones</v>
      </c>
      <c r="AS6" s="3"/>
    </row>
    <row r="7" spans="2:45" x14ac:dyDescent="0.25">
      <c r="B7" s="2">
        <v>4</v>
      </c>
      <c r="C7" s="2" t="s">
        <v>61</v>
      </c>
      <c r="D7" s="23">
        <v>45341</v>
      </c>
      <c r="E7" s="45" t="s">
        <v>54</v>
      </c>
      <c r="F7" s="2">
        <v>6834</v>
      </c>
      <c r="G7" s="2" t="s">
        <v>47</v>
      </c>
      <c r="H7" s="2">
        <v>140</v>
      </c>
      <c r="I7" s="2" t="s">
        <v>62</v>
      </c>
      <c r="J7" s="2" t="s">
        <v>49</v>
      </c>
      <c r="K7" s="3" t="s">
        <v>50</v>
      </c>
      <c r="L7" s="2" t="s">
        <v>51</v>
      </c>
      <c r="M7" s="2" t="s">
        <v>51</v>
      </c>
      <c r="N7" s="2" t="s">
        <v>51</v>
      </c>
      <c r="O7" s="51" t="s">
        <v>52</v>
      </c>
      <c r="P7" s="48">
        <v>0.85416666666666663</v>
      </c>
      <c r="Q7" s="49">
        <v>45323</v>
      </c>
      <c r="R7" s="56">
        <f>726.0128*H7/1000</f>
        <v>101.641792</v>
      </c>
      <c r="S7" s="52">
        <f t="shared" si="0"/>
        <v>40.643000000000001</v>
      </c>
      <c r="T7" s="36">
        <f t="shared" si="1"/>
        <v>60.998791999999995</v>
      </c>
      <c r="U7" s="1">
        <f t="shared" si="2"/>
        <v>0.60013495236290204</v>
      </c>
      <c r="V7" s="20">
        <v>291</v>
      </c>
      <c r="W7" s="20">
        <v>6</v>
      </c>
      <c r="X7" s="20">
        <v>0</v>
      </c>
      <c r="Y7" s="20">
        <v>0</v>
      </c>
      <c r="Z7" s="20">
        <f t="shared" si="3"/>
        <v>297</v>
      </c>
      <c r="AA7" s="20">
        <v>38.07</v>
      </c>
      <c r="AB7" s="20">
        <v>2.573</v>
      </c>
      <c r="AC7" s="20">
        <v>0</v>
      </c>
      <c r="AD7" s="20">
        <v>0</v>
      </c>
      <c r="AE7" s="20">
        <f t="shared" si="4"/>
        <v>40.643000000000001</v>
      </c>
      <c r="AF7" s="11">
        <v>8</v>
      </c>
      <c r="AG7" s="27">
        <v>0.26332548700000002</v>
      </c>
      <c r="AH7" s="11">
        <v>0</v>
      </c>
      <c r="AI7" s="27">
        <v>0</v>
      </c>
      <c r="AJ7" s="11">
        <v>5</v>
      </c>
      <c r="AK7" s="27">
        <v>10.59167222</v>
      </c>
      <c r="AL7" s="11">
        <v>1</v>
      </c>
      <c r="AM7" s="27">
        <v>6.1295000000000002</v>
      </c>
      <c r="AN7" s="11">
        <v>3</v>
      </c>
      <c r="AO7" s="27">
        <v>10.18851667</v>
      </c>
      <c r="AP7" s="27">
        <f t="shared" si="5"/>
        <v>27.173014377000001</v>
      </c>
      <c r="AQ7" s="37">
        <f t="shared" si="6"/>
        <v>33.825777622999993</v>
      </c>
      <c r="AR7" s="26" t="str">
        <f t="shared" si="7"/>
        <v>Inspecciones</v>
      </c>
      <c r="AS7" s="3"/>
    </row>
    <row r="8" spans="2:45" x14ac:dyDescent="0.25">
      <c r="B8" s="2">
        <v>5</v>
      </c>
      <c r="C8" s="2" t="s">
        <v>63</v>
      </c>
      <c r="D8" s="23">
        <v>45360</v>
      </c>
      <c r="E8" s="45" t="s">
        <v>54</v>
      </c>
      <c r="F8" s="2">
        <v>8186</v>
      </c>
      <c r="G8" s="2" t="s">
        <v>47</v>
      </c>
      <c r="H8" s="2">
        <v>60</v>
      </c>
      <c r="I8" s="2" t="s">
        <v>64</v>
      </c>
      <c r="J8" s="2" t="s">
        <v>49</v>
      </c>
      <c r="K8" s="3" t="s">
        <v>50</v>
      </c>
      <c r="L8" s="2"/>
      <c r="M8" s="2" t="s">
        <v>51</v>
      </c>
      <c r="N8" s="2" t="s">
        <v>51</v>
      </c>
      <c r="O8" s="51"/>
      <c r="P8" s="46"/>
      <c r="Q8" s="50"/>
      <c r="R8" s="56"/>
      <c r="S8" s="52">
        <f t="shared" si="0"/>
        <v>21.236000000000001</v>
      </c>
      <c r="T8" s="36">
        <f t="shared" si="1"/>
        <v>-21.236000000000001</v>
      </c>
      <c r="U8" s="1" t="str">
        <f t="shared" si="2"/>
        <v/>
      </c>
      <c r="V8" s="20">
        <v>88</v>
      </c>
      <c r="W8" s="20">
        <v>15</v>
      </c>
      <c r="X8" s="20">
        <v>1</v>
      </c>
      <c r="Y8" s="20">
        <v>0</v>
      </c>
      <c r="Z8" s="20">
        <f t="shared" si="3"/>
        <v>104</v>
      </c>
      <c r="AA8" s="20">
        <v>14.964</v>
      </c>
      <c r="AB8" s="20">
        <v>6.2720000000000002</v>
      </c>
      <c r="AC8" s="20">
        <v>0</v>
      </c>
      <c r="AD8" s="20">
        <v>0</v>
      </c>
      <c r="AE8" s="20">
        <f t="shared" si="4"/>
        <v>21.236000000000001</v>
      </c>
      <c r="AF8" s="11">
        <v>2</v>
      </c>
      <c r="AG8" s="27">
        <v>1.6035152829999999</v>
      </c>
      <c r="AH8" s="11">
        <v>0</v>
      </c>
      <c r="AI8" s="27">
        <v>0</v>
      </c>
      <c r="AJ8" s="11">
        <v>1</v>
      </c>
      <c r="AK8" s="27">
        <v>8.1259499999999996</v>
      </c>
      <c r="AL8" s="11">
        <v>0</v>
      </c>
      <c r="AM8" s="27">
        <v>0</v>
      </c>
      <c r="AN8" s="11">
        <v>0</v>
      </c>
      <c r="AO8" s="27">
        <v>0</v>
      </c>
      <c r="AP8" s="27">
        <f t="shared" si="5"/>
        <v>9.7294652829999997</v>
      </c>
      <c r="AQ8" s="37" t="str">
        <f t="shared" si="6"/>
        <v>pend. Ene. Dist</v>
      </c>
      <c r="AR8" s="26" t="str">
        <f t="shared" si="7"/>
        <v>Pendiente Ene. Dist</v>
      </c>
      <c r="AS8" s="3"/>
    </row>
    <row r="9" spans="2:45" x14ac:dyDescent="0.25">
      <c r="B9" s="2">
        <v>6</v>
      </c>
      <c r="C9" s="2" t="s">
        <v>65</v>
      </c>
      <c r="D9" s="23">
        <v>45349</v>
      </c>
      <c r="E9" s="45" t="s">
        <v>66</v>
      </c>
      <c r="F9" s="2">
        <v>8099</v>
      </c>
      <c r="G9" s="2" t="s">
        <v>47</v>
      </c>
      <c r="H9" s="2">
        <v>100</v>
      </c>
      <c r="I9" s="2" t="s">
        <v>67</v>
      </c>
      <c r="J9" s="2" t="s">
        <v>68</v>
      </c>
      <c r="K9" s="3" t="s">
        <v>50</v>
      </c>
      <c r="L9" s="2" t="s">
        <v>51</v>
      </c>
      <c r="M9" s="2" t="s">
        <v>51</v>
      </c>
      <c r="N9" s="2" t="s">
        <v>51</v>
      </c>
      <c r="O9" s="51" t="s">
        <v>52</v>
      </c>
      <c r="P9" s="48">
        <v>0.85416666666666663</v>
      </c>
      <c r="Q9" s="49">
        <v>45352</v>
      </c>
      <c r="R9" s="56">
        <f>621.1443
*H9/1000</f>
        <v>62.114430000000006</v>
      </c>
      <c r="S9" s="52">
        <f t="shared" si="0"/>
        <v>53.002000000000002</v>
      </c>
      <c r="T9" s="36">
        <f t="shared" si="1"/>
        <v>9.1124300000000034</v>
      </c>
      <c r="U9" s="1">
        <f t="shared" si="2"/>
        <v>0.14670391405024569</v>
      </c>
      <c r="V9" s="20">
        <v>204</v>
      </c>
      <c r="W9" s="20">
        <v>77</v>
      </c>
      <c r="X9" s="20">
        <v>2</v>
      </c>
      <c r="Y9" s="20">
        <v>0</v>
      </c>
      <c r="Z9" s="20">
        <f t="shared" si="3"/>
        <v>283</v>
      </c>
      <c r="AA9" s="20">
        <v>33.597999999999999</v>
      </c>
      <c r="AB9" s="20">
        <v>17.443999999999999</v>
      </c>
      <c r="AC9" s="20">
        <v>1.96</v>
      </c>
      <c r="AD9" s="20">
        <v>0</v>
      </c>
      <c r="AE9" s="20">
        <f t="shared" si="4"/>
        <v>53.002000000000002</v>
      </c>
      <c r="AF9" s="11">
        <v>4</v>
      </c>
      <c r="AG9" s="27">
        <v>0.59440659299999998</v>
      </c>
      <c r="AH9" s="11">
        <v>0</v>
      </c>
      <c r="AI9" s="27">
        <v>0</v>
      </c>
      <c r="AJ9" s="11">
        <v>1</v>
      </c>
      <c r="AK9" s="27">
        <v>11.048999999999999</v>
      </c>
      <c r="AL9" s="11">
        <v>1</v>
      </c>
      <c r="AM9" s="27">
        <v>22.963200000000001</v>
      </c>
      <c r="AN9" s="11">
        <v>0</v>
      </c>
      <c r="AO9" s="27">
        <v>0</v>
      </c>
      <c r="AP9" s="27">
        <f t="shared" si="5"/>
        <v>34.606606593000002</v>
      </c>
      <c r="AQ9" s="37">
        <f t="shared" si="6"/>
        <v>-25.494176592999999</v>
      </c>
      <c r="AR9" s="26" t="str">
        <f t="shared" si="7"/>
        <v>Menores Compras</v>
      </c>
      <c r="AS9" s="3"/>
    </row>
    <row r="10" spans="2:45" x14ac:dyDescent="0.25">
      <c r="B10" s="2">
        <v>7</v>
      </c>
      <c r="C10" s="2" t="s">
        <v>69</v>
      </c>
      <c r="D10" s="23">
        <v>45350</v>
      </c>
      <c r="E10" s="45" t="s">
        <v>70</v>
      </c>
      <c r="F10" s="2">
        <v>8163</v>
      </c>
      <c r="G10" s="2" t="s">
        <v>47</v>
      </c>
      <c r="H10" s="2">
        <v>300</v>
      </c>
      <c r="I10" s="2" t="s">
        <v>71</v>
      </c>
      <c r="J10" s="2" t="s">
        <v>49</v>
      </c>
      <c r="K10" s="3" t="s">
        <v>56</v>
      </c>
      <c r="L10" s="2" t="s">
        <v>51</v>
      </c>
      <c r="M10" s="2" t="s">
        <v>51</v>
      </c>
      <c r="N10" s="2" t="s">
        <v>51</v>
      </c>
      <c r="O10" s="51" t="s">
        <v>56</v>
      </c>
      <c r="P10" s="48">
        <v>0.51041666666666663</v>
      </c>
      <c r="Q10" s="49">
        <v>45352</v>
      </c>
      <c r="R10" s="56">
        <f>165.3143
*H10/1000</f>
        <v>49.594290000000001</v>
      </c>
      <c r="S10" s="52">
        <f t="shared" si="0"/>
        <v>56.215000000000003</v>
      </c>
      <c r="T10" s="36">
        <f t="shared" si="1"/>
        <v>-6.6207100000000025</v>
      </c>
      <c r="U10" s="1">
        <f t="shared" si="2"/>
        <v>-0.13349742480434748</v>
      </c>
      <c r="V10" s="20">
        <v>6</v>
      </c>
      <c r="W10" s="20">
        <v>38</v>
      </c>
      <c r="X10" s="20">
        <v>5</v>
      </c>
      <c r="Y10" s="20">
        <v>3</v>
      </c>
      <c r="Z10" s="20">
        <f t="shared" si="3"/>
        <v>52</v>
      </c>
      <c r="AA10" s="20">
        <v>0.88</v>
      </c>
      <c r="AB10" s="20">
        <v>28.167999999999999</v>
      </c>
      <c r="AC10" s="20">
        <v>18.14</v>
      </c>
      <c r="AD10" s="20">
        <v>9.0269999999999992</v>
      </c>
      <c r="AE10" s="20">
        <f t="shared" si="4"/>
        <v>56.215000000000003</v>
      </c>
      <c r="AF10" s="11">
        <v>2</v>
      </c>
      <c r="AG10" s="27">
        <v>0.96706666699999999</v>
      </c>
      <c r="AH10" s="11">
        <v>0</v>
      </c>
      <c r="AI10" s="27">
        <v>0</v>
      </c>
      <c r="AJ10" s="11">
        <v>0</v>
      </c>
      <c r="AK10" s="27">
        <v>0</v>
      </c>
      <c r="AL10" s="11">
        <v>0</v>
      </c>
      <c r="AM10" s="27">
        <v>0</v>
      </c>
      <c r="AN10" s="11">
        <v>0</v>
      </c>
      <c r="AO10" s="27">
        <v>0</v>
      </c>
      <c r="AP10" s="27">
        <f t="shared" si="5"/>
        <v>0.96706666699999999</v>
      </c>
      <c r="AQ10" s="37">
        <f t="shared" si="6"/>
        <v>-7.5877766670000026</v>
      </c>
      <c r="AR10" s="26" t="str">
        <f t="shared" si="7"/>
        <v>Menores Compras</v>
      </c>
      <c r="AS10" s="3"/>
    </row>
    <row r="11" spans="2:45" x14ac:dyDescent="0.25">
      <c r="B11" s="2">
        <v>8</v>
      </c>
      <c r="C11" s="2" t="s">
        <v>72</v>
      </c>
      <c r="D11" s="23">
        <v>45342</v>
      </c>
      <c r="E11" s="45" t="s">
        <v>73</v>
      </c>
      <c r="F11" s="2">
        <v>6831</v>
      </c>
      <c r="G11" s="2" t="s">
        <v>47</v>
      </c>
      <c r="H11" s="2">
        <v>140</v>
      </c>
      <c r="I11" s="2" t="s">
        <v>74</v>
      </c>
      <c r="J11" s="2" t="s">
        <v>49</v>
      </c>
      <c r="K11" s="3" t="s">
        <v>50</v>
      </c>
      <c r="L11" s="2" t="s">
        <v>51</v>
      </c>
      <c r="M11" s="2" t="s">
        <v>51</v>
      </c>
      <c r="N11" s="2" t="s">
        <v>51</v>
      </c>
      <c r="O11" s="51" t="s">
        <v>52</v>
      </c>
      <c r="P11" s="48">
        <v>0.84375</v>
      </c>
      <c r="Q11" s="49">
        <v>45323</v>
      </c>
      <c r="R11" s="56">
        <f>597.5736*H11/1000</f>
        <v>83.660304000000011</v>
      </c>
      <c r="S11" s="52">
        <f t="shared" si="0"/>
        <v>81.635999999999996</v>
      </c>
      <c r="T11" s="36">
        <f t="shared" si="1"/>
        <v>2.024304000000015</v>
      </c>
      <c r="U11" s="1">
        <f t="shared" si="2"/>
        <v>2.4196708632567419E-2</v>
      </c>
      <c r="V11" s="20">
        <v>214</v>
      </c>
      <c r="W11" s="20">
        <v>16</v>
      </c>
      <c r="X11" s="20">
        <v>0</v>
      </c>
      <c r="Y11" s="20">
        <v>1</v>
      </c>
      <c r="Z11" s="20">
        <f t="shared" si="3"/>
        <v>231</v>
      </c>
      <c r="AA11" s="20">
        <v>66.007999999999996</v>
      </c>
      <c r="AB11" s="20">
        <v>12.241</v>
      </c>
      <c r="AC11" s="20">
        <v>0</v>
      </c>
      <c r="AD11" s="20">
        <v>3.387</v>
      </c>
      <c r="AE11" s="20">
        <f t="shared" si="4"/>
        <v>81.635999999999996</v>
      </c>
      <c r="AF11" s="11">
        <v>2</v>
      </c>
      <c r="AG11" s="27">
        <v>7.6524589000000004E-2</v>
      </c>
      <c r="AH11" s="11">
        <v>0</v>
      </c>
      <c r="AI11" s="27">
        <v>0</v>
      </c>
      <c r="AJ11" s="11">
        <v>0</v>
      </c>
      <c r="AK11" s="27">
        <v>0</v>
      </c>
      <c r="AL11" s="11">
        <v>0</v>
      </c>
      <c r="AM11" s="27">
        <v>0</v>
      </c>
      <c r="AN11" s="11">
        <v>0</v>
      </c>
      <c r="AO11" s="27">
        <v>0</v>
      </c>
      <c r="AP11" s="27">
        <f t="shared" si="5"/>
        <v>7.6524589000000004E-2</v>
      </c>
      <c r="AQ11" s="37">
        <f t="shared" si="6"/>
        <v>1.9477794110000151</v>
      </c>
      <c r="AR11" s="26" t="str">
        <f t="shared" si="7"/>
        <v>Inspecciones</v>
      </c>
      <c r="AS11" s="3"/>
    </row>
    <row r="12" spans="2:45" x14ac:dyDescent="0.25">
      <c r="B12" s="2">
        <v>9</v>
      </c>
      <c r="C12" s="2" t="s">
        <v>75</v>
      </c>
      <c r="D12" s="23">
        <v>45350</v>
      </c>
      <c r="E12" s="45" t="s">
        <v>54</v>
      </c>
      <c r="F12" s="2">
        <v>8095</v>
      </c>
      <c r="G12" s="2" t="s">
        <v>47</v>
      </c>
      <c r="H12" s="2">
        <v>200</v>
      </c>
      <c r="I12" s="2" t="s">
        <v>76</v>
      </c>
      <c r="J12" s="2" t="s">
        <v>68</v>
      </c>
      <c r="K12" s="3" t="s">
        <v>56</v>
      </c>
      <c r="L12" s="2" t="s">
        <v>51</v>
      </c>
      <c r="M12" s="2" t="s">
        <v>51</v>
      </c>
      <c r="N12" s="2" t="s">
        <v>51</v>
      </c>
      <c r="O12" s="51" t="s">
        <v>56</v>
      </c>
      <c r="P12" s="48">
        <v>0.47916666666666669</v>
      </c>
      <c r="Q12" s="49">
        <v>45352</v>
      </c>
      <c r="R12" s="56">
        <f>193.6671
*H12/1000</f>
        <v>38.733419999999995</v>
      </c>
      <c r="S12" s="52">
        <f t="shared" si="0"/>
        <v>24.32</v>
      </c>
      <c r="T12" s="36">
        <f t="shared" si="1"/>
        <v>14.413419999999995</v>
      </c>
      <c r="U12" s="1">
        <f t="shared" si="2"/>
        <v>0.37211844448540815</v>
      </c>
      <c r="V12" s="20">
        <v>35</v>
      </c>
      <c r="W12" s="20">
        <v>36</v>
      </c>
      <c r="X12" s="20">
        <v>5</v>
      </c>
      <c r="Y12" s="20">
        <v>0</v>
      </c>
      <c r="Z12" s="20">
        <f t="shared" si="3"/>
        <v>76</v>
      </c>
      <c r="AA12" s="20">
        <v>3.5379999999999998</v>
      </c>
      <c r="AB12" s="20">
        <v>11.802</v>
      </c>
      <c r="AC12" s="20">
        <v>8.98</v>
      </c>
      <c r="AD12" s="20">
        <v>0</v>
      </c>
      <c r="AE12" s="20">
        <f t="shared" si="4"/>
        <v>24.32</v>
      </c>
      <c r="AF12" s="11">
        <v>6</v>
      </c>
      <c r="AG12" s="27">
        <v>0.232732838</v>
      </c>
      <c r="AH12" s="11">
        <v>2</v>
      </c>
      <c r="AI12" s="27">
        <v>3.3893125</v>
      </c>
      <c r="AJ12" s="11">
        <v>2</v>
      </c>
      <c r="AK12" s="27">
        <v>4.9359583330000003</v>
      </c>
      <c r="AL12" s="11">
        <v>2</v>
      </c>
      <c r="AM12" s="27">
        <v>13.43219167</v>
      </c>
      <c r="AN12" s="11">
        <v>0</v>
      </c>
      <c r="AO12" s="27">
        <v>0</v>
      </c>
      <c r="AP12" s="27">
        <f t="shared" si="5"/>
        <v>21.990195341</v>
      </c>
      <c r="AQ12" s="37">
        <f t="shared" si="6"/>
        <v>-7.5767753410000047</v>
      </c>
      <c r="AR12" s="26" t="str">
        <f t="shared" si="7"/>
        <v>Menores Compras</v>
      </c>
      <c r="AS12" s="3"/>
    </row>
    <row r="13" spans="2:45" x14ac:dyDescent="0.25">
      <c r="B13" s="2">
        <v>10</v>
      </c>
      <c r="C13" s="2" t="s">
        <v>77</v>
      </c>
      <c r="D13" s="23">
        <v>45359</v>
      </c>
      <c r="E13" s="45" t="s">
        <v>54</v>
      </c>
      <c r="F13" s="2">
        <v>6827</v>
      </c>
      <c r="G13" s="2" t="s">
        <v>47</v>
      </c>
      <c r="H13" s="2">
        <v>300</v>
      </c>
      <c r="I13" s="2" t="s">
        <v>78</v>
      </c>
      <c r="J13" s="2" t="s">
        <v>49</v>
      </c>
      <c r="K13" s="3" t="s">
        <v>50</v>
      </c>
      <c r="L13" s="2"/>
      <c r="M13" s="2" t="s">
        <v>51</v>
      </c>
      <c r="N13" s="2" t="s">
        <v>51</v>
      </c>
      <c r="O13" s="51"/>
      <c r="P13" s="46"/>
      <c r="Q13" s="50"/>
      <c r="R13" s="56"/>
      <c r="S13" s="52">
        <f t="shared" si="0"/>
        <v>41.280999999999999</v>
      </c>
      <c r="T13" s="36">
        <f t="shared" si="1"/>
        <v>-41.280999999999999</v>
      </c>
      <c r="U13" s="1" t="str">
        <f t="shared" si="2"/>
        <v/>
      </c>
      <c r="V13" s="20">
        <v>45</v>
      </c>
      <c r="W13" s="20">
        <v>22</v>
      </c>
      <c r="X13" s="20">
        <v>7</v>
      </c>
      <c r="Y13" s="20">
        <v>0</v>
      </c>
      <c r="Z13" s="20">
        <f t="shared" si="3"/>
        <v>74</v>
      </c>
      <c r="AA13" s="20">
        <v>8.7360000000000007</v>
      </c>
      <c r="AB13" s="20">
        <v>16.704999999999998</v>
      </c>
      <c r="AC13" s="20">
        <v>15.84</v>
      </c>
      <c r="AD13" s="20">
        <v>0</v>
      </c>
      <c r="AE13" s="20">
        <f t="shared" si="4"/>
        <v>41.280999999999999</v>
      </c>
      <c r="AF13" s="11">
        <v>6</v>
      </c>
      <c r="AG13" s="27">
        <v>0.15386061100000001</v>
      </c>
      <c r="AH13" s="11">
        <v>5</v>
      </c>
      <c r="AI13" s="27">
        <v>2.655535661</v>
      </c>
      <c r="AJ13" s="11">
        <v>0</v>
      </c>
      <c r="AK13" s="27">
        <v>0</v>
      </c>
      <c r="AL13" s="11">
        <v>0</v>
      </c>
      <c r="AM13" s="27">
        <v>0</v>
      </c>
      <c r="AN13" s="11">
        <v>0</v>
      </c>
      <c r="AO13" s="27">
        <v>0</v>
      </c>
      <c r="AP13" s="27">
        <f t="shared" si="5"/>
        <v>2.8093962719999999</v>
      </c>
      <c r="AQ13" s="37" t="str">
        <f t="shared" si="6"/>
        <v>pend. Ene. Dist</v>
      </c>
      <c r="AR13" s="26" t="str">
        <f t="shared" si="7"/>
        <v>Pendiente Ene. Dist</v>
      </c>
      <c r="AS13" s="3"/>
    </row>
    <row r="14" spans="2:45" x14ac:dyDescent="0.25">
      <c r="B14" s="2">
        <v>11</v>
      </c>
      <c r="C14" s="2" t="s">
        <v>79</v>
      </c>
      <c r="D14" s="23">
        <v>45353</v>
      </c>
      <c r="E14" s="45" t="s">
        <v>80</v>
      </c>
      <c r="F14" s="2">
        <v>8179</v>
      </c>
      <c r="G14" s="2" t="s">
        <v>47</v>
      </c>
      <c r="H14" s="2">
        <v>300</v>
      </c>
      <c r="I14" s="2" t="s">
        <v>81</v>
      </c>
      <c r="J14" s="2" t="s">
        <v>68</v>
      </c>
      <c r="K14" s="3" t="s">
        <v>50</v>
      </c>
      <c r="L14" s="2" t="s">
        <v>51</v>
      </c>
      <c r="M14" s="2" t="s">
        <v>51</v>
      </c>
      <c r="N14" s="2" t="s">
        <v>51</v>
      </c>
      <c r="O14" s="51" t="s">
        <v>52</v>
      </c>
      <c r="P14" s="48">
        <v>0.84375</v>
      </c>
      <c r="Q14" s="49">
        <v>45352</v>
      </c>
      <c r="R14" s="56">
        <f>480.8721*H14/1000</f>
        <v>144.26163</v>
      </c>
      <c r="S14" s="52">
        <f t="shared" si="0"/>
        <v>133.001</v>
      </c>
      <c r="T14" s="36">
        <f t="shared" si="1"/>
        <v>11.260629999999992</v>
      </c>
      <c r="U14" s="1">
        <f t="shared" si="2"/>
        <v>7.8056999633235757E-2</v>
      </c>
      <c r="V14" s="20">
        <v>256</v>
      </c>
      <c r="W14" s="20">
        <v>55</v>
      </c>
      <c r="X14" s="20">
        <v>2</v>
      </c>
      <c r="Y14" s="20">
        <v>2</v>
      </c>
      <c r="Z14" s="20">
        <f t="shared" si="3"/>
        <v>315</v>
      </c>
      <c r="AA14" s="20">
        <v>81.715999999999994</v>
      </c>
      <c r="AB14" s="20">
        <v>32.488</v>
      </c>
      <c r="AC14" s="20">
        <v>2</v>
      </c>
      <c r="AD14" s="20">
        <v>16.797000000000001</v>
      </c>
      <c r="AE14" s="20">
        <f t="shared" si="4"/>
        <v>133.001</v>
      </c>
      <c r="AF14" s="11">
        <v>1</v>
      </c>
      <c r="AG14" s="27">
        <v>0.25187619999999999</v>
      </c>
      <c r="AH14" s="11">
        <v>0</v>
      </c>
      <c r="AI14" s="27">
        <v>0</v>
      </c>
      <c r="AJ14" s="11">
        <v>0</v>
      </c>
      <c r="AK14" s="27">
        <v>0</v>
      </c>
      <c r="AL14" s="11">
        <v>0</v>
      </c>
      <c r="AM14" s="27">
        <v>0</v>
      </c>
      <c r="AN14" s="11">
        <v>0</v>
      </c>
      <c r="AO14" s="27">
        <v>0</v>
      </c>
      <c r="AP14" s="27">
        <f t="shared" si="5"/>
        <v>0.25187619999999999</v>
      </c>
      <c r="AQ14" s="37">
        <f t="shared" si="6"/>
        <v>11.008753799999992</v>
      </c>
      <c r="AR14" s="26" t="str">
        <f t="shared" si="7"/>
        <v>Inspecciones</v>
      </c>
      <c r="AS14" s="3"/>
    </row>
    <row r="15" spans="2:45" x14ac:dyDescent="0.25">
      <c r="B15" s="2">
        <v>12</v>
      </c>
      <c r="C15" s="2" t="s">
        <v>82</v>
      </c>
      <c r="D15" s="23">
        <v>45355</v>
      </c>
      <c r="E15" s="45" t="s">
        <v>54</v>
      </c>
      <c r="F15" s="2">
        <v>6830</v>
      </c>
      <c r="G15" s="2" t="s">
        <v>47</v>
      </c>
      <c r="H15" s="2">
        <v>100</v>
      </c>
      <c r="I15" s="11">
        <v>10156216253</v>
      </c>
      <c r="J15" s="2" t="s">
        <v>49</v>
      </c>
      <c r="K15" s="3" t="s">
        <v>50</v>
      </c>
      <c r="L15" s="2"/>
      <c r="M15" s="2" t="s">
        <v>51</v>
      </c>
      <c r="N15" s="2" t="s">
        <v>51</v>
      </c>
      <c r="O15" s="51"/>
      <c r="P15" s="46"/>
      <c r="Q15" s="50"/>
      <c r="R15" s="56"/>
      <c r="S15" s="52">
        <f t="shared" si="0"/>
        <v>68.123999999999995</v>
      </c>
      <c r="T15" s="36">
        <f t="shared" si="1"/>
        <v>-68.123999999999995</v>
      </c>
      <c r="U15" s="1" t="str">
        <f t="shared" si="2"/>
        <v/>
      </c>
      <c r="V15" s="20">
        <v>110</v>
      </c>
      <c r="W15" s="20">
        <v>30</v>
      </c>
      <c r="X15" s="20">
        <v>0</v>
      </c>
      <c r="Y15" s="20">
        <v>1</v>
      </c>
      <c r="Z15" s="20">
        <f t="shared" si="3"/>
        <v>141</v>
      </c>
      <c r="AA15" s="20">
        <v>41.034999999999997</v>
      </c>
      <c r="AB15" s="20">
        <v>27.088999999999999</v>
      </c>
      <c r="AC15" s="20">
        <v>0</v>
      </c>
      <c r="AD15" s="20">
        <v>0</v>
      </c>
      <c r="AE15" s="20">
        <f t="shared" si="4"/>
        <v>68.123999999999995</v>
      </c>
      <c r="AF15" s="11">
        <v>6</v>
      </c>
      <c r="AG15" s="27">
        <v>0.154040239</v>
      </c>
      <c r="AH15" s="11">
        <v>0</v>
      </c>
      <c r="AI15" s="27">
        <v>0</v>
      </c>
      <c r="AJ15" s="11">
        <v>0</v>
      </c>
      <c r="AK15" s="27">
        <v>0</v>
      </c>
      <c r="AL15" s="11">
        <v>0</v>
      </c>
      <c r="AM15" s="27">
        <v>0</v>
      </c>
      <c r="AN15" s="11">
        <v>0</v>
      </c>
      <c r="AO15" s="27">
        <v>0</v>
      </c>
      <c r="AP15" s="27">
        <f t="shared" si="5"/>
        <v>0.154040239</v>
      </c>
      <c r="AQ15" s="37" t="str">
        <f t="shared" si="6"/>
        <v>pend. Ene. Dist</v>
      </c>
      <c r="AR15" s="26" t="str">
        <f t="shared" si="7"/>
        <v>Pendiente Ene. Dist</v>
      </c>
      <c r="AS15" s="3"/>
    </row>
    <row r="16" spans="2:45" x14ac:dyDescent="0.25">
      <c r="B16" s="2">
        <v>13</v>
      </c>
      <c r="C16" s="2" t="s">
        <v>83</v>
      </c>
      <c r="D16" s="23">
        <v>45348</v>
      </c>
      <c r="E16" s="45" t="s">
        <v>54</v>
      </c>
      <c r="F16" s="2">
        <v>6803</v>
      </c>
      <c r="G16" s="2" t="s">
        <v>47</v>
      </c>
      <c r="H16" s="2">
        <v>100</v>
      </c>
      <c r="I16" s="2" t="s">
        <v>84</v>
      </c>
      <c r="J16" s="2" t="s">
        <v>49</v>
      </c>
      <c r="K16" s="3" t="s">
        <v>50</v>
      </c>
      <c r="L16" s="2" t="s">
        <v>51</v>
      </c>
      <c r="M16" s="2" t="s">
        <v>51</v>
      </c>
      <c r="N16" s="2" t="s">
        <v>51</v>
      </c>
      <c r="O16" s="51" t="s">
        <v>56</v>
      </c>
      <c r="P16" s="48">
        <v>0.53125</v>
      </c>
      <c r="Q16" s="49">
        <v>45323</v>
      </c>
      <c r="R16" s="56">
        <f>630.284
*H16/1000</f>
        <v>63.028400000000005</v>
      </c>
      <c r="S16" s="52">
        <f t="shared" si="0"/>
        <v>43.572000000000003</v>
      </c>
      <c r="T16" s="36">
        <f t="shared" si="1"/>
        <v>19.456400000000002</v>
      </c>
      <c r="U16" s="1">
        <f t="shared" si="2"/>
        <v>0.3086925893724099</v>
      </c>
      <c r="V16" s="20">
        <v>98</v>
      </c>
      <c r="W16" s="20">
        <v>66</v>
      </c>
      <c r="X16" s="20">
        <v>3</v>
      </c>
      <c r="Y16" s="20">
        <v>0</v>
      </c>
      <c r="Z16" s="20">
        <f t="shared" si="3"/>
        <v>167</v>
      </c>
      <c r="AA16" s="20">
        <v>15.750999999999999</v>
      </c>
      <c r="AB16" s="20">
        <v>22.260999999999999</v>
      </c>
      <c r="AC16" s="20">
        <v>5.56</v>
      </c>
      <c r="AD16" s="20">
        <v>0</v>
      </c>
      <c r="AE16" s="20">
        <f t="shared" si="4"/>
        <v>43.572000000000003</v>
      </c>
      <c r="AF16" s="11">
        <v>6</v>
      </c>
      <c r="AG16" s="27">
        <v>7.915570357</v>
      </c>
      <c r="AH16" s="11">
        <v>2</v>
      </c>
      <c r="AI16" s="27">
        <v>0.96465966700000005</v>
      </c>
      <c r="AJ16" s="11">
        <v>0</v>
      </c>
      <c r="AK16" s="27">
        <v>0</v>
      </c>
      <c r="AL16" s="11">
        <v>0</v>
      </c>
      <c r="AM16" s="27">
        <v>0</v>
      </c>
      <c r="AN16" s="11">
        <v>0</v>
      </c>
      <c r="AO16" s="27">
        <v>0</v>
      </c>
      <c r="AP16" s="27">
        <f t="shared" si="5"/>
        <v>8.8802300239999994</v>
      </c>
      <c r="AQ16" s="37">
        <f t="shared" si="6"/>
        <v>10.576169976000003</v>
      </c>
      <c r="AR16" s="26" t="str">
        <f t="shared" si="7"/>
        <v>Inspecciones</v>
      </c>
      <c r="AS16" s="3"/>
    </row>
    <row r="17" spans="2:45" x14ac:dyDescent="0.25">
      <c r="B17" s="2">
        <v>14</v>
      </c>
      <c r="C17" s="2" t="s">
        <v>85</v>
      </c>
      <c r="D17" s="23">
        <v>45337</v>
      </c>
      <c r="E17" s="45" t="s">
        <v>54</v>
      </c>
      <c r="F17" s="2">
        <v>8171</v>
      </c>
      <c r="G17" s="2" t="s">
        <v>47</v>
      </c>
      <c r="H17" s="2">
        <v>400</v>
      </c>
      <c r="I17" s="2" t="s">
        <v>86</v>
      </c>
      <c r="J17" s="2" t="s">
        <v>49</v>
      </c>
      <c r="K17" s="3" t="s">
        <v>56</v>
      </c>
      <c r="L17" s="2" t="s">
        <v>51</v>
      </c>
      <c r="M17" s="2" t="s">
        <v>51</v>
      </c>
      <c r="N17" s="2" t="s">
        <v>60</v>
      </c>
      <c r="O17" s="51" t="s">
        <v>56</v>
      </c>
      <c r="P17" s="48">
        <v>0.41666666666666669</v>
      </c>
      <c r="Q17" s="47">
        <v>45323</v>
      </c>
      <c r="R17" s="56">
        <f>123.28785*H17/1000</f>
        <v>49.31514</v>
      </c>
      <c r="S17" s="52">
        <f t="shared" si="0"/>
        <v>60.292999999999999</v>
      </c>
      <c r="T17" s="36">
        <f t="shared" si="1"/>
        <v>-10.97786</v>
      </c>
      <c r="U17" s="1">
        <f t="shared" si="2"/>
        <v>-0.22260628277644554</v>
      </c>
      <c r="V17" s="20">
        <v>70</v>
      </c>
      <c r="W17" s="20">
        <v>45</v>
      </c>
      <c r="X17" s="20">
        <v>13</v>
      </c>
      <c r="Y17" s="20">
        <v>0</v>
      </c>
      <c r="Z17" s="20">
        <f t="shared" si="3"/>
        <v>128</v>
      </c>
      <c r="AA17" s="20">
        <v>6.82</v>
      </c>
      <c r="AB17" s="20">
        <v>17.652999999999999</v>
      </c>
      <c r="AC17" s="20">
        <v>35.82</v>
      </c>
      <c r="AD17" s="20">
        <v>0</v>
      </c>
      <c r="AE17" s="20">
        <f t="shared" si="4"/>
        <v>60.292999999999999</v>
      </c>
      <c r="AF17" s="11">
        <v>6</v>
      </c>
      <c r="AG17" s="27">
        <v>0.29296499999999998</v>
      </c>
      <c r="AH17" s="11">
        <v>4</v>
      </c>
      <c r="AI17" s="27">
        <v>2.2026234410000001</v>
      </c>
      <c r="AJ17" s="11">
        <v>4</v>
      </c>
      <c r="AK17" s="27">
        <v>7.2663281939999997</v>
      </c>
      <c r="AL17" s="11">
        <v>9</v>
      </c>
      <c r="AM17" s="27">
        <v>7.3460150620000002</v>
      </c>
      <c r="AN17" s="11">
        <v>0</v>
      </c>
      <c r="AO17" s="27">
        <v>0</v>
      </c>
      <c r="AP17" s="27">
        <f t="shared" si="5"/>
        <v>17.107931697000001</v>
      </c>
      <c r="AQ17" s="37">
        <f t="shared" si="6"/>
        <v>-28.085791697000001</v>
      </c>
      <c r="AR17" s="26" t="str">
        <f t="shared" si="7"/>
        <v>Menores Compras</v>
      </c>
      <c r="AS17" s="3"/>
    </row>
    <row r="18" spans="2:45" x14ac:dyDescent="0.25">
      <c r="B18" s="2">
        <v>15</v>
      </c>
      <c r="C18" s="2" t="s">
        <v>87</v>
      </c>
      <c r="D18" s="23">
        <v>45358</v>
      </c>
      <c r="E18" s="45" t="s">
        <v>46</v>
      </c>
      <c r="F18" s="2">
        <v>6818</v>
      </c>
      <c r="G18" s="2" t="s">
        <v>47</v>
      </c>
      <c r="H18" s="2">
        <v>140</v>
      </c>
      <c r="I18" s="11">
        <v>10156216146</v>
      </c>
      <c r="J18" s="2" t="s">
        <v>49</v>
      </c>
      <c r="K18" s="3" t="s">
        <v>50</v>
      </c>
      <c r="L18" s="2"/>
      <c r="M18" s="2" t="s">
        <v>51</v>
      </c>
      <c r="N18" s="2" t="s">
        <v>51</v>
      </c>
      <c r="O18" s="51"/>
      <c r="P18" s="46"/>
      <c r="Q18" s="50"/>
      <c r="R18" s="56"/>
      <c r="S18" s="52">
        <f t="shared" si="0"/>
        <v>109.6</v>
      </c>
      <c r="T18" s="36">
        <f t="shared" si="1"/>
        <v>-109.6</v>
      </c>
      <c r="U18" s="1" t="str">
        <f t="shared" si="2"/>
        <v/>
      </c>
      <c r="V18" s="20">
        <v>323</v>
      </c>
      <c r="W18" s="20">
        <v>23</v>
      </c>
      <c r="X18" s="20">
        <v>0</v>
      </c>
      <c r="Y18" s="20">
        <v>0</v>
      </c>
      <c r="Z18" s="20">
        <f t="shared" si="3"/>
        <v>346</v>
      </c>
      <c r="AA18" s="20">
        <v>101.85899999999999</v>
      </c>
      <c r="AB18" s="20">
        <v>7.7409999999999997</v>
      </c>
      <c r="AC18" s="20">
        <v>0</v>
      </c>
      <c r="AD18" s="20">
        <v>0</v>
      </c>
      <c r="AE18" s="20">
        <f t="shared" si="4"/>
        <v>109.6</v>
      </c>
      <c r="AF18" s="11">
        <v>14</v>
      </c>
      <c r="AG18" s="27">
        <v>0.305561311</v>
      </c>
      <c r="AH18" s="11">
        <v>0</v>
      </c>
      <c r="AI18" s="27">
        <v>0</v>
      </c>
      <c r="AJ18" s="11">
        <v>2</v>
      </c>
      <c r="AK18" s="27">
        <v>4.9029499999999997</v>
      </c>
      <c r="AL18" s="11">
        <v>0</v>
      </c>
      <c r="AM18" s="27">
        <v>0</v>
      </c>
      <c r="AN18" s="11">
        <v>0</v>
      </c>
      <c r="AO18" s="27">
        <v>0</v>
      </c>
      <c r="AP18" s="27">
        <f t="shared" si="5"/>
        <v>5.2085113109999996</v>
      </c>
      <c r="AQ18" s="37" t="str">
        <f t="shared" si="6"/>
        <v>pend. Ene. Dist</v>
      </c>
      <c r="AR18" s="26" t="str">
        <f t="shared" si="7"/>
        <v>Pendiente Ene. Dist</v>
      </c>
      <c r="AS18" s="3"/>
    </row>
    <row r="19" spans="2:45" x14ac:dyDescent="0.25">
      <c r="B19" s="2">
        <v>16</v>
      </c>
      <c r="C19" s="2" t="s">
        <v>88</v>
      </c>
      <c r="D19" s="23">
        <v>45352</v>
      </c>
      <c r="E19" s="45" t="s">
        <v>66</v>
      </c>
      <c r="F19" s="2">
        <v>8119</v>
      </c>
      <c r="G19" s="2" t="s">
        <v>47</v>
      </c>
      <c r="H19" s="2">
        <v>140</v>
      </c>
      <c r="I19" s="2" t="s">
        <v>89</v>
      </c>
      <c r="J19" s="2" t="s">
        <v>68</v>
      </c>
      <c r="K19" s="3" t="s">
        <v>50</v>
      </c>
      <c r="L19" s="2" t="s">
        <v>51</v>
      </c>
      <c r="M19" s="2" t="s">
        <v>51</v>
      </c>
      <c r="N19" s="2" t="s">
        <v>60</v>
      </c>
      <c r="O19" s="51" t="s">
        <v>52</v>
      </c>
      <c r="P19" s="48">
        <v>0.85416666666666663</v>
      </c>
      <c r="Q19" s="49">
        <v>45352</v>
      </c>
      <c r="R19" s="56">
        <f>147.2020667*H19/1000</f>
        <v>20.608289337999999</v>
      </c>
      <c r="S19" s="52">
        <f t="shared" si="0"/>
        <v>14.206</v>
      </c>
      <c r="T19" s="36">
        <f t="shared" si="1"/>
        <v>6.4022893379999992</v>
      </c>
      <c r="U19" s="1">
        <f t="shared" si="2"/>
        <v>0.31066573420990851</v>
      </c>
      <c r="V19" s="20">
        <v>38</v>
      </c>
      <c r="W19" s="20">
        <v>39</v>
      </c>
      <c r="X19" s="20">
        <v>2</v>
      </c>
      <c r="Y19" s="20">
        <v>0</v>
      </c>
      <c r="Z19" s="20">
        <f t="shared" si="3"/>
        <v>79</v>
      </c>
      <c r="AA19" s="20">
        <v>5.2439999999999998</v>
      </c>
      <c r="AB19" s="20">
        <v>8.6219999999999999</v>
      </c>
      <c r="AC19" s="20">
        <v>0.34</v>
      </c>
      <c r="AD19" s="20">
        <v>0</v>
      </c>
      <c r="AE19" s="20">
        <f t="shared" si="4"/>
        <v>14.206</v>
      </c>
      <c r="AF19" s="11">
        <v>5</v>
      </c>
      <c r="AG19" s="27">
        <v>4.9254836000000003E-2</v>
      </c>
      <c r="AH19" s="11">
        <v>0</v>
      </c>
      <c r="AI19" s="27">
        <v>0</v>
      </c>
      <c r="AJ19" s="11">
        <v>4</v>
      </c>
      <c r="AK19" s="27">
        <v>15.28926667</v>
      </c>
      <c r="AL19" s="11">
        <v>2</v>
      </c>
      <c r="AM19" s="27">
        <v>2.2128833330000002</v>
      </c>
      <c r="AN19" s="11">
        <v>0</v>
      </c>
      <c r="AO19" s="27">
        <v>0</v>
      </c>
      <c r="AP19" s="27">
        <f t="shared" si="5"/>
        <v>17.551404839</v>
      </c>
      <c r="AQ19" s="37">
        <f t="shared" si="6"/>
        <v>-11.149115501000001</v>
      </c>
      <c r="AR19" s="26" t="str">
        <f t="shared" si="7"/>
        <v>Menores Compras</v>
      </c>
      <c r="AS19" s="3"/>
    </row>
    <row r="20" spans="2:45" x14ac:dyDescent="0.25">
      <c r="B20" s="2">
        <v>17</v>
      </c>
      <c r="C20" s="2" t="s">
        <v>90</v>
      </c>
      <c r="D20" s="23">
        <v>45355</v>
      </c>
      <c r="E20" s="45" t="s">
        <v>66</v>
      </c>
      <c r="F20" s="2">
        <v>8106</v>
      </c>
      <c r="G20" s="2" t="s">
        <v>47</v>
      </c>
      <c r="H20" s="2">
        <v>200</v>
      </c>
      <c r="I20" s="2" t="s">
        <v>91</v>
      </c>
      <c r="J20" s="2" t="s">
        <v>68</v>
      </c>
      <c r="K20" s="3" t="s">
        <v>50</v>
      </c>
      <c r="L20" s="2"/>
      <c r="M20" s="2" t="s">
        <v>51</v>
      </c>
      <c r="N20" s="2" t="s">
        <v>51</v>
      </c>
      <c r="O20" s="51"/>
      <c r="P20" s="46"/>
      <c r="Q20" s="50"/>
      <c r="R20" s="56"/>
      <c r="S20" s="52">
        <f t="shared" si="0"/>
        <v>39.231999999999999</v>
      </c>
      <c r="T20" s="36">
        <f t="shared" si="1"/>
        <v>-39.231999999999999</v>
      </c>
      <c r="U20" s="1" t="str">
        <f t="shared" si="2"/>
        <v/>
      </c>
      <c r="V20" s="20">
        <v>34</v>
      </c>
      <c r="W20" s="20">
        <v>36</v>
      </c>
      <c r="X20" s="20">
        <v>7</v>
      </c>
      <c r="Y20" s="20">
        <v>0</v>
      </c>
      <c r="Z20" s="20">
        <f t="shared" si="3"/>
        <v>77</v>
      </c>
      <c r="AA20" s="20">
        <v>6.2640000000000002</v>
      </c>
      <c r="AB20" s="20">
        <v>22.248000000000001</v>
      </c>
      <c r="AC20" s="20">
        <v>10.72</v>
      </c>
      <c r="AD20" s="20">
        <v>0</v>
      </c>
      <c r="AE20" s="20">
        <f t="shared" si="4"/>
        <v>39.231999999999999</v>
      </c>
      <c r="AF20" s="11">
        <v>3</v>
      </c>
      <c r="AG20" s="27">
        <v>2.72342145</v>
      </c>
      <c r="AH20" s="11">
        <v>7</v>
      </c>
      <c r="AI20" s="27">
        <v>4.987889247</v>
      </c>
      <c r="AJ20" s="11">
        <v>2</v>
      </c>
      <c r="AK20" s="27">
        <v>2.1665251109999999</v>
      </c>
      <c r="AL20" s="11">
        <v>1</v>
      </c>
      <c r="AM20" s="27">
        <v>29.101400000000002</v>
      </c>
      <c r="AN20" s="11">
        <v>0</v>
      </c>
      <c r="AO20" s="27">
        <v>0</v>
      </c>
      <c r="AP20" s="27">
        <f t="shared" si="5"/>
        <v>38.979235807999999</v>
      </c>
      <c r="AQ20" s="37" t="str">
        <f t="shared" si="6"/>
        <v>pend. Ene. Dist</v>
      </c>
      <c r="AR20" s="26" t="str">
        <f t="shared" si="7"/>
        <v>Pendiente Ene. Dist</v>
      </c>
      <c r="AS20" s="3"/>
    </row>
    <row r="21" spans="2:45" x14ac:dyDescent="0.25">
      <c r="B21" s="2">
        <v>18</v>
      </c>
      <c r="C21" s="2" t="s">
        <v>92</v>
      </c>
      <c r="D21" s="23">
        <v>45357</v>
      </c>
      <c r="E21" s="45" t="s">
        <v>93</v>
      </c>
      <c r="F21" s="2">
        <v>6802</v>
      </c>
      <c r="G21" s="2" t="s">
        <v>47</v>
      </c>
      <c r="H21" s="2">
        <v>60</v>
      </c>
      <c r="I21" s="11">
        <v>10156216254</v>
      </c>
      <c r="J21" s="2" t="s">
        <v>49</v>
      </c>
      <c r="K21" s="3" t="s">
        <v>50</v>
      </c>
      <c r="L21" s="2"/>
      <c r="M21" s="2" t="s">
        <v>51</v>
      </c>
      <c r="N21" s="2" t="s">
        <v>51</v>
      </c>
      <c r="O21" s="51"/>
      <c r="P21" s="46"/>
      <c r="Q21" s="50"/>
      <c r="R21" s="56"/>
      <c r="S21" s="52">
        <f t="shared" si="0"/>
        <v>22.868000000000002</v>
      </c>
      <c r="T21" s="36">
        <f t="shared" si="1"/>
        <v>-22.868000000000002</v>
      </c>
      <c r="U21" s="1" t="str">
        <f t="shared" si="2"/>
        <v/>
      </c>
      <c r="V21" s="20">
        <v>253</v>
      </c>
      <c r="W21" s="20">
        <v>16</v>
      </c>
      <c r="X21" s="20">
        <v>0</v>
      </c>
      <c r="Y21" s="20">
        <v>0</v>
      </c>
      <c r="Z21" s="20">
        <f t="shared" si="3"/>
        <v>269</v>
      </c>
      <c r="AA21" s="20">
        <v>19.146000000000001</v>
      </c>
      <c r="AB21" s="20">
        <v>3.722</v>
      </c>
      <c r="AC21" s="20">
        <v>0</v>
      </c>
      <c r="AD21" s="20">
        <v>0</v>
      </c>
      <c r="AE21" s="20">
        <f t="shared" si="4"/>
        <v>22.868000000000002</v>
      </c>
      <c r="AF21" s="11">
        <v>10</v>
      </c>
      <c r="AG21" s="27">
        <v>0.16347610300000001</v>
      </c>
      <c r="AH21" s="11">
        <v>0</v>
      </c>
      <c r="AI21" s="27">
        <v>0</v>
      </c>
      <c r="AJ21" s="11">
        <v>1</v>
      </c>
      <c r="AK21" s="27">
        <v>7.8102</v>
      </c>
      <c r="AL21" s="11">
        <v>0</v>
      </c>
      <c r="AM21" s="27">
        <v>0</v>
      </c>
      <c r="AN21" s="11">
        <v>0</v>
      </c>
      <c r="AO21" s="27">
        <v>0</v>
      </c>
      <c r="AP21" s="27">
        <f t="shared" si="5"/>
        <v>7.9736761029999998</v>
      </c>
      <c r="AQ21" s="37" t="str">
        <f t="shared" si="6"/>
        <v>pend. Ene. Dist</v>
      </c>
      <c r="AR21" s="26" t="str">
        <f t="shared" si="7"/>
        <v>Pendiente Ene. Dist</v>
      </c>
      <c r="AS21" s="3"/>
    </row>
    <row r="22" spans="2:45" x14ac:dyDescent="0.25">
      <c r="B22" s="2">
        <v>19</v>
      </c>
      <c r="C22" s="2" t="s">
        <v>94</v>
      </c>
      <c r="D22" s="23">
        <v>45346</v>
      </c>
      <c r="E22" s="45" t="s">
        <v>54</v>
      </c>
      <c r="F22" s="2">
        <v>6842</v>
      </c>
      <c r="G22" s="2" t="s">
        <v>47</v>
      </c>
      <c r="H22" s="2">
        <v>200</v>
      </c>
      <c r="I22" s="2" t="s">
        <v>95</v>
      </c>
      <c r="J22" s="2" t="s">
        <v>49</v>
      </c>
      <c r="K22" s="3" t="s">
        <v>56</v>
      </c>
      <c r="L22" s="2" t="s">
        <v>51</v>
      </c>
      <c r="M22" s="2" t="s">
        <v>51</v>
      </c>
      <c r="N22" s="2" t="s">
        <v>51</v>
      </c>
      <c r="O22" s="51" t="s">
        <v>56</v>
      </c>
      <c r="P22" s="48">
        <v>0.63541666666666663</v>
      </c>
      <c r="Q22" s="49">
        <v>45323</v>
      </c>
      <c r="R22" s="56">
        <f>584.2433*H22/1000</f>
        <v>116.84866</v>
      </c>
      <c r="S22" s="52">
        <f t="shared" si="0"/>
        <v>46.103000000000002</v>
      </c>
      <c r="T22" s="36">
        <f t="shared" si="1"/>
        <v>70.745659999999987</v>
      </c>
      <c r="U22" s="1">
        <f t="shared" si="2"/>
        <v>0.60544690884773511</v>
      </c>
      <c r="V22" s="20">
        <v>3</v>
      </c>
      <c r="W22" s="20">
        <v>19</v>
      </c>
      <c r="X22" s="20">
        <v>10</v>
      </c>
      <c r="Y22" s="20">
        <v>1</v>
      </c>
      <c r="Z22" s="20">
        <f t="shared" si="3"/>
        <v>33</v>
      </c>
      <c r="AA22" s="20">
        <v>0.71399999999999997</v>
      </c>
      <c r="AB22" s="20">
        <v>10.381</v>
      </c>
      <c r="AC22" s="20">
        <v>11.6</v>
      </c>
      <c r="AD22" s="20">
        <v>23.408000000000001</v>
      </c>
      <c r="AE22" s="20">
        <f t="shared" si="4"/>
        <v>46.103000000000002</v>
      </c>
      <c r="AF22" s="11">
        <v>4</v>
      </c>
      <c r="AG22" s="27">
        <v>0.14210060699999999</v>
      </c>
      <c r="AH22" s="11">
        <v>5</v>
      </c>
      <c r="AI22" s="27">
        <v>3.9286770720000002</v>
      </c>
      <c r="AJ22" s="11">
        <v>1</v>
      </c>
      <c r="AK22" s="27">
        <v>14.97226667</v>
      </c>
      <c r="AL22" s="11">
        <v>1</v>
      </c>
      <c r="AM22" s="27">
        <v>32.436891670000001</v>
      </c>
      <c r="AN22" s="11">
        <v>0</v>
      </c>
      <c r="AO22" s="27">
        <v>0</v>
      </c>
      <c r="AP22" s="27">
        <f t="shared" si="5"/>
        <v>51.479936019</v>
      </c>
      <c r="AQ22" s="37">
        <f t="shared" si="6"/>
        <v>19.265723980999987</v>
      </c>
      <c r="AR22" s="26" t="str">
        <f t="shared" si="7"/>
        <v>Inspecciones</v>
      </c>
      <c r="AS22" s="3"/>
    </row>
    <row r="23" spans="2:45" x14ac:dyDescent="0.25">
      <c r="B23" s="2">
        <v>20</v>
      </c>
      <c r="C23" s="2" t="s">
        <v>96</v>
      </c>
      <c r="D23" s="23">
        <v>45352</v>
      </c>
      <c r="E23" s="45" t="s">
        <v>93</v>
      </c>
      <c r="F23" s="2">
        <v>6822</v>
      </c>
      <c r="G23" s="2" t="s">
        <v>47</v>
      </c>
      <c r="H23" s="2">
        <v>100</v>
      </c>
      <c r="I23" s="11">
        <v>10156189196</v>
      </c>
      <c r="J23" s="2" t="s">
        <v>49</v>
      </c>
      <c r="K23" s="3" t="s">
        <v>50</v>
      </c>
      <c r="L23" s="2" t="s">
        <v>51</v>
      </c>
      <c r="M23" s="2" t="s">
        <v>51</v>
      </c>
      <c r="N23" s="2" t="s">
        <v>51</v>
      </c>
      <c r="O23" s="51" t="s">
        <v>52</v>
      </c>
      <c r="P23" s="48">
        <v>0.84375</v>
      </c>
      <c r="Q23" s="49">
        <v>45352</v>
      </c>
      <c r="R23" s="56">
        <f>523.3376*H23/1000</f>
        <v>52.333759999999998</v>
      </c>
      <c r="S23" s="52">
        <f t="shared" si="0"/>
        <v>25.129000000000001</v>
      </c>
      <c r="T23" s="36">
        <f t="shared" si="1"/>
        <v>27.204759999999997</v>
      </c>
      <c r="U23" s="1">
        <f t="shared" si="2"/>
        <v>0.51983194022367207</v>
      </c>
      <c r="V23" s="20">
        <v>357</v>
      </c>
      <c r="W23" s="20">
        <v>27</v>
      </c>
      <c r="X23" s="20">
        <v>1</v>
      </c>
      <c r="Y23" s="20">
        <v>0</v>
      </c>
      <c r="Z23" s="20">
        <f t="shared" si="3"/>
        <v>385</v>
      </c>
      <c r="AA23" s="20">
        <v>21.719000000000001</v>
      </c>
      <c r="AB23" s="20">
        <v>2.27</v>
      </c>
      <c r="AC23" s="20">
        <v>1.1399999999999999</v>
      </c>
      <c r="AD23" s="20">
        <v>0</v>
      </c>
      <c r="AE23" s="20">
        <f t="shared" si="4"/>
        <v>25.129000000000001</v>
      </c>
      <c r="AF23" s="11">
        <v>24</v>
      </c>
      <c r="AG23" s="27">
        <v>0.40146814800000002</v>
      </c>
      <c r="AH23" s="11">
        <v>0</v>
      </c>
      <c r="AI23" s="27">
        <v>0</v>
      </c>
      <c r="AJ23" s="11">
        <v>3</v>
      </c>
      <c r="AK23" s="27">
        <v>7.2592444440000001</v>
      </c>
      <c r="AL23" s="11">
        <v>0</v>
      </c>
      <c r="AM23" s="27">
        <v>0</v>
      </c>
      <c r="AN23" s="11">
        <v>3</v>
      </c>
      <c r="AO23" s="27">
        <v>5.7750500000000002</v>
      </c>
      <c r="AP23" s="27">
        <f t="shared" si="5"/>
        <v>13.435762592</v>
      </c>
      <c r="AQ23" s="37">
        <f t="shared" si="6"/>
        <v>13.768997407999997</v>
      </c>
      <c r="AR23" s="26" t="str">
        <f t="shared" si="7"/>
        <v>Inspecciones</v>
      </c>
      <c r="AS23" s="3"/>
    </row>
    <row r="24" spans="2:45" x14ac:dyDescent="0.25">
      <c r="B24" s="2">
        <v>21</v>
      </c>
      <c r="C24" s="2" t="s">
        <v>97</v>
      </c>
      <c r="D24" s="23">
        <v>45350</v>
      </c>
      <c r="E24" s="45" t="s">
        <v>70</v>
      </c>
      <c r="F24" s="2">
        <v>6800</v>
      </c>
      <c r="G24" s="2" t="s">
        <v>47</v>
      </c>
      <c r="H24" s="2">
        <v>100</v>
      </c>
      <c r="I24" s="2" t="s">
        <v>98</v>
      </c>
      <c r="J24" s="2" t="s">
        <v>49</v>
      </c>
      <c r="K24" s="3" t="s">
        <v>56</v>
      </c>
      <c r="L24" s="2" t="s">
        <v>51</v>
      </c>
      <c r="M24" s="2" t="s">
        <v>51</v>
      </c>
      <c r="N24" s="2" t="s">
        <v>51</v>
      </c>
      <c r="O24" s="51" t="s">
        <v>56</v>
      </c>
      <c r="P24" s="48">
        <v>0.47916666666666669</v>
      </c>
      <c r="Q24" s="49">
        <v>45352</v>
      </c>
      <c r="R24" s="56">
        <f>319.0951
*H24/1000</f>
        <v>31.909510000000001</v>
      </c>
      <c r="S24" s="52">
        <f t="shared" si="0"/>
        <v>25.333000000000002</v>
      </c>
      <c r="T24" s="36">
        <f t="shared" si="1"/>
        <v>6.576509999999999</v>
      </c>
      <c r="U24" s="1">
        <f t="shared" si="2"/>
        <v>0.20609874611048551</v>
      </c>
      <c r="V24" s="20">
        <v>6</v>
      </c>
      <c r="W24" s="20">
        <v>8</v>
      </c>
      <c r="X24" s="20">
        <v>3</v>
      </c>
      <c r="Y24" s="20">
        <v>1</v>
      </c>
      <c r="Z24" s="20">
        <f t="shared" si="3"/>
        <v>18</v>
      </c>
      <c r="AA24" s="20">
        <v>2.0379999999999998</v>
      </c>
      <c r="AB24" s="20">
        <v>2.9159999999999999</v>
      </c>
      <c r="AC24" s="20">
        <v>15.16</v>
      </c>
      <c r="AD24" s="20">
        <v>5.2190000000000003</v>
      </c>
      <c r="AE24" s="20">
        <f t="shared" si="4"/>
        <v>25.333000000000002</v>
      </c>
      <c r="AF24" s="11">
        <v>2</v>
      </c>
      <c r="AG24" s="27">
        <v>5.4614083000000001E-2</v>
      </c>
      <c r="AH24" s="11">
        <v>1</v>
      </c>
      <c r="AI24" s="27">
        <v>30.148183329999998</v>
      </c>
      <c r="AJ24" s="11">
        <v>0</v>
      </c>
      <c r="AK24" s="27">
        <v>0</v>
      </c>
      <c r="AL24" s="11">
        <v>2</v>
      </c>
      <c r="AM24" s="27">
        <v>6.3062083329999998</v>
      </c>
      <c r="AN24" s="11">
        <v>0</v>
      </c>
      <c r="AO24" s="27">
        <v>0</v>
      </c>
      <c r="AP24" s="27">
        <f t="shared" si="5"/>
        <v>36.509005746</v>
      </c>
      <c r="AQ24" s="37">
        <f t="shared" si="6"/>
        <v>-29.932495746000001</v>
      </c>
      <c r="AR24" s="26" t="str">
        <f t="shared" si="7"/>
        <v>Menores Compras</v>
      </c>
      <c r="AS24" s="3"/>
    </row>
    <row r="25" spans="2:45" x14ac:dyDescent="0.25">
      <c r="B25" s="2">
        <v>22</v>
      </c>
      <c r="C25" s="2" t="s">
        <v>99</v>
      </c>
      <c r="D25" s="23">
        <v>45338</v>
      </c>
      <c r="E25" s="45" t="s">
        <v>54</v>
      </c>
      <c r="F25" s="2">
        <v>6812</v>
      </c>
      <c r="G25" s="2" t="s">
        <v>47</v>
      </c>
      <c r="H25" s="2">
        <v>100</v>
      </c>
      <c r="I25" s="2" t="s">
        <v>100</v>
      </c>
      <c r="J25" s="2" t="s">
        <v>49</v>
      </c>
      <c r="K25" s="3" t="s">
        <v>50</v>
      </c>
      <c r="L25" s="2" t="s">
        <v>51</v>
      </c>
      <c r="M25" s="2" t="s">
        <v>51</v>
      </c>
      <c r="N25" s="2" t="s">
        <v>51</v>
      </c>
      <c r="O25" s="51" t="s">
        <v>52</v>
      </c>
      <c r="P25" s="48">
        <v>0.84375</v>
      </c>
      <c r="Q25" s="47">
        <v>45323</v>
      </c>
      <c r="R25" s="56">
        <f>607.4303*H25/1000</f>
        <v>60.743029999999997</v>
      </c>
      <c r="S25" s="52">
        <f t="shared" si="0"/>
        <v>21.462</v>
      </c>
      <c r="T25" s="36">
        <f t="shared" si="1"/>
        <v>39.281030000000001</v>
      </c>
      <c r="U25" s="1">
        <f t="shared" si="2"/>
        <v>0.64667551157721315</v>
      </c>
      <c r="V25" s="20">
        <v>150</v>
      </c>
      <c r="W25" s="20">
        <v>10</v>
      </c>
      <c r="X25" s="20">
        <v>0</v>
      </c>
      <c r="Y25" s="20">
        <v>0</v>
      </c>
      <c r="Z25" s="20">
        <f t="shared" si="3"/>
        <v>160</v>
      </c>
      <c r="AA25" s="20">
        <v>13.532999999999999</v>
      </c>
      <c r="AB25" s="20">
        <v>7.9290000000000003</v>
      </c>
      <c r="AC25" s="20">
        <v>0</v>
      </c>
      <c r="AD25" s="20">
        <v>0</v>
      </c>
      <c r="AE25" s="20">
        <f t="shared" si="4"/>
        <v>21.462</v>
      </c>
      <c r="AF25" s="11">
        <v>5</v>
      </c>
      <c r="AG25" s="27">
        <v>0.782704607</v>
      </c>
      <c r="AH25" s="11">
        <v>0</v>
      </c>
      <c r="AI25" s="27">
        <v>0</v>
      </c>
      <c r="AJ25" s="11">
        <v>16</v>
      </c>
      <c r="AK25" s="27">
        <v>12.72613627</v>
      </c>
      <c r="AL25" s="11">
        <v>14</v>
      </c>
      <c r="AM25" s="27">
        <v>6.1825113329999999</v>
      </c>
      <c r="AN25" s="11">
        <v>7</v>
      </c>
      <c r="AO25" s="27">
        <v>6.494948333</v>
      </c>
      <c r="AP25" s="27">
        <f t="shared" si="5"/>
        <v>26.186300542999998</v>
      </c>
      <c r="AQ25" s="37">
        <f t="shared" si="6"/>
        <v>13.094729457000003</v>
      </c>
      <c r="AR25" s="26" t="str">
        <f t="shared" si="7"/>
        <v>Inspecciones</v>
      </c>
      <c r="AS25" s="3"/>
    </row>
    <row r="26" spans="2:45" x14ac:dyDescent="0.25">
      <c r="B26" s="2">
        <v>23</v>
      </c>
      <c r="C26" s="2" t="s">
        <v>101</v>
      </c>
      <c r="D26" s="23">
        <v>45351</v>
      </c>
      <c r="E26" s="45" t="s">
        <v>66</v>
      </c>
      <c r="F26" s="2">
        <v>8137</v>
      </c>
      <c r="G26" s="2" t="s">
        <v>47</v>
      </c>
      <c r="H26" s="2">
        <v>100</v>
      </c>
      <c r="I26" s="11">
        <v>10156217235</v>
      </c>
      <c r="J26" s="2" t="s">
        <v>68</v>
      </c>
      <c r="K26" s="3" t="s">
        <v>50</v>
      </c>
      <c r="L26" s="2" t="s">
        <v>51</v>
      </c>
      <c r="M26" s="2" t="s">
        <v>51</v>
      </c>
      <c r="N26" s="2" t="s">
        <v>51</v>
      </c>
      <c r="O26" s="51" t="s">
        <v>56</v>
      </c>
      <c r="P26" s="48">
        <v>0.90625</v>
      </c>
      <c r="Q26" s="49">
        <v>45352</v>
      </c>
      <c r="R26" s="56">
        <f>66.1795
*H26/1000</f>
        <v>6.6179500000000004</v>
      </c>
      <c r="S26" s="52">
        <f t="shared" si="0"/>
        <v>1.8640000000000001</v>
      </c>
      <c r="T26" s="36">
        <f t="shared" si="1"/>
        <v>4.7539500000000006</v>
      </c>
      <c r="U26" s="1">
        <f t="shared" si="2"/>
        <v>0.71834178257617542</v>
      </c>
      <c r="V26" s="20">
        <v>16</v>
      </c>
      <c r="W26" s="20">
        <v>3</v>
      </c>
      <c r="X26" s="20">
        <v>1</v>
      </c>
      <c r="Y26" s="20">
        <v>0</v>
      </c>
      <c r="Z26" s="20">
        <f t="shared" si="3"/>
        <v>20</v>
      </c>
      <c r="AA26" s="20">
        <v>1.4810000000000001</v>
      </c>
      <c r="AB26" s="20">
        <v>0.38300000000000001</v>
      </c>
      <c r="AC26" s="20">
        <v>0</v>
      </c>
      <c r="AD26" s="20">
        <v>0</v>
      </c>
      <c r="AE26" s="20">
        <f t="shared" si="4"/>
        <v>1.8640000000000001</v>
      </c>
      <c r="AF26" s="11">
        <v>0</v>
      </c>
      <c r="AG26" s="27">
        <v>0</v>
      </c>
      <c r="AH26" s="11">
        <v>1</v>
      </c>
      <c r="AI26" s="27">
        <v>8.1091925000000007</v>
      </c>
      <c r="AJ26" s="11">
        <v>1</v>
      </c>
      <c r="AK26" s="27">
        <v>80.882783329999995</v>
      </c>
      <c r="AL26" s="11">
        <v>0</v>
      </c>
      <c r="AM26" s="27">
        <v>0</v>
      </c>
      <c r="AN26" s="11">
        <v>0</v>
      </c>
      <c r="AO26" s="27">
        <v>0</v>
      </c>
      <c r="AP26" s="27">
        <f t="shared" si="5"/>
        <v>88.991975830000001</v>
      </c>
      <c r="AQ26" s="37">
        <f t="shared" si="6"/>
        <v>-84.238025829999998</v>
      </c>
      <c r="AR26" s="26" t="str">
        <f t="shared" si="7"/>
        <v>Menores Compras</v>
      </c>
      <c r="AS26" s="3"/>
    </row>
    <row r="27" spans="2:45" x14ac:dyDescent="0.25">
      <c r="B27" s="2">
        <v>24</v>
      </c>
      <c r="C27" s="2" t="s">
        <v>102</v>
      </c>
      <c r="D27" s="23">
        <v>45349</v>
      </c>
      <c r="E27" s="45" t="s">
        <v>46</v>
      </c>
      <c r="F27" s="2">
        <v>6799</v>
      </c>
      <c r="G27" s="2" t="s">
        <v>47</v>
      </c>
      <c r="H27" s="2">
        <v>100</v>
      </c>
      <c r="I27" s="2" t="s">
        <v>103</v>
      </c>
      <c r="J27" s="2" t="s">
        <v>49</v>
      </c>
      <c r="K27" s="3" t="s">
        <v>56</v>
      </c>
      <c r="L27" s="2" t="s">
        <v>51</v>
      </c>
      <c r="M27" s="2" t="s">
        <v>51</v>
      </c>
      <c r="N27" s="2" t="s">
        <v>51</v>
      </c>
      <c r="O27" s="51" t="s">
        <v>52</v>
      </c>
      <c r="P27" s="48">
        <v>0.89583333333333337</v>
      </c>
      <c r="Q27" s="49">
        <v>45352</v>
      </c>
      <c r="R27" s="56">
        <f>744.8996
*H27/1000</f>
        <v>74.489959999999996</v>
      </c>
      <c r="S27" s="52">
        <f t="shared" si="0"/>
        <v>62.075999999999993</v>
      </c>
      <c r="T27" s="36">
        <f t="shared" si="1"/>
        <v>12.413960000000003</v>
      </c>
      <c r="U27" s="1">
        <f t="shared" si="2"/>
        <v>0.16665279455110465</v>
      </c>
      <c r="V27" s="20">
        <v>202</v>
      </c>
      <c r="W27" s="20">
        <v>62</v>
      </c>
      <c r="X27" s="20">
        <v>1</v>
      </c>
      <c r="Y27" s="20">
        <v>0</v>
      </c>
      <c r="Z27" s="20">
        <f t="shared" si="3"/>
        <v>265</v>
      </c>
      <c r="AA27" s="20">
        <v>35.308999999999997</v>
      </c>
      <c r="AB27" s="20">
        <v>26.766999999999999</v>
      </c>
      <c r="AC27" s="20">
        <v>0</v>
      </c>
      <c r="AD27" s="20">
        <v>0</v>
      </c>
      <c r="AE27" s="20">
        <f t="shared" si="4"/>
        <v>62.075999999999993</v>
      </c>
      <c r="AF27" s="11">
        <v>9</v>
      </c>
      <c r="AG27" s="27">
        <v>0.11514103000000001</v>
      </c>
      <c r="AH27" s="11">
        <v>0</v>
      </c>
      <c r="AI27" s="27">
        <v>0</v>
      </c>
      <c r="AJ27" s="11">
        <v>4</v>
      </c>
      <c r="AK27" s="27">
        <v>21.417516670000001</v>
      </c>
      <c r="AL27" s="11">
        <v>8</v>
      </c>
      <c r="AM27" s="27">
        <v>18.46692037</v>
      </c>
      <c r="AN27" s="11">
        <v>0</v>
      </c>
      <c r="AO27" s="27">
        <v>0</v>
      </c>
      <c r="AP27" s="27">
        <f t="shared" si="5"/>
        <v>39.999578069999998</v>
      </c>
      <c r="AQ27" s="37">
        <f t="shared" si="6"/>
        <v>-27.585618069999995</v>
      </c>
      <c r="AR27" s="26" t="str">
        <f t="shared" si="7"/>
        <v>Menores Compras</v>
      </c>
      <c r="AS27" s="3"/>
    </row>
    <row r="28" spans="2:45" x14ac:dyDescent="0.25">
      <c r="B28" s="2">
        <v>25</v>
      </c>
      <c r="C28" s="2" t="s">
        <v>104</v>
      </c>
      <c r="D28" s="23">
        <v>45359</v>
      </c>
      <c r="E28" s="45" t="s">
        <v>54</v>
      </c>
      <c r="F28" s="2">
        <v>6847</v>
      </c>
      <c r="G28" s="2" t="s">
        <v>47</v>
      </c>
      <c r="H28" s="2">
        <v>60</v>
      </c>
      <c r="I28" s="2" t="s">
        <v>105</v>
      </c>
      <c r="J28" s="2" t="s">
        <v>49</v>
      </c>
      <c r="K28" s="3" t="s">
        <v>56</v>
      </c>
      <c r="L28" s="2"/>
      <c r="M28" s="2" t="s">
        <v>51</v>
      </c>
      <c r="N28" s="2" t="s">
        <v>51</v>
      </c>
      <c r="O28" s="51"/>
      <c r="P28" s="46"/>
      <c r="Q28" s="50"/>
      <c r="R28" s="56"/>
      <c r="S28" s="52">
        <f t="shared" si="0"/>
        <v>8.61</v>
      </c>
      <c r="T28" s="36">
        <f t="shared" si="1"/>
        <v>-8.61</v>
      </c>
      <c r="U28" s="1" t="str">
        <f t="shared" si="2"/>
        <v/>
      </c>
      <c r="V28" s="20">
        <v>7</v>
      </c>
      <c r="W28" s="20">
        <v>12</v>
      </c>
      <c r="X28" s="20">
        <v>3</v>
      </c>
      <c r="Y28" s="20">
        <v>1</v>
      </c>
      <c r="Z28" s="20">
        <f t="shared" si="3"/>
        <v>23</v>
      </c>
      <c r="AA28" s="20">
        <v>2.0870000000000002</v>
      </c>
      <c r="AB28" s="20">
        <v>3.6429999999999998</v>
      </c>
      <c r="AC28" s="20">
        <v>2.88</v>
      </c>
      <c r="AD28" s="20">
        <v>0</v>
      </c>
      <c r="AE28" s="20">
        <f t="shared" si="4"/>
        <v>8.61</v>
      </c>
      <c r="AF28" s="11">
        <v>0</v>
      </c>
      <c r="AG28" s="27">
        <v>0</v>
      </c>
      <c r="AH28" s="11">
        <v>1</v>
      </c>
      <c r="AI28" s="27">
        <v>72.433530570000002</v>
      </c>
      <c r="AJ28" s="11">
        <v>0</v>
      </c>
      <c r="AK28" s="27">
        <v>0</v>
      </c>
      <c r="AL28" s="11">
        <v>0</v>
      </c>
      <c r="AM28" s="27">
        <v>0</v>
      </c>
      <c r="AN28" s="11">
        <v>0</v>
      </c>
      <c r="AO28" s="27">
        <v>0</v>
      </c>
      <c r="AP28" s="27">
        <f t="shared" si="5"/>
        <v>72.433530570000002</v>
      </c>
      <c r="AQ28" s="37" t="str">
        <f t="shared" si="6"/>
        <v>pend. Ene. Dist</v>
      </c>
      <c r="AR28" s="26" t="str">
        <f t="shared" si="7"/>
        <v>Pendiente Ene. Dist</v>
      </c>
      <c r="AS28" s="3"/>
    </row>
    <row r="29" spans="2:45" x14ac:dyDescent="0.25">
      <c r="B29" s="2">
        <v>26</v>
      </c>
      <c r="C29" s="2" t="s">
        <v>106</v>
      </c>
      <c r="D29" s="23">
        <v>45346</v>
      </c>
      <c r="E29" s="45" t="s">
        <v>66</v>
      </c>
      <c r="F29" s="2">
        <v>8093</v>
      </c>
      <c r="G29" s="2" t="s">
        <v>47</v>
      </c>
      <c r="H29" s="2">
        <v>100</v>
      </c>
      <c r="I29" s="2" t="s">
        <v>107</v>
      </c>
      <c r="J29" s="2" t="s">
        <v>68</v>
      </c>
      <c r="K29" s="3" t="s">
        <v>50</v>
      </c>
      <c r="L29" s="2" t="s">
        <v>51</v>
      </c>
      <c r="M29" s="2" t="s">
        <v>51</v>
      </c>
      <c r="N29" s="2" t="s">
        <v>51</v>
      </c>
      <c r="O29" s="51" t="s">
        <v>52</v>
      </c>
      <c r="P29" s="48">
        <v>0.82291666666666663</v>
      </c>
      <c r="Q29" s="49">
        <v>45323</v>
      </c>
      <c r="R29" s="56">
        <f>207.8637*H29/1000</f>
        <v>20.786369999999998</v>
      </c>
      <c r="S29" s="52">
        <f t="shared" si="0"/>
        <v>17.570999999999998</v>
      </c>
      <c r="T29" s="36">
        <f t="shared" si="1"/>
        <v>3.2153700000000001</v>
      </c>
      <c r="U29" s="1">
        <f t="shared" si="2"/>
        <v>0.15468646040650677</v>
      </c>
      <c r="V29" s="20">
        <v>45</v>
      </c>
      <c r="W29" s="20">
        <v>61</v>
      </c>
      <c r="X29" s="20">
        <v>0</v>
      </c>
      <c r="Y29" s="20">
        <v>0</v>
      </c>
      <c r="Z29" s="20">
        <f t="shared" si="3"/>
        <v>106</v>
      </c>
      <c r="AA29" s="20">
        <v>5.9379999999999997</v>
      </c>
      <c r="AB29" s="20">
        <v>11.632999999999999</v>
      </c>
      <c r="AC29" s="20">
        <v>0</v>
      </c>
      <c r="AD29" s="20">
        <v>0</v>
      </c>
      <c r="AE29" s="20">
        <f t="shared" si="4"/>
        <v>17.570999999999998</v>
      </c>
      <c r="AF29" s="11">
        <v>5</v>
      </c>
      <c r="AG29" s="27">
        <v>5.0595210530000001</v>
      </c>
      <c r="AH29" s="11">
        <v>0</v>
      </c>
      <c r="AI29" s="27">
        <v>0</v>
      </c>
      <c r="AJ29" s="11">
        <v>7</v>
      </c>
      <c r="AK29" s="27">
        <v>17.912953330000001</v>
      </c>
      <c r="AL29" s="11">
        <v>12</v>
      </c>
      <c r="AM29" s="27">
        <v>13.86012639</v>
      </c>
      <c r="AN29" s="11">
        <v>0</v>
      </c>
      <c r="AO29" s="27">
        <v>0</v>
      </c>
      <c r="AP29" s="27">
        <f t="shared" si="5"/>
        <v>36.832600773000003</v>
      </c>
      <c r="AQ29" s="37">
        <f t="shared" si="6"/>
        <v>-33.617230773000003</v>
      </c>
      <c r="AR29" s="26" t="str">
        <f t="shared" si="7"/>
        <v>Menores Compras</v>
      </c>
      <c r="AS29" s="3"/>
    </row>
    <row r="30" spans="2:45" x14ac:dyDescent="0.25">
      <c r="B30" s="2">
        <v>27</v>
      </c>
      <c r="C30" s="2" t="s">
        <v>108</v>
      </c>
      <c r="D30" s="23">
        <v>45353</v>
      </c>
      <c r="E30" s="45" t="s">
        <v>80</v>
      </c>
      <c r="F30" s="2">
        <v>8133</v>
      </c>
      <c r="G30" s="2" t="s">
        <v>47</v>
      </c>
      <c r="H30" s="2">
        <v>140</v>
      </c>
      <c r="I30" s="2" t="s">
        <v>109</v>
      </c>
      <c r="J30" s="2" t="s">
        <v>68</v>
      </c>
      <c r="K30" s="3" t="s">
        <v>50</v>
      </c>
      <c r="L30" s="2" t="s">
        <v>51</v>
      </c>
      <c r="M30" s="2" t="s">
        <v>51</v>
      </c>
      <c r="N30" s="2" t="s">
        <v>51</v>
      </c>
      <c r="O30" s="51" t="s">
        <v>52</v>
      </c>
      <c r="P30" s="48">
        <v>0.875</v>
      </c>
      <c r="Q30" s="49">
        <v>45352</v>
      </c>
      <c r="R30" s="56">
        <f>370.4785*H30/1000</f>
        <v>51.866990000000001</v>
      </c>
      <c r="S30" s="52">
        <f t="shared" si="0"/>
        <v>50.863</v>
      </c>
      <c r="T30" s="36">
        <f t="shared" si="1"/>
        <v>1.0039900000000017</v>
      </c>
      <c r="U30" s="1">
        <f t="shared" si="2"/>
        <v>1.9357013005767285E-2</v>
      </c>
      <c r="V30" s="20">
        <v>96</v>
      </c>
      <c r="W30" s="20">
        <v>9</v>
      </c>
      <c r="X30" s="20">
        <v>1</v>
      </c>
      <c r="Y30" s="20">
        <v>0</v>
      </c>
      <c r="Z30" s="20">
        <f t="shared" si="3"/>
        <v>106</v>
      </c>
      <c r="AA30" s="20">
        <v>33.281999999999996</v>
      </c>
      <c r="AB30" s="20">
        <v>7.7409999999999997</v>
      </c>
      <c r="AC30" s="20">
        <v>9.84</v>
      </c>
      <c r="AD30" s="20">
        <v>0</v>
      </c>
      <c r="AE30" s="20">
        <f t="shared" si="4"/>
        <v>50.863</v>
      </c>
      <c r="AF30" s="11">
        <v>1</v>
      </c>
      <c r="AG30" s="27">
        <v>0.39061888299999997</v>
      </c>
      <c r="AH30" s="11">
        <v>0</v>
      </c>
      <c r="AI30" s="27">
        <v>0</v>
      </c>
      <c r="AJ30" s="11">
        <v>0</v>
      </c>
      <c r="AK30" s="27">
        <v>0</v>
      </c>
      <c r="AL30" s="11">
        <v>0</v>
      </c>
      <c r="AM30" s="27">
        <v>0</v>
      </c>
      <c r="AN30" s="11">
        <v>0</v>
      </c>
      <c r="AO30" s="27">
        <v>0</v>
      </c>
      <c r="AP30" s="27">
        <f t="shared" si="5"/>
        <v>0.39061888299999997</v>
      </c>
      <c r="AQ30" s="37">
        <f t="shared" si="6"/>
        <v>0.6133711170000018</v>
      </c>
      <c r="AR30" s="26" t="str">
        <f t="shared" si="7"/>
        <v>Inspecciones</v>
      </c>
      <c r="AS30" s="3"/>
    </row>
    <row r="31" spans="2:45" x14ac:dyDescent="0.25">
      <c r="B31" s="2">
        <v>28</v>
      </c>
      <c r="C31" s="2" t="s">
        <v>110</v>
      </c>
      <c r="D31" s="23">
        <v>45345</v>
      </c>
      <c r="E31" s="45" t="s">
        <v>66</v>
      </c>
      <c r="F31" s="2">
        <v>8096</v>
      </c>
      <c r="G31" s="2" t="s">
        <v>47</v>
      </c>
      <c r="H31" s="2">
        <v>60</v>
      </c>
      <c r="I31" s="2" t="s">
        <v>111</v>
      </c>
      <c r="J31" s="2" t="s">
        <v>68</v>
      </c>
      <c r="K31" s="3" t="s">
        <v>50</v>
      </c>
      <c r="L31" s="2" t="s">
        <v>51</v>
      </c>
      <c r="M31" s="2" t="s">
        <v>51</v>
      </c>
      <c r="N31" s="2" t="s">
        <v>51</v>
      </c>
      <c r="O31" s="51" t="s">
        <v>52</v>
      </c>
      <c r="P31" s="48">
        <v>0.83333333333333337</v>
      </c>
      <c r="Q31" s="49">
        <v>45323</v>
      </c>
      <c r="R31" s="56">
        <f>689.7698*H31/1000</f>
        <v>41.386188000000004</v>
      </c>
      <c r="S31" s="52">
        <f t="shared" si="0"/>
        <v>37.646999999999998</v>
      </c>
      <c r="T31" s="36">
        <f t="shared" si="1"/>
        <v>3.7391880000000057</v>
      </c>
      <c r="U31" s="1">
        <f t="shared" si="2"/>
        <v>9.0348693143712716E-2</v>
      </c>
      <c r="V31" s="20">
        <v>107</v>
      </c>
      <c r="W31" s="20">
        <v>24</v>
      </c>
      <c r="X31" s="20">
        <v>3</v>
      </c>
      <c r="Y31" s="20">
        <v>0</v>
      </c>
      <c r="Z31" s="20">
        <f t="shared" si="3"/>
        <v>134</v>
      </c>
      <c r="AA31" s="20">
        <v>10.534000000000001</v>
      </c>
      <c r="AB31" s="20">
        <v>4.2729999999999997</v>
      </c>
      <c r="AC31" s="20">
        <v>22.84</v>
      </c>
      <c r="AD31" s="20">
        <v>0</v>
      </c>
      <c r="AE31" s="20">
        <f t="shared" si="4"/>
        <v>37.646999999999998</v>
      </c>
      <c r="AF31" s="11">
        <v>4</v>
      </c>
      <c r="AG31" s="27">
        <v>0.140017375</v>
      </c>
      <c r="AH31" s="11">
        <v>1</v>
      </c>
      <c r="AI31" s="27">
        <v>0.11310000000000001</v>
      </c>
      <c r="AJ31" s="11">
        <v>5</v>
      </c>
      <c r="AK31" s="27">
        <v>11.858554760000001</v>
      </c>
      <c r="AL31" s="11">
        <v>5</v>
      </c>
      <c r="AM31" s="27">
        <v>14.7904131</v>
      </c>
      <c r="AN31" s="11">
        <v>2</v>
      </c>
      <c r="AO31" s="27">
        <v>5.2496200000000002</v>
      </c>
      <c r="AP31" s="27">
        <f t="shared" si="5"/>
        <v>32.151705235000001</v>
      </c>
      <c r="AQ31" s="37">
        <f t="shared" si="6"/>
        <v>-28.412517234999996</v>
      </c>
      <c r="AR31" s="26" t="str">
        <f t="shared" si="7"/>
        <v>Menores Compras</v>
      </c>
      <c r="AS31" s="3"/>
    </row>
    <row r="32" spans="2:45" x14ac:dyDescent="0.25">
      <c r="B32" s="2">
        <v>29</v>
      </c>
      <c r="C32" s="2" t="s">
        <v>112</v>
      </c>
      <c r="D32" s="23">
        <v>45339</v>
      </c>
      <c r="E32" s="45" t="s">
        <v>54</v>
      </c>
      <c r="F32" s="2">
        <v>6848</v>
      </c>
      <c r="G32" s="2" t="s">
        <v>47</v>
      </c>
      <c r="H32" s="2">
        <v>60</v>
      </c>
      <c r="I32" s="2" t="s">
        <v>113</v>
      </c>
      <c r="J32" s="2" t="s">
        <v>49</v>
      </c>
      <c r="K32" s="3" t="s">
        <v>50</v>
      </c>
      <c r="L32" s="2" t="s">
        <v>51</v>
      </c>
      <c r="M32" s="2" t="s">
        <v>51</v>
      </c>
      <c r="N32" s="2" t="s">
        <v>51</v>
      </c>
      <c r="O32" s="51" t="s">
        <v>52</v>
      </c>
      <c r="P32" s="48">
        <v>0.85416666666666663</v>
      </c>
      <c r="Q32" s="49">
        <v>45323</v>
      </c>
      <c r="R32" s="56">
        <f>328.47*H32/1000</f>
        <v>19.708200000000001</v>
      </c>
      <c r="S32" s="52">
        <f t="shared" si="0"/>
        <v>24.091999999999999</v>
      </c>
      <c r="T32" s="36">
        <f t="shared" si="1"/>
        <v>-4.3837999999999973</v>
      </c>
      <c r="U32" s="1">
        <f t="shared" si="2"/>
        <v>-0.22243533148638622</v>
      </c>
      <c r="V32" s="20">
        <v>148</v>
      </c>
      <c r="W32" s="20">
        <v>10</v>
      </c>
      <c r="X32" s="20">
        <v>0</v>
      </c>
      <c r="Y32" s="20">
        <v>0</v>
      </c>
      <c r="Z32" s="20">
        <f t="shared" si="3"/>
        <v>158</v>
      </c>
      <c r="AA32" s="20">
        <v>21.515000000000001</v>
      </c>
      <c r="AB32" s="20">
        <v>2.577</v>
      </c>
      <c r="AC32" s="20">
        <v>0</v>
      </c>
      <c r="AD32" s="20">
        <v>0</v>
      </c>
      <c r="AE32" s="20">
        <f t="shared" si="4"/>
        <v>24.091999999999999</v>
      </c>
      <c r="AF32" s="11">
        <v>7</v>
      </c>
      <c r="AG32" s="27">
        <v>1.2943788620000001</v>
      </c>
      <c r="AH32" s="11">
        <v>0</v>
      </c>
      <c r="AI32" s="27">
        <v>0</v>
      </c>
      <c r="AJ32" s="11">
        <v>7</v>
      </c>
      <c r="AK32" s="27">
        <v>12.34978828</v>
      </c>
      <c r="AL32" s="11">
        <v>11</v>
      </c>
      <c r="AM32" s="27">
        <v>10.723457140000001</v>
      </c>
      <c r="AN32" s="11">
        <v>1</v>
      </c>
      <c r="AO32" s="27">
        <v>7.1672000000000002</v>
      </c>
      <c r="AP32" s="27">
        <f t="shared" si="5"/>
        <v>31.534824282000002</v>
      </c>
      <c r="AQ32" s="37">
        <f t="shared" si="6"/>
        <v>-35.918624281999996</v>
      </c>
      <c r="AR32" s="26" t="str">
        <f t="shared" si="7"/>
        <v>Menores Compras</v>
      </c>
      <c r="AS32" s="3"/>
    </row>
    <row r="33" spans="2:45" x14ac:dyDescent="0.25">
      <c r="B33" s="2">
        <v>30</v>
      </c>
      <c r="C33" s="2" t="s">
        <v>114</v>
      </c>
      <c r="D33" s="23">
        <v>45357</v>
      </c>
      <c r="E33" s="45" t="s">
        <v>93</v>
      </c>
      <c r="F33" s="2">
        <v>6844</v>
      </c>
      <c r="G33" s="2" t="s">
        <v>47</v>
      </c>
      <c r="H33" s="2">
        <v>100</v>
      </c>
      <c r="I33" s="2" t="s">
        <v>115</v>
      </c>
      <c r="J33" s="2" t="s">
        <v>49</v>
      </c>
      <c r="K33" s="3" t="s">
        <v>50</v>
      </c>
      <c r="L33" s="2"/>
      <c r="M33" s="2" t="s">
        <v>51</v>
      </c>
      <c r="N33" s="2" t="s">
        <v>51</v>
      </c>
      <c r="O33" s="51"/>
      <c r="P33" s="46"/>
      <c r="Q33" s="50"/>
      <c r="R33" s="56"/>
      <c r="S33" s="52">
        <f t="shared" si="0"/>
        <v>11.239000000000001</v>
      </c>
      <c r="T33" s="36">
        <f t="shared" si="1"/>
        <v>-11.239000000000001</v>
      </c>
      <c r="U33" s="1" t="str">
        <f t="shared" si="2"/>
        <v/>
      </c>
      <c r="V33" s="20">
        <v>141</v>
      </c>
      <c r="W33" s="20">
        <v>16</v>
      </c>
      <c r="X33" s="20">
        <v>0</v>
      </c>
      <c r="Y33" s="20">
        <v>0</v>
      </c>
      <c r="Z33" s="20">
        <f t="shared" si="3"/>
        <v>157</v>
      </c>
      <c r="AA33" s="20">
        <v>9.7789999999999999</v>
      </c>
      <c r="AB33" s="20">
        <v>1.46</v>
      </c>
      <c r="AC33" s="20">
        <v>0</v>
      </c>
      <c r="AD33" s="20">
        <v>0</v>
      </c>
      <c r="AE33" s="20">
        <f t="shared" si="4"/>
        <v>11.239000000000001</v>
      </c>
      <c r="AF33" s="11">
        <v>3</v>
      </c>
      <c r="AG33" s="27">
        <v>0.61861440000000001</v>
      </c>
      <c r="AH33" s="11">
        <v>0</v>
      </c>
      <c r="AI33" s="27">
        <v>0</v>
      </c>
      <c r="AJ33" s="11">
        <v>10</v>
      </c>
      <c r="AK33" s="27">
        <v>5.8991163330000003</v>
      </c>
      <c r="AL33" s="11">
        <v>4</v>
      </c>
      <c r="AM33" s="27">
        <v>10.00066333</v>
      </c>
      <c r="AN33" s="11">
        <v>4</v>
      </c>
      <c r="AO33" s="27">
        <v>9.5386299999999995</v>
      </c>
      <c r="AP33" s="27">
        <f t="shared" si="5"/>
        <v>26.057024063</v>
      </c>
      <c r="AQ33" s="37" t="str">
        <f t="shared" si="6"/>
        <v>pend. Ene. Dist</v>
      </c>
      <c r="AR33" s="26" t="str">
        <f t="shared" si="7"/>
        <v>Pendiente Ene. Dist</v>
      </c>
      <c r="AS33" s="3"/>
    </row>
    <row r="34" spans="2:45" x14ac:dyDescent="0.25">
      <c r="B34" s="2">
        <v>31</v>
      </c>
      <c r="C34" s="2" t="s">
        <v>116</v>
      </c>
      <c r="D34" s="23">
        <v>45345</v>
      </c>
      <c r="E34" s="45" t="s">
        <v>54</v>
      </c>
      <c r="F34" s="2">
        <v>6839</v>
      </c>
      <c r="G34" s="2" t="s">
        <v>47</v>
      </c>
      <c r="H34" s="2">
        <v>140</v>
      </c>
      <c r="I34" s="2" t="s">
        <v>117</v>
      </c>
      <c r="J34" s="2" t="s">
        <v>49</v>
      </c>
      <c r="K34" s="3" t="s">
        <v>56</v>
      </c>
      <c r="L34" s="2" t="s">
        <v>51</v>
      </c>
      <c r="M34" s="2" t="s">
        <v>51</v>
      </c>
      <c r="N34" s="2" t="s">
        <v>51</v>
      </c>
      <c r="O34" s="51" t="s">
        <v>56</v>
      </c>
      <c r="P34" s="48">
        <v>0.61458333333333337</v>
      </c>
      <c r="Q34" s="49">
        <v>45323</v>
      </c>
      <c r="R34" s="56">
        <f>150.6808*H34/1000</f>
        <v>21.095312000000003</v>
      </c>
      <c r="S34" s="52">
        <f t="shared" si="0"/>
        <v>1.0760000000000001</v>
      </c>
      <c r="T34" s="36">
        <f t="shared" si="1"/>
        <v>20.019312000000003</v>
      </c>
      <c r="U34" s="1">
        <f t="shared" si="2"/>
        <v>0.9489934066867558</v>
      </c>
      <c r="V34" s="20">
        <v>0</v>
      </c>
      <c r="W34" s="20">
        <v>3</v>
      </c>
      <c r="X34" s="20">
        <v>1</v>
      </c>
      <c r="Y34" s="20">
        <v>0</v>
      </c>
      <c r="Z34" s="20">
        <f t="shared" si="3"/>
        <v>4</v>
      </c>
      <c r="AA34" s="20">
        <v>0</v>
      </c>
      <c r="AB34" s="20">
        <v>1.0760000000000001</v>
      </c>
      <c r="AC34" s="20">
        <v>0</v>
      </c>
      <c r="AD34" s="20">
        <v>0</v>
      </c>
      <c r="AE34" s="20">
        <f t="shared" si="4"/>
        <v>1.0760000000000001</v>
      </c>
      <c r="AF34" s="11">
        <v>0</v>
      </c>
      <c r="AG34" s="27">
        <v>0</v>
      </c>
      <c r="AH34" s="11">
        <v>2</v>
      </c>
      <c r="AI34" s="27">
        <v>2.1394578900000001</v>
      </c>
      <c r="AJ34" s="11">
        <v>1</v>
      </c>
      <c r="AK34" s="27">
        <v>2.824880109</v>
      </c>
      <c r="AL34" s="11">
        <v>2</v>
      </c>
      <c r="AM34" s="27">
        <v>11.974783329999999</v>
      </c>
      <c r="AN34" s="11">
        <v>0</v>
      </c>
      <c r="AO34" s="27">
        <v>0</v>
      </c>
      <c r="AP34" s="27">
        <f t="shared" si="5"/>
        <v>16.939121328999999</v>
      </c>
      <c r="AQ34" s="37">
        <f t="shared" si="6"/>
        <v>3.080190671000004</v>
      </c>
      <c r="AR34" s="26" t="str">
        <f t="shared" si="7"/>
        <v>Inspecciones</v>
      </c>
      <c r="AS34" s="3"/>
    </row>
    <row r="35" spans="2:45" x14ac:dyDescent="0.25">
      <c r="B35" s="2">
        <v>32</v>
      </c>
      <c r="C35" s="2" t="s">
        <v>118</v>
      </c>
      <c r="D35" s="23">
        <v>45352</v>
      </c>
      <c r="E35" s="45" t="s">
        <v>66</v>
      </c>
      <c r="F35" s="2">
        <v>8134</v>
      </c>
      <c r="G35" s="2" t="s">
        <v>47</v>
      </c>
      <c r="H35" s="2">
        <v>140</v>
      </c>
      <c r="I35" s="2" t="s">
        <v>119</v>
      </c>
      <c r="J35" s="2" t="s">
        <v>68</v>
      </c>
      <c r="K35" s="3" t="s">
        <v>50</v>
      </c>
      <c r="L35" s="2" t="s">
        <v>51</v>
      </c>
      <c r="M35" s="2" t="s">
        <v>51</v>
      </c>
      <c r="N35" s="2" t="s">
        <v>51</v>
      </c>
      <c r="O35" s="51" t="s">
        <v>52</v>
      </c>
      <c r="P35" s="48">
        <v>0.82291666666666663</v>
      </c>
      <c r="Q35" s="49">
        <v>45352</v>
      </c>
      <c r="R35" s="56">
        <f>518.9017*H35/1000</f>
        <v>72.646237999999997</v>
      </c>
      <c r="S35" s="52">
        <f t="shared" si="0"/>
        <v>19.856000000000002</v>
      </c>
      <c r="T35" s="36">
        <f t="shared" si="1"/>
        <v>52.790237999999995</v>
      </c>
      <c r="U35" s="1">
        <f t="shared" si="2"/>
        <v>0.72667545427472791</v>
      </c>
      <c r="V35" s="20">
        <v>98</v>
      </c>
      <c r="W35" s="20">
        <v>59</v>
      </c>
      <c r="X35" s="20">
        <v>2</v>
      </c>
      <c r="Y35" s="20">
        <v>0</v>
      </c>
      <c r="Z35" s="20">
        <f t="shared" si="3"/>
        <v>159</v>
      </c>
      <c r="AA35" s="20">
        <v>10.276999999999999</v>
      </c>
      <c r="AB35" s="20">
        <v>9.4789999999999992</v>
      </c>
      <c r="AC35" s="20">
        <v>0.1</v>
      </c>
      <c r="AD35" s="20">
        <v>0</v>
      </c>
      <c r="AE35" s="20">
        <f t="shared" si="4"/>
        <v>19.856000000000002</v>
      </c>
      <c r="AF35" s="11">
        <v>5</v>
      </c>
      <c r="AG35" s="27">
        <v>3.9205161959999999</v>
      </c>
      <c r="AH35" s="11">
        <v>2</v>
      </c>
      <c r="AI35" s="27">
        <v>7.6392145280000001</v>
      </c>
      <c r="AJ35" s="11">
        <v>0</v>
      </c>
      <c r="AK35" s="27">
        <v>0</v>
      </c>
      <c r="AL35" s="11">
        <v>0</v>
      </c>
      <c r="AM35" s="27">
        <v>0</v>
      </c>
      <c r="AN35" s="11">
        <v>0</v>
      </c>
      <c r="AO35" s="27">
        <v>0</v>
      </c>
      <c r="AP35" s="27">
        <f t="shared" si="5"/>
        <v>11.559730724</v>
      </c>
      <c r="AQ35" s="37">
        <f t="shared" si="6"/>
        <v>41.230507275999997</v>
      </c>
      <c r="AR35" s="26" t="str">
        <f t="shared" si="7"/>
        <v>Inspecciones</v>
      </c>
      <c r="AS35" s="3"/>
    </row>
    <row r="36" spans="2:45" x14ac:dyDescent="0.25">
      <c r="B36" s="2">
        <v>33</v>
      </c>
      <c r="C36" s="2" t="s">
        <v>120</v>
      </c>
      <c r="D36" s="23">
        <v>45352</v>
      </c>
      <c r="E36" s="45" t="s">
        <v>93</v>
      </c>
      <c r="F36" s="2">
        <v>6838</v>
      </c>
      <c r="G36" s="2" t="s">
        <v>47</v>
      </c>
      <c r="H36" s="2">
        <v>60</v>
      </c>
      <c r="I36" s="2" t="s">
        <v>121</v>
      </c>
      <c r="J36" s="2" t="s">
        <v>49</v>
      </c>
      <c r="K36" s="3" t="s">
        <v>56</v>
      </c>
      <c r="L36" s="2" t="s">
        <v>51</v>
      </c>
      <c r="M36" s="2" t="s">
        <v>51</v>
      </c>
      <c r="N36" s="2" t="s">
        <v>51</v>
      </c>
      <c r="O36" s="51" t="s">
        <v>56</v>
      </c>
      <c r="P36" s="48">
        <v>0.67708333333333337</v>
      </c>
      <c r="Q36" s="49">
        <v>45352</v>
      </c>
      <c r="R36" s="56">
        <f>158.455*H36/1000</f>
        <v>9.5073000000000008</v>
      </c>
      <c r="S36" s="52">
        <f t="shared" ref="S36:S58" si="8">+AE36</f>
        <v>59.817</v>
      </c>
      <c r="T36" s="36">
        <f t="shared" ref="T36:T58" si="9">R36-S36</f>
        <v>-50.309699999999999</v>
      </c>
      <c r="U36" s="1">
        <f t="shared" ref="U36:U58" si="10">IFERROR(T36/R36,"")</f>
        <v>-5.2916916474708904</v>
      </c>
      <c r="V36" s="20">
        <v>0</v>
      </c>
      <c r="W36" s="20">
        <v>2</v>
      </c>
      <c r="X36" s="20">
        <v>1</v>
      </c>
      <c r="Y36" s="20">
        <v>2</v>
      </c>
      <c r="Z36" s="20">
        <f t="shared" ref="Z36:Z58" si="11">+SUM(V36:Y36)</f>
        <v>5</v>
      </c>
      <c r="AA36" s="20">
        <v>0</v>
      </c>
      <c r="AB36" s="20">
        <v>0.38900000000000001</v>
      </c>
      <c r="AC36" s="20">
        <v>0.2</v>
      </c>
      <c r="AD36" s="20">
        <v>59.228000000000002</v>
      </c>
      <c r="AE36" s="20">
        <f t="shared" ref="AE36:AE58" si="12">+SUM(AA36:AD36)</f>
        <v>59.817</v>
      </c>
      <c r="AF36" s="11">
        <v>0</v>
      </c>
      <c r="AG36" s="27">
        <v>0</v>
      </c>
      <c r="AH36" s="11">
        <v>1</v>
      </c>
      <c r="AI36" s="27">
        <v>0</v>
      </c>
      <c r="AJ36" s="11">
        <v>1</v>
      </c>
      <c r="AK36" s="27">
        <v>5.1795999999999998</v>
      </c>
      <c r="AL36" s="11">
        <v>1</v>
      </c>
      <c r="AM36" s="27">
        <v>19.28683333</v>
      </c>
      <c r="AN36" s="11">
        <v>0</v>
      </c>
      <c r="AO36" s="27">
        <v>0</v>
      </c>
      <c r="AP36" s="27">
        <f t="shared" ref="AP36:AP58" si="13">+AG36+AI36+AK36+AM36+AO36</f>
        <v>24.466433330000001</v>
      </c>
      <c r="AQ36" s="37">
        <f t="shared" ref="AQ36:AQ58" si="14">+IF(R36&lt;&gt;0,T36-AP36,"pend. Ene. Dist")</f>
        <v>-74.776133329999993</v>
      </c>
      <c r="AR36" s="26" t="str">
        <f t="shared" ref="AR36:AR58" si="15">+IF(R36&lt;&gt;0,IF(T36&lt;AP36,"Menores Compras","Inspecciones"),"Pendiente Ene. Dist")</f>
        <v>Menores Compras</v>
      </c>
      <c r="AS36" s="3"/>
    </row>
    <row r="37" spans="2:45" x14ac:dyDescent="0.25">
      <c r="B37" s="2">
        <v>34</v>
      </c>
      <c r="C37" s="2" t="s">
        <v>122</v>
      </c>
      <c r="D37" s="23">
        <v>45356</v>
      </c>
      <c r="E37" s="45" t="s">
        <v>54</v>
      </c>
      <c r="F37" s="2">
        <v>6841</v>
      </c>
      <c r="G37" s="2" t="s">
        <v>47</v>
      </c>
      <c r="H37" s="2">
        <v>60</v>
      </c>
      <c r="I37" s="11">
        <v>10156216255</v>
      </c>
      <c r="J37" s="2" t="s">
        <v>49</v>
      </c>
      <c r="K37" s="3" t="s">
        <v>50</v>
      </c>
      <c r="L37" s="2"/>
      <c r="M37" s="2" t="s">
        <v>51</v>
      </c>
      <c r="N37" s="2" t="s">
        <v>51</v>
      </c>
      <c r="O37" s="51"/>
      <c r="P37" s="46"/>
      <c r="Q37" s="50"/>
      <c r="R37" s="56"/>
      <c r="S37" s="52">
        <f t="shared" si="8"/>
        <v>22.704999999999998</v>
      </c>
      <c r="T37" s="36">
        <f t="shared" si="9"/>
        <v>-22.704999999999998</v>
      </c>
      <c r="U37" s="1" t="str">
        <f t="shared" si="10"/>
        <v/>
      </c>
      <c r="V37" s="20">
        <v>63</v>
      </c>
      <c r="W37" s="20">
        <v>59</v>
      </c>
      <c r="X37" s="20">
        <v>0</v>
      </c>
      <c r="Y37" s="20">
        <v>0</v>
      </c>
      <c r="Z37" s="20">
        <f t="shared" si="11"/>
        <v>122</v>
      </c>
      <c r="AA37" s="20">
        <v>9.9039999999999999</v>
      </c>
      <c r="AB37" s="20">
        <v>12.801</v>
      </c>
      <c r="AC37" s="20">
        <v>0</v>
      </c>
      <c r="AD37" s="20">
        <v>0</v>
      </c>
      <c r="AE37" s="20">
        <f t="shared" si="12"/>
        <v>22.704999999999998</v>
      </c>
      <c r="AF37" s="11">
        <v>2</v>
      </c>
      <c r="AG37" s="27">
        <v>0.87603166700000001</v>
      </c>
      <c r="AH37" s="11">
        <v>0</v>
      </c>
      <c r="AI37" s="27">
        <v>0</v>
      </c>
      <c r="AJ37" s="11">
        <v>2</v>
      </c>
      <c r="AK37" s="27">
        <v>9.932791667</v>
      </c>
      <c r="AL37" s="11">
        <v>7</v>
      </c>
      <c r="AM37" s="27">
        <v>13.36020476</v>
      </c>
      <c r="AN37" s="11">
        <v>0</v>
      </c>
      <c r="AO37" s="27">
        <v>0</v>
      </c>
      <c r="AP37" s="27">
        <f t="shared" si="13"/>
        <v>24.169028093999998</v>
      </c>
      <c r="AQ37" s="37" t="str">
        <f t="shared" si="14"/>
        <v>pend. Ene. Dist</v>
      </c>
      <c r="AR37" s="26" t="str">
        <f t="shared" si="15"/>
        <v>Pendiente Ene. Dist</v>
      </c>
      <c r="AS37" s="3"/>
    </row>
    <row r="38" spans="2:45" x14ac:dyDescent="0.25">
      <c r="B38" s="2">
        <v>35</v>
      </c>
      <c r="C38" s="2" t="s">
        <v>123</v>
      </c>
      <c r="D38" s="23">
        <v>45346</v>
      </c>
      <c r="E38" s="45" t="s">
        <v>54</v>
      </c>
      <c r="F38" s="2">
        <v>6814</v>
      </c>
      <c r="G38" s="2" t="s">
        <v>47</v>
      </c>
      <c r="H38" s="2">
        <v>100</v>
      </c>
      <c r="I38" s="2" t="s">
        <v>124</v>
      </c>
      <c r="J38" s="2" t="s">
        <v>49</v>
      </c>
      <c r="K38" s="3" t="s">
        <v>56</v>
      </c>
      <c r="L38" s="2" t="s">
        <v>51</v>
      </c>
      <c r="M38" s="2" t="s">
        <v>51</v>
      </c>
      <c r="N38" s="2" t="s">
        <v>51</v>
      </c>
      <c r="O38" s="51" t="s">
        <v>50</v>
      </c>
      <c r="P38" s="48">
        <v>0.48958333333333331</v>
      </c>
      <c r="Q38" s="49">
        <v>45323</v>
      </c>
      <c r="R38" s="56">
        <f>848.5846*H38/1000</f>
        <v>84.858460000000008</v>
      </c>
      <c r="S38" s="52">
        <f t="shared" si="8"/>
        <v>4.359</v>
      </c>
      <c r="T38" s="36">
        <f t="shared" si="9"/>
        <v>80.499460000000013</v>
      </c>
      <c r="U38" s="1">
        <f t="shared" si="10"/>
        <v>0.94863211045781415</v>
      </c>
      <c r="V38" s="20">
        <v>4</v>
      </c>
      <c r="W38" s="20">
        <v>5</v>
      </c>
      <c r="X38" s="20">
        <v>0</v>
      </c>
      <c r="Y38" s="20">
        <v>0</v>
      </c>
      <c r="Z38" s="20">
        <f t="shared" si="11"/>
        <v>9</v>
      </c>
      <c r="AA38" s="20">
        <v>0.97399999999999998</v>
      </c>
      <c r="AB38" s="20">
        <v>3.3849999999999998</v>
      </c>
      <c r="AC38" s="20">
        <v>0</v>
      </c>
      <c r="AD38" s="20">
        <v>0</v>
      </c>
      <c r="AE38" s="20">
        <f t="shared" si="12"/>
        <v>4.359</v>
      </c>
      <c r="AF38" s="11">
        <v>2</v>
      </c>
      <c r="AG38" s="27">
        <v>0.21558318700000001</v>
      </c>
      <c r="AH38" s="11">
        <v>1</v>
      </c>
      <c r="AI38" s="27">
        <v>0</v>
      </c>
      <c r="AJ38" s="11">
        <v>2</v>
      </c>
      <c r="AK38" s="27">
        <v>20.874083330000001</v>
      </c>
      <c r="AL38" s="11">
        <v>2</v>
      </c>
      <c r="AM38" s="27">
        <v>44.374216670000003</v>
      </c>
      <c r="AN38" s="11">
        <v>0</v>
      </c>
      <c r="AO38" s="27">
        <v>0</v>
      </c>
      <c r="AP38" s="27">
        <f t="shared" si="13"/>
        <v>65.463883187000008</v>
      </c>
      <c r="AQ38" s="37">
        <f t="shared" si="14"/>
        <v>15.035576813000006</v>
      </c>
      <c r="AR38" s="26" t="str">
        <f t="shared" si="15"/>
        <v>Inspecciones</v>
      </c>
      <c r="AS38" s="3"/>
    </row>
    <row r="39" spans="2:45" x14ac:dyDescent="0.25">
      <c r="B39" s="2">
        <v>36</v>
      </c>
      <c r="C39" s="2" t="s">
        <v>125</v>
      </c>
      <c r="D39" s="23">
        <v>45355</v>
      </c>
      <c r="E39" s="45" t="s">
        <v>66</v>
      </c>
      <c r="F39" s="2">
        <v>8136</v>
      </c>
      <c r="G39" s="2" t="s">
        <v>47</v>
      </c>
      <c r="H39" s="2">
        <v>300</v>
      </c>
      <c r="I39" s="2" t="s">
        <v>126</v>
      </c>
      <c r="J39" s="2" t="s">
        <v>68</v>
      </c>
      <c r="K39" s="3" t="s">
        <v>50</v>
      </c>
      <c r="L39" s="2"/>
      <c r="M39" s="2" t="s">
        <v>51</v>
      </c>
      <c r="N39" s="2" t="s">
        <v>51</v>
      </c>
      <c r="O39" s="51"/>
      <c r="P39" s="46"/>
      <c r="Q39" s="50"/>
      <c r="R39" s="56"/>
      <c r="S39" s="52">
        <f t="shared" si="8"/>
        <v>0.84699999999999986</v>
      </c>
      <c r="T39" s="36">
        <f t="shared" si="9"/>
        <v>-0.84699999999999986</v>
      </c>
      <c r="U39" s="1" t="str">
        <f t="shared" si="10"/>
        <v/>
      </c>
      <c r="V39" s="20">
        <v>2</v>
      </c>
      <c r="W39" s="20">
        <v>4</v>
      </c>
      <c r="X39" s="20">
        <v>2</v>
      </c>
      <c r="Y39" s="20">
        <v>0</v>
      </c>
      <c r="Z39" s="20">
        <f t="shared" si="11"/>
        <v>8</v>
      </c>
      <c r="AA39" s="20">
        <v>0.29099999999999998</v>
      </c>
      <c r="AB39" s="20">
        <v>0.47599999999999998</v>
      </c>
      <c r="AC39" s="20">
        <v>0.08</v>
      </c>
      <c r="AD39" s="20">
        <v>0</v>
      </c>
      <c r="AE39" s="20">
        <f t="shared" si="12"/>
        <v>0.84699999999999986</v>
      </c>
      <c r="AF39" s="11">
        <v>0</v>
      </c>
      <c r="AG39" s="27">
        <v>0</v>
      </c>
      <c r="AH39" s="11">
        <v>0</v>
      </c>
      <c r="AI39" s="27">
        <v>0</v>
      </c>
      <c r="AJ39" s="11">
        <v>1</v>
      </c>
      <c r="AK39" s="27">
        <v>28.5198</v>
      </c>
      <c r="AL39" s="11">
        <v>0</v>
      </c>
      <c r="AM39" s="27">
        <v>0</v>
      </c>
      <c r="AN39" s="11">
        <v>0</v>
      </c>
      <c r="AO39" s="27">
        <v>0</v>
      </c>
      <c r="AP39" s="27">
        <f t="shared" si="13"/>
        <v>28.5198</v>
      </c>
      <c r="AQ39" s="37" t="str">
        <f t="shared" si="14"/>
        <v>pend. Ene. Dist</v>
      </c>
      <c r="AR39" s="26" t="str">
        <f t="shared" si="15"/>
        <v>Pendiente Ene. Dist</v>
      </c>
      <c r="AS39" s="3"/>
    </row>
    <row r="40" spans="2:45" x14ac:dyDescent="0.25">
      <c r="B40" s="2">
        <v>37</v>
      </c>
      <c r="C40" s="2" t="s">
        <v>127</v>
      </c>
      <c r="D40" s="23">
        <v>45351</v>
      </c>
      <c r="E40" s="45" t="s">
        <v>54</v>
      </c>
      <c r="F40" s="2">
        <v>8122</v>
      </c>
      <c r="G40" s="2" t="s">
        <v>47</v>
      </c>
      <c r="H40" s="2">
        <v>100</v>
      </c>
      <c r="I40" s="2" t="s">
        <v>128</v>
      </c>
      <c r="J40" s="2" t="s">
        <v>68</v>
      </c>
      <c r="K40" s="3" t="s">
        <v>56</v>
      </c>
      <c r="L40" s="2" t="s">
        <v>51</v>
      </c>
      <c r="M40" s="2" t="s">
        <v>51</v>
      </c>
      <c r="N40" s="2" t="s">
        <v>51</v>
      </c>
      <c r="O40" s="51" t="s">
        <v>56</v>
      </c>
      <c r="P40" s="48">
        <v>0.40625</v>
      </c>
      <c r="Q40" s="49">
        <v>45352</v>
      </c>
      <c r="R40" s="56">
        <f>214.7026
*H40/1000</f>
        <v>21.47026</v>
      </c>
      <c r="S40" s="52">
        <f t="shared" si="8"/>
        <v>24.897000000000002</v>
      </c>
      <c r="T40" s="36">
        <f t="shared" si="9"/>
        <v>-3.4267400000000023</v>
      </c>
      <c r="U40" s="1">
        <f t="shared" si="10"/>
        <v>-0.15960402901501902</v>
      </c>
      <c r="V40" s="20">
        <v>27</v>
      </c>
      <c r="W40" s="20">
        <v>27</v>
      </c>
      <c r="X40" s="20">
        <v>2</v>
      </c>
      <c r="Y40" s="20">
        <v>1</v>
      </c>
      <c r="Z40" s="20">
        <f t="shared" si="11"/>
        <v>57</v>
      </c>
      <c r="AA40" s="20">
        <v>4.0640000000000001</v>
      </c>
      <c r="AB40" s="20">
        <v>6.9130000000000003</v>
      </c>
      <c r="AC40" s="20">
        <v>13.64</v>
      </c>
      <c r="AD40" s="20">
        <v>0.28000000000000003</v>
      </c>
      <c r="AE40" s="20">
        <f t="shared" si="12"/>
        <v>24.897000000000002</v>
      </c>
      <c r="AF40" s="11">
        <v>3</v>
      </c>
      <c r="AG40" s="27">
        <v>0.11528835799999999</v>
      </c>
      <c r="AH40" s="11">
        <v>1</v>
      </c>
      <c r="AI40" s="27">
        <v>6.5248733000000003E-2</v>
      </c>
      <c r="AJ40" s="11">
        <v>0</v>
      </c>
      <c r="AK40" s="27">
        <v>0</v>
      </c>
      <c r="AL40" s="11">
        <v>1</v>
      </c>
      <c r="AM40" s="27">
        <v>58.728999999999999</v>
      </c>
      <c r="AN40" s="11">
        <v>0</v>
      </c>
      <c r="AO40" s="27">
        <v>0</v>
      </c>
      <c r="AP40" s="27">
        <f t="shared" si="13"/>
        <v>58.909537090999997</v>
      </c>
      <c r="AQ40" s="37">
        <f t="shared" si="14"/>
        <v>-62.336277090999999</v>
      </c>
      <c r="AR40" s="26" t="str">
        <f t="shared" si="15"/>
        <v>Menores Compras</v>
      </c>
      <c r="AS40" s="3"/>
    </row>
    <row r="41" spans="2:45" x14ac:dyDescent="0.25">
      <c r="B41" s="2">
        <v>38</v>
      </c>
      <c r="C41" s="2" t="s">
        <v>129</v>
      </c>
      <c r="D41" s="23">
        <v>45353</v>
      </c>
      <c r="E41" s="45" t="s">
        <v>58</v>
      </c>
      <c r="F41" s="2">
        <v>6796</v>
      </c>
      <c r="G41" s="2" t="s">
        <v>47</v>
      </c>
      <c r="H41" s="2">
        <v>60</v>
      </c>
      <c r="I41" s="11">
        <v>10156216145</v>
      </c>
      <c r="J41" s="2" t="s">
        <v>49</v>
      </c>
      <c r="K41" s="3" t="s">
        <v>56</v>
      </c>
      <c r="L41" s="2" t="s">
        <v>51</v>
      </c>
      <c r="M41" s="2" t="s">
        <v>51</v>
      </c>
      <c r="N41" s="2" t="s">
        <v>51</v>
      </c>
      <c r="O41" s="51" t="s">
        <v>52</v>
      </c>
      <c r="P41" s="48">
        <v>0.90625</v>
      </c>
      <c r="Q41" s="49">
        <v>45352</v>
      </c>
      <c r="R41" s="56">
        <f>107.4458*H41/1000</f>
        <v>6.4467480000000004</v>
      </c>
      <c r="S41" s="52">
        <f t="shared" si="8"/>
        <v>33.33</v>
      </c>
      <c r="T41" s="36">
        <f t="shared" si="9"/>
        <v>-26.883251999999999</v>
      </c>
      <c r="U41" s="1">
        <f t="shared" si="10"/>
        <v>-4.1700485267921126</v>
      </c>
      <c r="V41" s="20">
        <v>217</v>
      </c>
      <c r="W41" s="20">
        <v>155</v>
      </c>
      <c r="X41" s="20">
        <v>2</v>
      </c>
      <c r="Y41" s="20">
        <v>0</v>
      </c>
      <c r="Z41" s="20">
        <f t="shared" si="11"/>
        <v>374</v>
      </c>
      <c r="AA41" s="20">
        <v>10.372999999999999</v>
      </c>
      <c r="AB41" s="20">
        <v>20.677</v>
      </c>
      <c r="AC41" s="20">
        <v>2.2799999999999998</v>
      </c>
      <c r="AD41" s="20">
        <v>0</v>
      </c>
      <c r="AE41" s="20">
        <f t="shared" si="12"/>
        <v>33.33</v>
      </c>
      <c r="AF41" s="11">
        <v>0</v>
      </c>
      <c r="AG41" s="27">
        <v>0</v>
      </c>
      <c r="AH41" s="11">
        <v>1</v>
      </c>
      <c r="AI41" s="27">
        <v>0</v>
      </c>
      <c r="AJ41" s="11">
        <v>0</v>
      </c>
      <c r="AK41" s="27">
        <v>0</v>
      </c>
      <c r="AL41" s="11">
        <v>2</v>
      </c>
      <c r="AM41" s="27">
        <v>42.822000000000003</v>
      </c>
      <c r="AN41" s="11">
        <v>0</v>
      </c>
      <c r="AO41" s="27">
        <v>0</v>
      </c>
      <c r="AP41" s="27">
        <f t="shared" si="13"/>
        <v>42.822000000000003</v>
      </c>
      <c r="AQ41" s="37">
        <f t="shared" si="14"/>
        <v>-69.705252000000002</v>
      </c>
      <c r="AR41" s="26" t="str">
        <f t="shared" si="15"/>
        <v>Menores Compras</v>
      </c>
      <c r="AS41" s="3"/>
    </row>
    <row r="42" spans="2:45" x14ac:dyDescent="0.25">
      <c r="B42" s="2">
        <v>39</v>
      </c>
      <c r="C42" s="2" t="s">
        <v>130</v>
      </c>
      <c r="D42" s="23">
        <v>45350</v>
      </c>
      <c r="E42" s="45" t="s">
        <v>66</v>
      </c>
      <c r="F42" s="2">
        <v>8098</v>
      </c>
      <c r="G42" s="2" t="s">
        <v>47</v>
      </c>
      <c r="H42" s="2">
        <v>200</v>
      </c>
      <c r="I42" s="2" t="s">
        <v>131</v>
      </c>
      <c r="J42" s="2" t="s">
        <v>68</v>
      </c>
      <c r="K42" s="3" t="s">
        <v>56</v>
      </c>
      <c r="L42" s="2" t="s">
        <v>51</v>
      </c>
      <c r="M42" s="2" t="s">
        <v>51</v>
      </c>
      <c r="N42" s="2" t="s">
        <v>51</v>
      </c>
      <c r="O42" s="51" t="s">
        <v>56</v>
      </c>
      <c r="P42" s="48">
        <v>0.53125</v>
      </c>
      <c r="Q42" s="49">
        <v>45352</v>
      </c>
      <c r="R42" s="56">
        <f>434.9486
*H39/1000</f>
        <v>130.48457999999999</v>
      </c>
      <c r="S42" s="52">
        <f t="shared" si="8"/>
        <v>12.18</v>
      </c>
      <c r="T42" s="36">
        <f t="shared" si="9"/>
        <v>118.30457999999999</v>
      </c>
      <c r="U42" s="1">
        <f t="shared" si="10"/>
        <v>0.9066556370109019</v>
      </c>
      <c r="V42" s="20">
        <v>1</v>
      </c>
      <c r="W42" s="20">
        <v>0</v>
      </c>
      <c r="X42" s="20">
        <v>0</v>
      </c>
      <c r="Y42" s="20">
        <v>1</v>
      </c>
      <c r="Z42" s="20">
        <f t="shared" si="11"/>
        <v>2</v>
      </c>
      <c r="AA42" s="20">
        <v>1.7000000000000001E-2</v>
      </c>
      <c r="AB42" s="20">
        <v>0</v>
      </c>
      <c r="AC42" s="20">
        <v>0</v>
      </c>
      <c r="AD42" s="20">
        <v>12.163</v>
      </c>
      <c r="AE42" s="20">
        <f t="shared" si="12"/>
        <v>12.18</v>
      </c>
      <c r="AF42" s="11">
        <v>0</v>
      </c>
      <c r="AG42" s="27">
        <v>0</v>
      </c>
      <c r="AH42" s="11">
        <v>0</v>
      </c>
      <c r="AI42" s="27">
        <v>0</v>
      </c>
      <c r="AJ42" s="11">
        <v>0</v>
      </c>
      <c r="AK42" s="27">
        <v>0</v>
      </c>
      <c r="AL42" s="11">
        <v>1</v>
      </c>
      <c r="AM42" s="27">
        <v>52.661000000000001</v>
      </c>
      <c r="AN42" s="11">
        <v>0</v>
      </c>
      <c r="AO42" s="27">
        <v>0</v>
      </c>
      <c r="AP42" s="27">
        <f t="shared" si="13"/>
        <v>52.661000000000001</v>
      </c>
      <c r="AQ42" s="37">
        <f t="shared" si="14"/>
        <v>65.643579999999986</v>
      </c>
      <c r="AR42" s="26" t="str">
        <f t="shared" si="15"/>
        <v>Inspecciones</v>
      </c>
      <c r="AS42" s="3"/>
    </row>
    <row r="43" spans="2:45" x14ac:dyDescent="0.25">
      <c r="B43" s="2">
        <v>40</v>
      </c>
      <c r="C43" s="2" t="s">
        <v>132</v>
      </c>
      <c r="D43" s="23">
        <v>45349</v>
      </c>
      <c r="E43" s="45" t="s">
        <v>66</v>
      </c>
      <c r="F43" s="2">
        <v>8091</v>
      </c>
      <c r="G43" s="2" t="s">
        <v>47</v>
      </c>
      <c r="H43" s="2">
        <v>100</v>
      </c>
      <c r="I43" s="2" t="s">
        <v>133</v>
      </c>
      <c r="J43" s="2" t="s">
        <v>68</v>
      </c>
      <c r="K43" s="3" t="s">
        <v>50</v>
      </c>
      <c r="L43" s="2" t="s">
        <v>51</v>
      </c>
      <c r="M43" s="2" t="s">
        <v>51</v>
      </c>
      <c r="N43" s="2" t="s">
        <v>51</v>
      </c>
      <c r="O43" s="51" t="s">
        <v>52</v>
      </c>
      <c r="P43" s="48">
        <v>0.83333333333333337</v>
      </c>
      <c r="Q43" s="49">
        <v>45352</v>
      </c>
      <c r="R43" s="56">
        <f>449.6506
*H43/1000</f>
        <v>44.965060000000001</v>
      </c>
      <c r="S43" s="52">
        <f t="shared" si="8"/>
        <v>40.78</v>
      </c>
      <c r="T43" s="36">
        <f t="shared" si="9"/>
        <v>4.18506</v>
      </c>
      <c r="U43" s="1">
        <f t="shared" si="10"/>
        <v>9.3073599812832447E-2</v>
      </c>
      <c r="V43" s="20">
        <v>124</v>
      </c>
      <c r="W43" s="20">
        <v>35</v>
      </c>
      <c r="X43" s="20">
        <v>3</v>
      </c>
      <c r="Y43" s="20">
        <v>0</v>
      </c>
      <c r="Z43" s="20">
        <f t="shared" si="11"/>
        <v>162</v>
      </c>
      <c r="AA43" s="20">
        <v>15.863</v>
      </c>
      <c r="AB43" s="20">
        <v>12.457000000000001</v>
      </c>
      <c r="AC43" s="20">
        <v>12.46</v>
      </c>
      <c r="AD43" s="20">
        <v>0</v>
      </c>
      <c r="AE43" s="20">
        <f t="shared" si="12"/>
        <v>40.78</v>
      </c>
      <c r="AF43" s="11">
        <v>11</v>
      </c>
      <c r="AG43" s="27">
        <v>0.115678028</v>
      </c>
      <c r="AH43" s="11">
        <v>0</v>
      </c>
      <c r="AI43" s="27">
        <v>0</v>
      </c>
      <c r="AJ43" s="11">
        <v>1</v>
      </c>
      <c r="AK43" s="27">
        <v>7.8202666670000003</v>
      </c>
      <c r="AL43" s="11">
        <v>4</v>
      </c>
      <c r="AM43" s="27">
        <v>10.280200000000001</v>
      </c>
      <c r="AN43" s="11">
        <v>1</v>
      </c>
      <c r="AO43" s="27">
        <v>10.099733329999999</v>
      </c>
      <c r="AP43" s="27">
        <f t="shared" si="13"/>
        <v>28.315878025</v>
      </c>
      <c r="AQ43" s="37">
        <f t="shared" si="14"/>
        <v>-24.130818025</v>
      </c>
      <c r="AR43" s="26" t="str">
        <f t="shared" si="15"/>
        <v>Menores Compras</v>
      </c>
      <c r="AS43" s="3"/>
    </row>
    <row r="44" spans="2:45" x14ac:dyDescent="0.25">
      <c r="B44" s="2">
        <v>41</v>
      </c>
      <c r="C44" s="2" t="s">
        <v>134</v>
      </c>
      <c r="D44" s="23">
        <v>45351</v>
      </c>
      <c r="E44" s="45" t="s">
        <v>54</v>
      </c>
      <c r="F44" s="2">
        <v>6801</v>
      </c>
      <c r="G44" s="2" t="s">
        <v>47</v>
      </c>
      <c r="H44" s="2">
        <v>140</v>
      </c>
      <c r="I44" s="2" t="s">
        <v>135</v>
      </c>
      <c r="J44" s="2" t="s">
        <v>49</v>
      </c>
      <c r="K44" s="3" t="s">
        <v>50</v>
      </c>
      <c r="L44" s="2" t="s">
        <v>51</v>
      </c>
      <c r="M44" s="2" t="s">
        <v>51</v>
      </c>
      <c r="N44" s="2" t="s">
        <v>51</v>
      </c>
      <c r="O44" s="51" t="s">
        <v>52</v>
      </c>
      <c r="P44" s="48">
        <v>0.83333333333333337</v>
      </c>
      <c r="Q44" s="49">
        <v>45352</v>
      </c>
      <c r="R44" s="56">
        <f>386.9752
*H44/1000</f>
        <v>54.176527999999998</v>
      </c>
      <c r="S44" s="52">
        <f t="shared" si="8"/>
        <v>37.667000000000002</v>
      </c>
      <c r="T44" s="36">
        <f t="shared" si="9"/>
        <v>16.509527999999996</v>
      </c>
      <c r="U44" s="1">
        <f t="shared" si="10"/>
        <v>0.30473580735923123</v>
      </c>
      <c r="V44" s="20">
        <v>84</v>
      </c>
      <c r="W44" s="20">
        <v>44</v>
      </c>
      <c r="X44" s="20">
        <v>2</v>
      </c>
      <c r="Y44" s="20">
        <v>1</v>
      </c>
      <c r="Z44" s="20">
        <f t="shared" si="11"/>
        <v>131</v>
      </c>
      <c r="AA44" s="20">
        <v>12.664</v>
      </c>
      <c r="AB44" s="20">
        <v>15.677</v>
      </c>
      <c r="AC44" s="20">
        <v>9.32</v>
      </c>
      <c r="AD44" s="20">
        <v>6.0000000000000001E-3</v>
      </c>
      <c r="AE44" s="20">
        <f t="shared" si="12"/>
        <v>37.667000000000002</v>
      </c>
      <c r="AF44" s="11">
        <v>2</v>
      </c>
      <c r="AG44" s="27">
        <v>7.2961850000000004</v>
      </c>
      <c r="AH44" s="11">
        <v>1</v>
      </c>
      <c r="AI44" s="27">
        <v>1.01641</v>
      </c>
      <c r="AJ44" s="11">
        <v>0</v>
      </c>
      <c r="AK44" s="27">
        <v>0</v>
      </c>
      <c r="AL44" s="11">
        <v>3</v>
      </c>
      <c r="AM44" s="27">
        <v>11.8634</v>
      </c>
      <c r="AN44" s="11">
        <v>0</v>
      </c>
      <c r="AO44" s="27">
        <v>0</v>
      </c>
      <c r="AP44" s="27">
        <f t="shared" si="13"/>
        <v>20.175995</v>
      </c>
      <c r="AQ44" s="37">
        <f t="shared" si="14"/>
        <v>-3.6664670000000044</v>
      </c>
      <c r="AR44" s="26" t="str">
        <f t="shared" si="15"/>
        <v>Menores Compras</v>
      </c>
      <c r="AS44" s="3"/>
    </row>
    <row r="45" spans="2:45" x14ac:dyDescent="0.25">
      <c r="B45" s="2">
        <v>42</v>
      </c>
      <c r="C45" s="2" t="s">
        <v>136</v>
      </c>
      <c r="D45" s="23">
        <v>45360</v>
      </c>
      <c r="E45" s="45" t="s">
        <v>54</v>
      </c>
      <c r="F45" s="2">
        <v>6846</v>
      </c>
      <c r="G45" s="2" t="s">
        <v>47</v>
      </c>
      <c r="H45" s="2">
        <v>100</v>
      </c>
      <c r="I45" s="2" t="s">
        <v>137</v>
      </c>
      <c r="J45" s="2" t="s">
        <v>49</v>
      </c>
      <c r="K45" s="3" t="s">
        <v>50</v>
      </c>
      <c r="L45" s="2"/>
      <c r="M45" s="2" t="s">
        <v>51</v>
      </c>
      <c r="N45" s="2" t="s">
        <v>51</v>
      </c>
      <c r="O45" s="51"/>
      <c r="P45" s="46"/>
      <c r="Q45" s="50"/>
      <c r="R45" s="56"/>
      <c r="S45" s="52">
        <f t="shared" si="8"/>
        <v>46.803000000000004</v>
      </c>
      <c r="T45" s="36">
        <f t="shared" si="9"/>
        <v>-46.803000000000004</v>
      </c>
      <c r="U45" s="1" t="str">
        <f t="shared" si="10"/>
        <v/>
      </c>
      <c r="V45" s="20">
        <v>270</v>
      </c>
      <c r="W45" s="20">
        <v>20</v>
      </c>
      <c r="X45" s="20">
        <v>1</v>
      </c>
      <c r="Y45" s="20">
        <v>1</v>
      </c>
      <c r="Z45" s="20">
        <f t="shared" si="11"/>
        <v>292</v>
      </c>
      <c r="AA45" s="20">
        <v>25.631</v>
      </c>
      <c r="AB45" s="20">
        <v>3.8210000000000002</v>
      </c>
      <c r="AC45" s="20">
        <v>4.68</v>
      </c>
      <c r="AD45" s="20">
        <v>12.670999999999999</v>
      </c>
      <c r="AE45" s="20">
        <f t="shared" si="12"/>
        <v>46.803000000000004</v>
      </c>
      <c r="AF45" s="11">
        <v>5</v>
      </c>
      <c r="AG45" s="27">
        <v>0.24568120600000001</v>
      </c>
      <c r="AH45" s="11">
        <v>0</v>
      </c>
      <c r="AI45" s="27">
        <v>0</v>
      </c>
      <c r="AJ45" s="11">
        <v>0</v>
      </c>
      <c r="AK45" s="27">
        <v>0</v>
      </c>
      <c r="AL45" s="11">
        <v>0</v>
      </c>
      <c r="AM45" s="27">
        <v>0</v>
      </c>
      <c r="AN45" s="11">
        <v>0</v>
      </c>
      <c r="AO45" s="27">
        <v>0</v>
      </c>
      <c r="AP45" s="27">
        <f t="shared" si="13"/>
        <v>0.24568120600000001</v>
      </c>
      <c r="AQ45" s="37" t="str">
        <f t="shared" si="14"/>
        <v>pend. Ene. Dist</v>
      </c>
      <c r="AR45" s="26" t="str">
        <f t="shared" si="15"/>
        <v>Pendiente Ene. Dist</v>
      </c>
      <c r="AS45" s="3"/>
    </row>
    <row r="46" spans="2:45" x14ac:dyDescent="0.25">
      <c r="B46" s="2">
        <v>43</v>
      </c>
      <c r="C46" s="2" t="s">
        <v>138</v>
      </c>
      <c r="D46" s="23">
        <v>45341</v>
      </c>
      <c r="E46" s="45" t="s">
        <v>54</v>
      </c>
      <c r="F46" s="2">
        <v>6833</v>
      </c>
      <c r="G46" s="2" t="s">
        <v>47</v>
      </c>
      <c r="H46" s="2">
        <v>100</v>
      </c>
      <c r="I46" s="2" t="s">
        <v>139</v>
      </c>
      <c r="J46" s="2" t="s">
        <v>49</v>
      </c>
      <c r="K46" s="3" t="s">
        <v>50</v>
      </c>
      <c r="L46" s="2" t="s">
        <v>51</v>
      </c>
      <c r="M46" s="2" t="s">
        <v>51</v>
      </c>
      <c r="N46" s="2" t="s">
        <v>51</v>
      </c>
      <c r="O46" s="51" t="s">
        <v>52</v>
      </c>
      <c r="P46" s="48">
        <v>0.82291666666666663</v>
      </c>
      <c r="Q46" s="49">
        <v>45323</v>
      </c>
      <c r="R46" s="56">
        <f>450.3911*H46/1000</f>
        <v>45.039110000000001</v>
      </c>
      <c r="S46" s="52">
        <f t="shared" si="8"/>
        <v>20.420999999999999</v>
      </c>
      <c r="T46" s="36">
        <f t="shared" si="9"/>
        <v>24.618110000000001</v>
      </c>
      <c r="U46" s="1">
        <f t="shared" si="10"/>
        <v>0.54659406014017597</v>
      </c>
      <c r="V46" s="20">
        <v>224</v>
      </c>
      <c r="W46" s="20">
        <v>13</v>
      </c>
      <c r="X46" s="20">
        <v>0</v>
      </c>
      <c r="Y46" s="20">
        <v>0</v>
      </c>
      <c r="Z46" s="20">
        <f t="shared" si="11"/>
        <v>237</v>
      </c>
      <c r="AA46" s="20">
        <v>19.332999999999998</v>
      </c>
      <c r="AB46" s="20">
        <v>1.0880000000000001</v>
      </c>
      <c r="AC46" s="20">
        <v>0</v>
      </c>
      <c r="AD46" s="20">
        <v>0</v>
      </c>
      <c r="AE46" s="20">
        <f t="shared" si="12"/>
        <v>20.420999999999999</v>
      </c>
      <c r="AF46" s="11">
        <v>2</v>
      </c>
      <c r="AG46" s="27">
        <v>1.760874686</v>
      </c>
      <c r="AH46" s="11">
        <v>0</v>
      </c>
      <c r="AI46" s="27">
        <v>0</v>
      </c>
      <c r="AJ46" s="11">
        <v>3</v>
      </c>
      <c r="AK46" s="27">
        <v>18.100381110000001</v>
      </c>
      <c r="AL46" s="11">
        <v>3</v>
      </c>
      <c r="AM46" s="27">
        <v>11.64116667</v>
      </c>
      <c r="AN46" s="11">
        <v>1</v>
      </c>
      <c r="AO46" s="27">
        <v>7.5023333330000002</v>
      </c>
      <c r="AP46" s="27">
        <f t="shared" si="13"/>
        <v>39.004755799000002</v>
      </c>
      <c r="AQ46" s="37">
        <f t="shared" si="14"/>
        <v>-14.386645799</v>
      </c>
      <c r="AR46" s="26" t="str">
        <f t="shared" si="15"/>
        <v>Menores Compras</v>
      </c>
      <c r="AS46" s="3"/>
    </row>
    <row r="47" spans="2:45" x14ac:dyDescent="0.25">
      <c r="B47" s="2">
        <v>44</v>
      </c>
      <c r="C47" s="2" t="s">
        <v>140</v>
      </c>
      <c r="D47" s="23">
        <v>45348</v>
      </c>
      <c r="E47" s="45" t="s">
        <v>66</v>
      </c>
      <c r="F47" s="2">
        <v>8097</v>
      </c>
      <c r="G47" s="2" t="s">
        <v>47</v>
      </c>
      <c r="H47" s="2">
        <v>300</v>
      </c>
      <c r="I47" s="2" t="s">
        <v>141</v>
      </c>
      <c r="J47" s="2" t="s">
        <v>68</v>
      </c>
      <c r="K47" s="3" t="s">
        <v>56</v>
      </c>
      <c r="L47" s="2" t="s">
        <v>51</v>
      </c>
      <c r="M47" s="2" t="s">
        <v>51</v>
      </c>
      <c r="N47" s="2" t="s">
        <v>51</v>
      </c>
      <c r="O47" s="51" t="s">
        <v>56</v>
      </c>
      <c r="P47" s="48">
        <v>0.70833333333333337</v>
      </c>
      <c r="Q47" s="49">
        <v>45352</v>
      </c>
      <c r="R47" s="56">
        <f>237.9055
*H44/1000</f>
        <v>33.30677</v>
      </c>
      <c r="S47" s="52">
        <f t="shared" si="8"/>
        <v>4.8659999999999997</v>
      </c>
      <c r="T47" s="36">
        <f t="shared" si="9"/>
        <v>28.440770000000001</v>
      </c>
      <c r="U47" s="1">
        <f t="shared" si="10"/>
        <v>0.8539035757595228</v>
      </c>
      <c r="V47" s="20">
        <v>4</v>
      </c>
      <c r="W47" s="20">
        <v>7</v>
      </c>
      <c r="X47" s="20">
        <v>3</v>
      </c>
      <c r="Y47" s="20">
        <v>0</v>
      </c>
      <c r="Z47" s="20">
        <f t="shared" si="11"/>
        <v>14</v>
      </c>
      <c r="AA47" s="20">
        <v>0.10299999999999999</v>
      </c>
      <c r="AB47" s="20">
        <v>4.6829999999999998</v>
      </c>
      <c r="AC47" s="20">
        <v>0.08</v>
      </c>
      <c r="AD47" s="20">
        <v>0</v>
      </c>
      <c r="AE47" s="20">
        <f t="shared" si="12"/>
        <v>4.8659999999999997</v>
      </c>
      <c r="AF47" s="11">
        <v>6</v>
      </c>
      <c r="AG47" s="27">
        <v>1.7413266510000001</v>
      </c>
      <c r="AH47" s="11">
        <v>3</v>
      </c>
      <c r="AI47" s="27">
        <v>2.4493720589999999</v>
      </c>
      <c r="AJ47" s="11">
        <v>1</v>
      </c>
      <c r="AK47" s="27">
        <v>4.0710499999999996</v>
      </c>
      <c r="AL47" s="11">
        <v>7</v>
      </c>
      <c r="AM47" s="27">
        <v>8.7124013890000001</v>
      </c>
      <c r="AN47" s="11">
        <v>0</v>
      </c>
      <c r="AO47" s="27">
        <v>0</v>
      </c>
      <c r="AP47" s="27">
        <f t="shared" si="13"/>
        <v>16.974150098999999</v>
      </c>
      <c r="AQ47" s="37">
        <f t="shared" si="14"/>
        <v>11.466619901000001</v>
      </c>
      <c r="AR47" s="26" t="str">
        <f t="shared" si="15"/>
        <v>Inspecciones</v>
      </c>
      <c r="AS47" s="3"/>
    </row>
    <row r="48" spans="2:45" x14ac:dyDescent="0.25">
      <c r="B48" s="2">
        <v>45</v>
      </c>
      <c r="C48" s="2" t="s">
        <v>142</v>
      </c>
      <c r="D48" s="23">
        <v>45355</v>
      </c>
      <c r="E48" s="45" t="s">
        <v>54</v>
      </c>
      <c r="F48" s="2">
        <v>6805</v>
      </c>
      <c r="G48" s="2" t="s">
        <v>47</v>
      </c>
      <c r="H48" s="2">
        <v>60</v>
      </c>
      <c r="I48" s="2" t="s">
        <v>143</v>
      </c>
      <c r="J48" s="2" t="s">
        <v>49</v>
      </c>
      <c r="K48" s="3" t="s">
        <v>50</v>
      </c>
      <c r="L48" s="2"/>
      <c r="M48" s="2" t="s">
        <v>51</v>
      </c>
      <c r="N48" s="2" t="s">
        <v>51</v>
      </c>
      <c r="O48" s="51"/>
      <c r="P48" s="46"/>
      <c r="Q48" s="50"/>
      <c r="R48" s="56"/>
      <c r="S48" s="52">
        <f t="shared" si="8"/>
        <v>35.176000000000002</v>
      </c>
      <c r="T48" s="36">
        <f t="shared" si="9"/>
        <v>-35.176000000000002</v>
      </c>
      <c r="U48" s="1" t="str">
        <f t="shared" si="10"/>
        <v/>
      </c>
      <c r="V48" s="20">
        <v>59</v>
      </c>
      <c r="W48" s="20">
        <v>42</v>
      </c>
      <c r="X48" s="20">
        <v>3</v>
      </c>
      <c r="Y48" s="20">
        <v>0</v>
      </c>
      <c r="Z48" s="20">
        <f t="shared" si="11"/>
        <v>104</v>
      </c>
      <c r="AA48" s="20">
        <v>12.096</v>
      </c>
      <c r="AB48" s="20">
        <v>10.78</v>
      </c>
      <c r="AC48" s="20">
        <v>12.3</v>
      </c>
      <c r="AD48" s="20">
        <v>0</v>
      </c>
      <c r="AE48" s="20">
        <f t="shared" si="12"/>
        <v>35.176000000000002</v>
      </c>
      <c r="AF48" s="11">
        <v>5</v>
      </c>
      <c r="AG48" s="27">
        <v>0.244871057</v>
      </c>
      <c r="AH48" s="11">
        <v>0</v>
      </c>
      <c r="AI48" s="27">
        <v>0</v>
      </c>
      <c r="AJ48" s="11">
        <v>1</v>
      </c>
      <c r="AK48" s="27">
        <v>1.9935</v>
      </c>
      <c r="AL48" s="11">
        <v>5</v>
      </c>
      <c r="AM48" s="27">
        <v>8.8184380949999994</v>
      </c>
      <c r="AN48" s="11">
        <v>0</v>
      </c>
      <c r="AO48" s="27">
        <v>0</v>
      </c>
      <c r="AP48" s="27">
        <f t="shared" si="13"/>
        <v>11.056809152</v>
      </c>
      <c r="AQ48" s="37" t="str">
        <f t="shared" si="14"/>
        <v>pend. Ene. Dist</v>
      </c>
      <c r="AR48" s="26" t="str">
        <f t="shared" si="15"/>
        <v>Pendiente Ene. Dist</v>
      </c>
      <c r="AS48" s="3"/>
    </row>
    <row r="49" spans="2:45" x14ac:dyDescent="0.25">
      <c r="B49" s="2">
        <v>46</v>
      </c>
      <c r="C49" s="2" t="s">
        <v>144</v>
      </c>
      <c r="D49" s="23">
        <v>45358</v>
      </c>
      <c r="E49" s="45" t="s">
        <v>54</v>
      </c>
      <c r="F49" s="2">
        <v>8107</v>
      </c>
      <c r="G49" s="2" t="s">
        <v>47</v>
      </c>
      <c r="H49" s="2">
        <v>100</v>
      </c>
      <c r="I49" s="2" t="s">
        <v>145</v>
      </c>
      <c r="J49" s="2" t="s">
        <v>68</v>
      </c>
      <c r="K49" s="3" t="s">
        <v>56</v>
      </c>
      <c r="L49" s="2"/>
      <c r="M49" s="2" t="s">
        <v>51</v>
      </c>
      <c r="N49" s="2" t="s">
        <v>51</v>
      </c>
      <c r="O49" s="51"/>
      <c r="P49" s="46"/>
      <c r="Q49" s="50"/>
      <c r="R49" s="56"/>
      <c r="S49" s="52">
        <f t="shared" si="8"/>
        <v>19.422999999999998</v>
      </c>
      <c r="T49" s="36">
        <f t="shared" si="9"/>
        <v>-19.422999999999998</v>
      </c>
      <c r="U49" s="1" t="str">
        <f t="shared" si="10"/>
        <v/>
      </c>
      <c r="V49" s="20">
        <v>23</v>
      </c>
      <c r="W49" s="20">
        <v>44</v>
      </c>
      <c r="X49" s="20">
        <v>3</v>
      </c>
      <c r="Y49" s="20">
        <v>0</v>
      </c>
      <c r="Z49" s="20">
        <f t="shared" si="11"/>
        <v>70</v>
      </c>
      <c r="AA49" s="20">
        <v>3.9620000000000002</v>
      </c>
      <c r="AB49" s="20">
        <v>10.581</v>
      </c>
      <c r="AC49" s="20">
        <v>4.88</v>
      </c>
      <c r="AD49" s="20">
        <v>0</v>
      </c>
      <c r="AE49" s="20">
        <f t="shared" si="12"/>
        <v>19.422999999999998</v>
      </c>
      <c r="AF49" s="11">
        <v>2</v>
      </c>
      <c r="AG49" s="27">
        <v>6.4757060659999999</v>
      </c>
      <c r="AH49" s="11">
        <v>1</v>
      </c>
      <c r="AI49" s="27">
        <v>5.6561950000000003</v>
      </c>
      <c r="AJ49" s="11">
        <v>0</v>
      </c>
      <c r="AK49" s="27">
        <v>0</v>
      </c>
      <c r="AL49" s="11">
        <v>0</v>
      </c>
      <c r="AM49" s="27">
        <v>0</v>
      </c>
      <c r="AN49" s="11">
        <v>0</v>
      </c>
      <c r="AO49" s="27">
        <v>0</v>
      </c>
      <c r="AP49" s="27">
        <f t="shared" si="13"/>
        <v>12.131901066000001</v>
      </c>
      <c r="AQ49" s="37" t="str">
        <f t="shared" si="14"/>
        <v>pend. Ene. Dist</v>
      </c>
      <c r="AR49" s="26" t="str">
        <f t="shared" si="15"/>
        <v>Pendiente Ene. Dist</v>
      </c>
      <c r="AS49" s="3"/>
    </row>
    <row r="50" spans="2:45" x14ac:dyDescent="0.25">
      <c r="B50" s="2">
        <v>47</v>
      </c>
      <c r="C50" s="2" t="s">
        <v>146</v>
      </c>
      <c r="D50" s="23">
        <v>45359</v>
      </c>
      <c r="E50" s="45" t="s">
        <v>66</v>
      </c>
      <c r="F50" s="2">
        <v>8144</v>
      </c>
      <c r="G50" s="2" t="s">
        <v>47</v>
      </c>
      <c r="H50" s="2">
        <v>140</v>
      </c>
      <c r="I50" s="2" t="s">
        <v>147</v>
      </c>
      <c r="J50" s="2" t="s">
        <v>68</v>
      </c>
      <c r="K50" s="3" t="s">
        <v>50</v>
      </c>
      <c r="L50" s="2"/>
      <c r="M50" s="2" t="s">
        <v>51</v>
      </c>
      <c r="N50" s="2" t="s">
        <v>51</v>
      </c>
      <c r="O50" s="51"/>
      <c r="P50" s="46"/>
      <c r="Q50" s="50"/>
      <c r="R50" s="56"/>
      <c r="S50" s="52">
        <f t="shared" si="8"/>
        <v>35.297999999999995</v>
      </c>
      <c r="T50" s="36">
        <f t="shared" si="9"/>
        <v>-35.297999999999995</v>
      </c>
      <c r="U50" s="1" t="str">
        <f t="shared" si="10"/>
        <v/>
      </c>
      <c r="V50" s="20">
        <v>191</v>
      </c>
      <c r="W50" s="20">
        <v>87</v>
      </c>
      <c r="X50" s="20">
        <v>1</v>
      </c>
      <c r="Y50" s="20">
        <v>0</v>
      </c>
      <c r="Z50" s="20">
        <f t="shared" si="11"/>
        <v>279</v>
      </c>
      <c r="AA50" s="20">
        <v>19.710999999999999</v>
      </c>
      <c r="AB50" s="20">
        <v>14.927</v>
      </c>
      <c r="AC50" s="20">
        <v>0.66</v>
      </c>
      <c r="AD50" s="20">
        <v>0</v>
      </c>
      <c r="AE50" s="20">
        <f t="shared" si="12"/>
        <v>35.297999999999995</v>
      </c>
      <c r="AF50" s="11">
        <v>5</v>
      </c>
      <c r="AG50" s="27">
        <v>0.47243138299999998</v>
      </c>
      <c r="AH50" s="11">
        <v>0</v>
      </c>
      <c r="AI50" s="27">
        <v>0</v>
      </c>
      <c r="AJ50" s="11">
        <v>1</v>
      </c>
      <c r="AK50" s="27">
        <v>1.8854</v>
      </c>
      <c r="AL50" s="11">
        <v>4</v>
      </c>
      <c r="AM50" s="27">
        <v>5.0027499999999998</v>
      </c>
      <c r="AN50" s="11">
        <v>0</v>
      </c>
      <c r="AO50" s="27">
        <v>0</v>
      </c>
      <c r="AP50" s="27">
        <f t="shared" si="13"/>
        <v>7.3605813829999995</v>
      </c>
      <c r="AQ50" s="37" t="str">
        <f t="shared" si="14"/>
        <v>pend. Ene. Dist</v>
      </c>
      <c r="AR50" s="26" t="str">
        <f t="shared" si="15"/>
        <v>Pendiente Ene. Dist</v>
      </c>
      <c r="AS50" s="3"/>
    </row>
    <row r="51" spans="2:45" x14ac:dyDescent="0.25">
      <c r="B51" s="2">
        <v>48</v>
      </c>
      <c r="C51" s="2" t="s">
        <v>148</v>
      </c>
      <c r="D51" s="23">
        <v>45357</v>
      </c>
      <c r="E51" s="45" t="s">
        <v>149</v>
      </c>
      <c r="F51" s="2">
        <v>8117</v>
      </c>
      <c r="G51" s="2" t="s">
        <v>47</v>
      </c>
      <c r="H51" s="2">
        <v>200</v>
      </c>
      <c r="I51" s="2" t="s">
        <v>150</v>
      </c>
      <c r="J51" s="2" t="s">
        <v>68</v>
      </c>
      <c r="K51" s="3" t="s">
        <v>56</v>
      </c>
      <c r="L51" s="2"/>
      <c r="M51" s="2" t="s">
        <v>51</v>
      </c>
      <c r="N51" s="2" t="s">
        <v>51</v>
      </c>
      <c r="O51" s="51"/>
      <c r="P51" s="46"/>
      <c r="Q51" s="50"/>
      <c r="R51" s="56"/>
      <c r="S51" s="52">
        <f t="shared" si="8"/>
        <v>21.577000000000002</v>
      </c>
      <c r="T51" s="36">
        <f t="shared" si="9"/>
        <v>-21.577000000000002</v>
      </c>
      <c r="U51" s="1" t="str">
        <f t="shared" si="10"/>
        <v/>
      </c>
      <c r="V51" s="20">
        <v>21</v>
      </c>
      <c r="W51" s="20">
        <v>37</v>
      </c>
      <c r="X51" s="20">
        <v>1</v>
      </c>
      <c r="Y51" s="20">
        <v>0</v>
      </c>
      <c r="Z51" s="20">
        <f t="shared" si="11"/>
        <v>59</v>
      </c>
      <c r="AA51" s="20">
        <v>2.87</v>
      </c>
      <c r="AB51" s="20">
        <v>11.707000000000001</v>
      </c>
      <c r="AC51" s="20">
        <v>7</v>
      </c>
      <c r="AD51" s="20">
        <v>0</v>
      </c>
      <c r="AE51" s="20">
        <f t="shared" si="12"/>
        <v>21.577000000000002</v>
      </c>
      <c r="AF51" s="11">
        <v>6</v>
      </c>
      <c r="AG51" s="27">
        <v>0.12905939999999999</v>
      </c>
      <c r="AH51" s="11">
        <v>0</v>
      </c>
      <c r="AI51" s="27">
        <v>0</v>
      </c>
      <c r="AJ51" s="11">
        <v>2</v>
      </c>
      <c r="AK51" s="27">
        <v>4.1811166670000004</v>
      </c>
      <c r="AL51" s="11">
        <v>1</v>
      </c>
      <c r="AM51" s="27">
        <v>7.7868000000000004</v>
      </c>
      <c r="AN51" s="11">
        <v>1</v>
      </c>
      <c r="AO51" s="27">
        <v>3.307816667</v>
      </c>
      <c r="AP51" s="27">
        <f t="shared" si="13"/>
        <v>15.404792734000001</v>
      </c>
      <c r="AQ51" s="37" t="str">
        <f t="shared" si="14"/>
        <v>pend. Ene. Dist</v>
      </c>
      <c r="AR51" s="26" t="str">
        <f t="shared" si="15"/>
        <v>Pendiente Ene. Dist</v>
      </c>
      <c r="AS51" s="3"/>
    </row>
    <row r="52" spans="2:45" x14ac:dyDescent="0.25">
      <c r="B52" s="2">
        <v>49</v>
      </c>
      <c r="C52" s="2" t="s">
        <v>151</v>
      </c>
      <c r="D52" s="23">
        <v>45359</v>
      </c>
      <c r="E52" s="45" t="s">
        <v>54</v>
      </c>
      <c r="F52" s="2">
        <v>8092</v>
      </c>
      <c r="G52" s="2" t="s">
        <v>47</v>
      </c>
      <c r="H52" s="2">
        <v>300</v>
      </c>
      <c r="I52" s="2" t="s">
        <v>152</v>
      </c>
      <c r="J52" s="2" t="s">
        <v>68</v>
      </c>
      <c r="K52" s="3" t="s">
        <v>56</v>
      </c>
      <c r="L52" s="2"/>
      <c r="M52" s="2" t="s">
        <v>51</v>
      </c>
      <c r="N52" s="2" t="s">
        <v>51</v>
      </c>
      <c r="O52" s="51"/>
      <c r="P52" s="46"/>
      <c r="Q52" s="50"/>
      <c r="R52" s="56"/>
      <c r="S52" s="52">
        <f t="shared" si="8"/>
        <v>40.713000000000001</v>
      </c>
      <c r="T52" s="36">
        <f t="shared" si="9"/>
        <v>-40.713000000000001</v>
      </c>
      <c r="U52" s="1" t="str">
        <f t="shared" si="10"/>
        <v/>
      </c>
      <c r="V52" s="20">
        <v>21</v>
      </c>
      <c r="W52" s="20">
        <v>33</v>
      </c>
      <c r="X52" s="20">
        <v>3</v>
      </c>
      <c r="Y52" s="20">
        <v>1</v>
      </c>
      <c r="Z52" s="20">
        <f t="shared" si="11"/>
        <v>58</v>
      </c>
      <c r="AA52" s="20">
        <v>3.54</v>
      </c>
      <c r="AB52" s="20">
        <v>12.708</v>
      </c>
      <c r="AC52" s="20">
        <v>14.817</v>
      </c>
      <c r="AD52" s="20">
        <v>9.6479999999999997</v>
      </c>
      <c r="AE52" s="20">
        <f t="shared" si="12"/>
        <v>40.713000000000001</v>
      </c>
      <c r="AF52" s="11">
        <v>3</v>
      </c>
      <c r="AG52" s="27">
        <v>8.8817832170000006</v>
      </c>
      <c r="AH52" s="11">
        <v>1</v>
      </c>
      <c r="AI52" s="27">
        <v>9.5387629369999996</v>
      </c>
      <c r="AJ52" s="11">
        <v>3</v>
      </c>
      <c r="AK52" s="27">
        <v>0.93414166700000001</v>
      </c>
      <c r="AL52" s="11">
        <v>1</v>
      </c>
      <c r="AM52" s="27">
        <v>2.2974000000000001</v>
      </c>
      <c r="AN52" s="11">
        <v>0</v>
      </c>
      <c r="AO52" s="27">
        <v>0</v>
      </c>
      <c r="AP52" s="27">
        <f t="shared" si="13"/>
        <v>21.652087820999999</v>
      </c>
      <c r="AQ52" s="37" t="str">
        <f t="shared" si="14"/>
        <v>pend. Ene. Dist</v>
      </c>
      <c r="AR52" s="26" t="str">
        <f t="shared" si="15"/>
        <v>Pendiente Ene. Dist</v>
      </c>
      <c r="AS52" s="3"/>
    </row>
    <row r="53" spans="2:45" x14ac:dyDescent="0.25">
      <c r="B53" s="2">
        <v>50</v>
      </c>
      <c r="C53" s="2" t="s">
        <v>153</v>
      </c>
      <c r="D53" s="23">
        <v>45357</v>
      </c>
      <c r="E53" s="45" t="s">
        <v>149</v>
      </c>
      <c r="F53" s="2">
        <v>8156</v>
      </c>
      <c r="G53" s="2" t="s">
        <v>47</v>
      </c>
      <c r="H53" s="2">
        <v>140</v>
      </c>
      <c r="I53" s="2" t="s">
        <v>154</v>
      </c>
      <c r="J53" s="2" t="s">
        <v>68</v>
      </c>
      <c r="K53" s="3" t="s">
        <v>56</v>
      </c>
      <c r="L53" s="2"/>
      <c r="M53" s="2" t="s">
        <v>51</v>
      </c>
      <c r="N53" s="2" t="s">
        <v>51</v>
      </c>
      <c r="O53" s="51"/>
      <c r="P53" s="46"/>
      <c r="Q53" s="50"/>
      <c r="R53" s="56"/>
      <c r="S53" s="52">
        <f t="shared" si="8"/>
        <v>32.347999999999999</v>
      </c>
      <c r="T53" s="36">
        <f t="shared" si="9"/>
        <v>-32.347999999999999</v>
      </c>
      <c r="U53" s="1" t="str">
        <f t="shared" si="10"/>
        <v/>
      </c>
      <c r="V53" s="20">
        <v>35</v>
      </c>
      <c r="W53" s="20">
        <v>53</v>
      </c>
      <c r="X53" s="20">
        <v>3</v>
      </c>
      <c r="Y53" s="20">
        <v>2</v>
      </c>
      <c r="Z53" s="20">
        <f t="shared" si="11"/>
        <v>93</v>
      </c>
      <c r="AA53" s="20">
        <v>5.3780000000000001</v>
      </c>
      <c r="AB53" s="20">
        <v>13.377000000000001</v>
      </c>
      <c r="AC53" s="20">
        <v>12.968</v>
      </c>
      <c r="AD53" s="20">
        <v>0.625</v>
      </c>
      <c r="AE53" s="20">
        <f t="shared" si="12"/>
        <v>32.347999999999999</v>
      </c>
      <c r="AF53" s="11">
        <v>1</v>
      </c>
      <c r="AG53" s="27">
        <v>0.13249630000000001</v>
      </c>
      <c r="AH53" s="11">
        <v>2</v>
      </c>
      <c r="AI53" s="27">
        <v>1.1231270330000001</v>
      </c>
      <c r="AJ53" s="11">
        <v>0</v>
      </c>
      <c r="AK53" s="27">
        <v>0</v>
      </c>
      <c r="AL53" s="11">
        <v>0</v>
      </c>
      <c r="AM53" s="27">
        <v>0</v>
      </c>
      <c r="AN53" s="11">
        <v>0</v>
      </c>
      <c r="AO53" s="27">
        <v>0</v>
      </c>
      <c r="AP53" s="27">
        <f t="shared" si="13"/>
        <v>1.255623333</v>
      </c>
      <c r="AQ53" s="37" t="str">
        <f t="shared" si="14"/>
        <v>pend. Ene. Dist</v>
      </c>
      <c r="AR53" s="26" t="str">
        <f t="shared" si="15"/>
        <v>Pendiente Ene. Dist</v>
      </c>
      <c r="AS53" s="3"/>
    </row>
    <row r="54" spans="2:45" x14ac:dyDescent="0.25">
      <c r="B54" s="2">
        <v>51</v>
      </c>
      <c r="C54" s="2" t="s">
        <v>155</v>
      </c>
      <c r="D54" s="23">
        <v>45356</v>
      </c>
      <c r="E54" s="45" t="s">
        <v>149</v>
      </c>
      <c r="F54" s="2">
        <v>8108</v>
      </c>
      <c r="G54" s="2" t="s">
        <v>47</v>
      </c>
      <c r="H54" s="2">
        <v>140</v>
      </c>
      <c r="I54" s="2" t="s">
        <v>156</v>
      </c>
      <c r="J54" s="2" t="s">
        <v>68</v>
      </c>
      <c r="K54" s="3" t="s">
        <v>50</v>
      </c>
      <c r="L54" s="2"/>
      <c r="M54" s="2" t="s">
        <v>51</v>
      </c>
      <c r="N54" s="2" t="s">
        <v>51</v>
      </c>
      <c r="O54" s="51"/>
      <c r="P54" s="46"/>
      <c r="Q54" s="50"/>
      <c r="R54" s="56"/>
      <c r="S54" s="52">
        <f t="shared" si="8"/>
        <v>21.93</v>
      </c>
      <c r="T54" s="36">
        <f t="shared" si="9"/>
        <v>-21.93</v>
      </c>
      <c r="U54" s="1" t="str">
        <f t="shared" si="10"/>
        <v/>
      </c>
      <c r="V54" s="20">
        <v>93</v>
      </c>
      <c r="W54" s="20">
        <v>46</v>
      </c>
      <c r="X54" s="20">
        <v>2</v>
      </c>
      <c r="Y54" s="20">
        <v>0</v>
      </c>
      <c r="Z54" s="20">
        <f t="shared" si="11"/>
        <v>141</v>
      </c>
      <c r="AA54" s="20">
        <v>9.2750000000000004</v>
      </c>
      <c r="AB54" s="20">
        <v>11.255000000000001</v>
      </c>
      <c r="AC54" s="20">
        <v>1.4</v>
      </c>
      <c r="AD54" s="20">
        <v>0</v>
      </c>
      <c r="AE54" s="20">
        <f t="shared" si="12"/>
        <v>21.93</v>
      </c>
      <c r="AF54" s="11">
        <v>2</v>
      </c>
      <c r="AG54" s="27">
        <v>0.40821196700000001</v>
      </c>
      <c r="AH54" s="11">
        <v>2</v>
      </c>
      <c r="AI54" s="27">
        <v>0.51091166700000001</v>
      </c>
      <c r="AJ54" s="11">
        <v>2</v>
      </c>
      <c r="AK54" s="27">
        <v>12.475958329999999</v>
      </c>
      <c r="AL54" s="11">
        <v>0</v>
      </c>
      <c r="AM54" s="27">
        <v>0</v>
      </c>
      <c r="AN54" s="11">
        <v>0</v>
      </c>
      <c r="AO54" s="27">
        <v>0</v>
      </c>
      <c r="AP54" s="27">
        <f t="shared" si="13"/>
        <v>13.395081963999999</v>
      </c>
      <c r="AQ54" s="37" t="str">
        <f t="shared" si="14"/>
        <v>pend. Ene. Dist</v>
      </c>
      <c r="AR54" s="26" t="str">
        <f t="shared" si="15"/>
        <v>Pendiente Ene. Dist</v>
      </c>
      <c r="AS54" s="3"/>
    </row>
    <row r="55" spans="2:45" x14ac:dyDescent="0.25">
      <c r="B55" s="2">
        <v>52</v>
      </c>
      <c r="C55" s="2" t="s">
        <v>157</v>
      </c>
      <c r="D55" s="23">
        <v>45356</v>
      </c>
      <c r="E55" s="45" t="s">
        <v>158</v>
      </c>
      <c r="F55" s="2">
        <v>8124</v>
      </c>
      <c r="G55" s="2" t="s">
        <v>47</v>
      </c>
      <c r="H55" s="2">
        <v>400</v>
      </c>
      <c r="I55" s="2" t="s">
        <v>159</v>
      </c>
      <c r="J55" s="2" t="s">
        <v>68</v>
      </c>
      <c r="K55" s="3" t="s">
        <v>50</v>
      </c>
      <c r="L55" s="2"/>
      <c r="M55" s="2" t="s">
        <v>51</v>
      </c>
      <c r="N55" s="2" t="s">
        <v>51</v>
      </c>
      <c r="O55" s="51"/>
      <c r="P55" s="46"/>
      <c r="Q55" s="50"/>
      <c r="R55" s="56"/>
      <c r="S55" s="52">
        <f t="shared" si="8"/>
        <v>64.619</v>
      </c>
      <c r="T55" s="36">
        <f t="shared" si="9"/>
        <v>-64.619</v>
      </c>
      <c r="U55" s="1" t="str">
        <f t="shared" si="10"/>
        <v/>
      </c>
      <c r="V55" s="20">
        <v>122</v>
      </c>
      <c r="W55" s="20">
        <v>83</v>
      </c>
      <c r="X55" s="20">
        <v>1</v>
      </c>
      <c r="Y55" s="20">
        <v>1</v>
      </c>
      <c r="Z55" s="20">
        <f t="shared" si="11"/>
        <v>207</v>
      </c>
      <c r="AA55" s="20">
        <v>7.8179999999999996</v>
      </c>
      <c r="AB55" s="20">
        <v>6.89</v>
      </c>
      <c r="AC55" s="20">
        <v>0.48</v>
      </c>
      <c r="AD55" s="20">
        <v>49.430999999999997</v>
      </c>
      <c r="AE55" s="20">
        <f t="shared" si="12"/>
        <v>64.619</v>
      </c>
      <c r="AF55" s="11">
        <v>3</v>
      </c>
      <c r="AG55" s="27">
        <v>5.6483610000000002E-3</v>
      </c>
      <c r="AH55" s="11">
        <v>1</v>
      </c>
      <c r="AI55" s="27">
        <v>12.975555</v>
      </c>
      <c r="AJ55" s="11">
        <v>1</v>
      </c>
      <c r="AK55" s="27">
        <v>24.01979167</v>
      </c>
      <c r="AL55" s="11">
        <v>0</v>
      </c>
      <c r="AM55" s="27">
        <v>0</v>
      </c>
      <c r="AN55" s="11">
        <v>0</v>
      </c>
      <c r="AO55" s="27">
        <v>0</v>
      </c>
      <c r="AP55" s="27">
        <f t="shared" si="13"/>
        <v>37.000995031000002</v>
      </c>
      <c r="AQ55" s="37" t="str">
        <f t="shared" si="14"/>
        <v>pend. Ene. Dist</v>
      </c>
      <c r="AR55" s="26" t="str">
        <f t="shared" si="15"/>
        <v>Pendiente Ene. Dist</v>
      </c>
      <c r="AS55" s="3"/>
    </row>
    <row r="56" spans="2:45" x14ac:dyDescent="0.25">
      <c r="B56" s="2">
        <v>53</v>
      </c>
      <c r="C56" s="2" t="s">
        <v>160</v>
      </c>
      <c r="D56" s="23">
        <v>45356</v>
      </c>
      <c r="E56" s="45" t="s">
        <v>158</v>
      </c>
      <c r="F56" s="2">
        <v>8128</v>
      </c>
      <c r="G56" s="2" t="s">
        <v>47</v>
      </c>
      <c r="H56" s="2">
        <v>200</v>
      </c>
      <c r="I56" s="2" t="s">
        <v>161</v>
      </c>
      <c r="J56" s="2" t="s">
        <v>68</v>
      </c>
      <c r="K56" s="3" t="s">
        <v>56</v>
      </c>
      <c r="L56" s="2"/>
      <c r="M56" s="2" t="s">
        <v>51</v>
      </c>
      <c r="N56" s="2" t="s">
        <v>51</v>
      </c>
      <c r="O56" s="51"/>
      <c r="P56" s="46"/>
      <c r="Q56" s="50"/>
      <c r="R56" s="56"/>
      <c r="S56" s="52">
        <f t="shared" si="8"/>
        <v>31.835000000000001</v>
      </c>
      <c r="T56" s="36">
        <f t="shared" si="9"/>
        <v>-31.835000000000001</v>
      </c>
      <c r="U56" s="1" t="str">
        <f t="shared" si="10"/>
        <v/>
      </c>
      <c r="V56" s="20">
        <v>60</v>
      </c>
      <c r="W56" s="20">
        <v>83</v>
      </c>
      <c r="X56" s="20">
        <v>1</v>
      </c>
      <c r="Y56" s="20">
        <v>0</v>
      </c>
      <c r="Z56" s="20">
        <f t="shared" si="11"/>
        <v>144</v>
      </c>
      <c r="AA56" s="20">
        <v>10.821999999999999</v>
      </c>
      <c r="AB56" s="20">
        <v>21.013000000000002</v>
      </c>
      <c r="AC56" s="20">
        <v>0</v>
      </c>
      <c r="AD56" s="20">
        <v>0</v>
      </c>
      <c r="AE56" s="20">
        <f t="shared" si="12"/>
        <v>31.835000000000001</v>
      </c>
      <c r="AF56" s="11">
        <v>13</v>
      </c>
      <c r="AG56" s="27">
        <v>0.33364171399999998</v>
      </c>
      <c r="AH56" s="11">
        <v>0</v>
      </c>
      <c r="AI56" s="27">
        <v>0</v>
      </c>
      <c r="AJ56" s="11">
        <v>4</v>
      </c>
      <c r="AK56" s="27">
        <v>6.7529428569999999</v>
      </c>
      <c r="AL56" s="11">
        <v>5</v>
      </c>
      <c r="AM56" s="27">
        <v>7.7269801009999997</v>
      </c>
      <c r="AN56" s="11">
        <v>8</v>
      </c>
      <c r="AO56" s="27">
        <v>8.084626471</v>
      </c>
      <c r="AP56" s="27">
        <f t="shared" si="13"/>
        <v>22.898191142999998</v>
      </c>
      <c r="AQ56" s="37" t="str">
        <f t="shared" si="14"/>
        <v>pend. Ene. Dist</v>
      </c>
      <c r="AR56" s="26" t="str">
        <f t="shared" si="15"/>
        <v>Pendiente Ene. Dist</v>
      </c>
      <c r="AS56" s="3"/>
    </row>
    <row r="57" spans="2:45" x14ac:dyDescent="0.25">
      <c r="B57" s="59">
        <v>54</v>
      </c>
      <c r="C57" s="59" t="s">
        <v>162</v>
      </c>
      <c r="D57" s="60">
        <v>45359</v>
      </c>
      <c r="E57" s="45" t="s">
        <v>66</v>
      </c>
      <c r="F57" s="2">
        <v>8138</v>
      </c>
      <c r="G57" s="2" t="s">
        <v>47</v>
      </c>
      <c r="H57" s="2">
        <v>200</v>
      </c>
      <c r="I57" s="2" t="s">
        <v>163</v>
      </c>
      <c r="J57" s="2" t="s">
        <v>68</v>
      </c>
      <c r="K57" s="3" t="s">
        <v>56</v>
      </c>
      <c r="L57" s="2"/>
      <c r="M57" s="2" t="s">
        <v>51</v>
      </c>
      <c r="N57" s="2" t="s">
        <v>51</v>
      </c>
      <c r="O57" s="51"/>
      <c r="P57" s="46"/>
      <c r="Q57" s="50"/>
      <c r="R57" s="56"/>
      <c r="S57" s="52">
        <f t="shared" si="8"/>
        <v>4.7350000000000003</v>
      </c>
      <c r="T57" s="36">
        <f t="shared" si="9"/>
        <v>-4.7350000000000003</v>
      </c>
      <c r="U57" s="1" t="str">
        <f t="shared" si="10"/>
        <v/>
      </c>
      <c r="V57" s="20">
        <v>7</v>
      </c>
      <c r="W57" s="20">
        <v>8</v>
      </c>
      <c r="X57" s="20">
        <v>1</v>
      </c>
      <c r="Y57" s="20">
        <v>0</v>
      </c>
      <c r="Z57" s="20">
        <f t="shared" si="11"/>
        <v>16</v>
      </c>
      <c r="AA57" s="20">
        <v>0.98</v>
      </c>
      <c r="AB57" s="20">
        <v>1.9950000000000001</v>
      </c>
      <c r="AC57" s="20">
        <v>1.76</v>
      </c>
      <c r="AD57" s="20">
        <v>0</v>
      </c>
      <c r="AE57" s="20">
        <f t="shared" si="12"/>
        <v>4.7350000000000003</v>
      </c>
      <c r="AF57" s="11">
        <v>3</v>
      </c>
      <c r="AG57" s="27">
        <v>11.50147117</v>
      </c>
      <c r="AH57" s="11">
        <v>1</v>
      </c>
      <c r="AI57" s="27">
        <v>3.304943996</v>
      </c>
      <c r="AJ57" s="11">
        <v>0</v>
      </c>
      <c r="AK57" s="27">
        <v>0</v>
      </c>
      <c r="AL57" s="11">
        <v>5</v>
      </c>
      <c r="AM57" s="27">
        <v>15.09697778</v>
      </c>
      <c r="AN57" s="11">
        <v>0</v>
      </c>
      <c r="AO57" s="27">
        <v>0</v>
      </c>
      <c r="AP57" s="27">
        <f t="shared" si="13"/>
        <v>29.903392946</v>
      </c>
      <c r="AQ57" s="37" t="str">
        <f t="shared" si="14"/>
        <v>pend. Ene. Dist</v>
      </c>
      <c r="AR57" s="26" t="str">
        <f t="shared" si="15"/>
        <v>Pendiente Ene. Dist</v>
      </c>
      <c r="AS57" s="3"/>
    </row>
    <row r="58" spans="2:45" x14ac:dyDescent="0.25">
      <c r="B58" s="50">
        <v>55</v>
      </c>
      <c r="C58" s="50" t="s">
        <v>164</v>
      </c>
      <c r="D58" s="61">
        <v>45358</v>
      </c>
      <c r="E58" s="62" t="s">
        <v>66</v>
      </c>
      <c r="F58" s="2">
        <v>8147</v>
      </c>
      <c r="G58" s="2" t="s">
        <v>47</v>
      </c>
      <c r="H58" s="2">
        <v>140</v>
      </c>
      <c r="I58" s="2" t="s">
        <v>165</v>
      </c>
      <c r="J58" s="59" t="s">
        <v>68</v>
      </c>
      <c r="K58" s="77" t="s">
        <v>50</v>
      </c>
      <c r="L58" s="59"/>
      <c r="M58" s="59" t="s">
        <v>51</v>
      </c>
      <c r="N58" s="59" t="s">
        <v>51</v>
      </c>
      <c r="O58" s="78"/>
      <c r="P58" s="79"/>
      <c r="Q58" s="80"/>
      <c r="R58" s="81"/>
      <c r="S58" s="82">
        <f t="shared" si="8"/>
        <v>54.731000000000002</v>
      </c>
      <c r="T58" s="83">
        <f t="shared" si="9"/>
        <v>-54.731000000000002</v>
      </c>
      <c r="U58" s="84" t="str">
        <f t="shared" si="10"/>
        <v/>
      </c>
      <c r="V58" s="85">
        <v>201</v>
      </c>
      <c r="W58" s="85">
        <v>25</v>
      </c>
      <c r="X58" s="85">
        <v>1</v>
      </c>
      <c r="Y58" s="85">
        <v>0</v>
      </c>
      <c r="Z58" s="85">
        <f t="shared" si="11"/>
        <v>227</v>
      </c>
      <c r="AA58" s="85">
        <v>22.596</v>
      </c>
      <c r="AB58" s="85">
        <v>3.6949999999999998</v>
      </c>
      <c r="AC58" s="85">
        <v>28.44</v>
      </c>
      <c r="AD58" s="85">
        <v>0</v>
      </c>
      <c r="AE58" s="85">
        <f t="shared" si="12"/>
        <v>54.731000000000002</v>
      </c>
      <c r="AF58" s="86">
        <v>9</v>
      </c>
      <c r="AG58" s="87">
        <v>0.12574074299999999</v>
      </c>
      <c r="AH58" s="86">
        <v>0</v>
      </c>
      <c r="AI58" s="87">
        <v>0</v>
      </c>
      <c r="AJ58" s="86">
        <v>4</v>
      </c>
      <c r="AK58" s="87">
        <v>6.4100523809999999</v>
      </c>
      <c r="AL58" s="86">
        <v>3</v>
      </c>
      <c r="AM58" s="87">
        <v>9.9616000000000007</v>
      </c>
      <c r="AN58" s="86">
        <v>1</v>
      </c>
      <c r="AO58" s="87">
        <v>7.6581999999999999</v>
      </c>
      <c r="AP58" s="87">
        <f t="shared" si="13"/>
        <v>24.155593123999999</v>
      </c>
      <c r="AQ58" s="88" t="str">
        <f t="shared" si="14"/>
        <v>pend. Ene. Dist</v>
      </c>
      <c r="AR58" s="89" t="str">
        <f t="shared" si="15"/>
        <v>Pendiente Ene. Dist</v>
      </c>
      <c r="AS58" s="77"/>
    </row>
    <row r="59" spans="2:45" x14ac:dyDescent="0.25">
      <c r="B59" s="63">
        <v>56</v>
      </c>
      <c r="C59" s="64" t="s">
        <v>166</v>
      </c>
      <c r="D59" s="65">
        <v>45358</v>
      </c>
      <c r="E59" s="69" t="s">
        <v>80</v>
      </c>
      <c r="F59" s="64">
        <v>8084</v>
      </c>
      <c r="G59" s="64" t="s">
        <v>47</v>
      </c>
      <c r="H59" s="64">
        <v>200</v>
      </c>
      <c r="I59" s="74" t="s">
        <v>167</v>
      </c>
      <c r="J59" s="71" t="s">
        <v>168</v>
      </c>
      <c r="K59" s="46"/>
      <c r="L59" s="90"/>
      <c r="M59" s="90" t="s">
        <v>51</v>
      </c>
      <c r="N59" s="90" t="s">
        <v>51</v>
      </c>
      <c r="O59" s="46"/>
      <c r="P59" s="46"/>
      <c r="Q59" s="50"/>
      <c r="R59" s="72"/>
      <c r="S59" s="72"/>
      <c r="T59" s="72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73"/>
      <c r="AG59" s="50"/>
      <c r="AH59" s="73"/>
      <c r="AI59" s="50"/>
      <c r="AJ59" s="73"/>
      <c r="AK59" s="50"/>
      <c r="AL59" s="73"/>
      <c r="AM59" s="50"/>
      <c r="AN59" s="73"/>
      <c r="AO59" s="50"/>
      <c r="AP59" s="50"/>
      <c r="AQ59" s="50"/>
      <c r="AR59" s="46"/>
      <c r="AS59" s="46"/>
    </row>
    <row r="60" spans="2:45" x14ac:dyDescent="0.25">
      <c r="B60" s="66">
        <v>57</v>
      </c>
      <c r="C60" s="67" t="s">
        <v>169</v>
      </c>
      <c r="D60" s="68">
        <v>45362</v>
      </c>
      <c r="E60" s="70" t="s">
        <v>54</v>
      </c>
      <c r="F60" s="67">
        <v>6795</v>
      </c>
      <c r="G60" s="67" t="s">
        <v>47</v>
      </c>
      <c r="H60" s="67">
        <v>100</v>
      </c>
      <c r="I60" s="75" t="s">
        <v>170</v>
      </c>
      <c r="J60" s="71" t="s">
        <v>49</v>
      </c>
      <c r="K60" s="46"/>
      <c r="L60" s="90"/>
      <c r="M60" s="90" t="s">
        <v>51</v>
      </c>
      <c r="N60" s="90" t="s">
        <v>51</v>
      </c>
      <c r="O60" s="46"/>
      <c r="P60" s="46"/>
      <c r="Q60" s="50"/>
      <c r="R60" s="72"/>
      <c r="S60" s="72"/>
      <c r="T60" s="72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73"/>
      <c r="AG60" s="50"/>
      <c r="AH60" s="73"/>
      <c r="AI60" s="50"/>
      <c r="AJ60" s="73"/>
      <c r="AK60" s="50"/>
      <c r="AL60" s="73"/>
      <c r="AM60" s="50"/>
      <c r="AN60" s="73"/>
      <c r="AO60" s="50"/>
      <c r="AP60" s="50"/>
      <c r="AQ60" s="50"/>
      <c r="AR60" s="46"/>
      <c r="AS60" s="46"/>
    </row>
    <row r="61" spans="2:45" x14ac:dyDescent="0.25">
      <c r="B61" s="66">
        <v>58</v>
      </c>
      <c r="C61" s="67" t="s">
        <v>171</v>
      </c>
      <c r="D61" s="68">
        <v>45362</v>
      </c>
      <c r="E61" s="70" t="s">
        <v>66</v>
      </c>
      <c r="F61" s="67">
        <v>8109</v>
      </c>
      <c r="G61" s="67" t="s">
        <v>47</v>
      </c>
      <c r="H61" s="67">
        <v>140</v>
      </c>
      <c r="I61" s="75" t="s">
        <v>172</v>
      </c>
      <c r="J61" s="71" t="s">
        <v>68</v>
      </c>
      <c r="K61" s="46"/>
      <c r="L61" s="90"/>
      <c r="M61" s="90" t="s">
        <v>51</v>
      </c>
      <c r="N61" s="90" t="s">
        <v>51</v>
      </c>
      <c r="O61" s="46"/>
      <c r="P61" s="46"/>
      <c r="Q61" s="50"/>
      <c r="R61" s="72"/>
      <c r="S61" s="72"/>
      <c r="T61" s="72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73"/>
      <c r="AG61" s="50"/>
      <c r="AH61" s="73"/>
      <c r="AI61" s="50"/>
      <c r="AJ61" s="73"/>
      <c r="AK61" s="50"/>
      <c r="AL61" s="73"/>
      <c r="AM61" s="50"/>
      <c r="AN61" s="73"/>
      <c r="AO61" s="50"/>
      <c r="AP61" s="50"/>
      <c r="AQ61" s="50"/>
      <c r="AR61" s="46"/>
      <c r="AS61" s="46"/>
    </row>
    <row r="62" spans="2:45" x14ac:dyDescent="0.25">
      <c r="B62" s="66">
        <v>59</v>
      </c>
      <c r="C62" s="67" t="s">
        <v>173</v>
      </c>
      <c r="D62" s="68">
        <v>45362</v>
      </c>
      <c r="E62" s="70" t="s">
        <v>66</v>
      </c>
      <c r="F62" s="67">
        <v>8113</v>
      </c>
      <c r="G62" s="67" t="s">
        <v>47</v>
      </c>
      <c r="H62" s="67">
        <v>100</v>
      </c>
      <c r="I62" s="75" t="s">
        <v>174</v>
      </c>
      <c r="J62" s="71" t="s">
        <v>68</v>
      </c>
      <c r="K62" s="46"/>
      <c r="L62" s="90"/>
      <c r="M62" s="90" t="s">
        <v>51</v>
      </c>
      <c r="N62" s="90" t="s">
        <v>51</v>
      </c>
      <c r="O62" s="46"/>
      <c r="P62" s="46"/>
      <c r="Q62" s="50"/>
      <c r="R62" s="72"/>
      <c r="S62" s="72"/>
      <c r="T62" s="72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73"/>
      <c r="AG62" s="50"/>
      <c r="AH62" s="73"/>
      <c r="AI62" s="50"/>
      <c r="AJ62" s="73"/>
      <c r="AK62" s="50"/>
      <c r="AL62" s="73"/>
      <c r="AM62" s="50"/>
      <c r="AN62" s="73"/>
      <c r="AO62" s="50"/>
      <c r="AP62" s="50"/>
      <c r="AQ62" s="50"/>
      <c r="AR62" s="46"/>
      <c r="AS62" s="46"/>
    </row>
    <row r="63" spans="2:45" x14ac:dyDescent="0.25">
      <c r="B63" s="66">
        <v>60</v>
      </c>
      <c r="C63" s="67" t="s">
        <v>175</v>
      </c>
      <c r="D63" s="68">
        <v>45362</v>
      </c>
      <c r="E63" s="70" t="s">
        <v>54</v>
      </c>
      <c r="F63" s="67">
        <v>6797</v>
      </c>
      <c r="G63" s="67" t="s">
        <v>47</v>
      </c>
      <c r="H63" s="67">
        <v>100</v>
      </c>
      <c r="I63" s="76">
        <v>10156216151</v>
      </c>
      <c r="J63" s="71" t="s">
        <v>49</v>
      </c>
      <c r="K63" s="46"/>
      <c r="L63" s="90"/>
      <c r="M63" s="90" t="s">
        <v>51</v>
      </c>
      <c r="N63" s="90" t="s">
        <v>51</v>
      </c>
      <c r="O63" s="46"/>
      <c r="P63" s="46"/>
      <c r="Q63" s="50"/>
      <c r="R63" s="72"/>
      <c r="S63" s="72"/>
      <c r="T63" s="72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73"/>
      <c r="AG63" s="50"/>
      <c r="AH63" s="73"/>
      <c r="AI63" s="50"/>
      <c r="AJ63" s="73"/>
      <c r="AK63" s="50"/>
      <c r="AL63" s="73"/>
      <c r="AM63" s="50"/>
      <c r="AN63" s="73"/>
      <c r="AO63" s="50"/>
      <c r="AP63" s="50"/>
      <c r="AQ63" s="50"/>
      <c r="AR63" s="46"/>
      <c r="AS63" s="46"/>
    </row>
    <row r="64" spans="2:45" x14ac:dyDescent="0.25">
      <c r="B64" s="66">
        <v>61</v>
      </c>
      <c r="C64" s="67" t="s">
        <v>176</v>
      </c>
      <c r="D64" s="68">
        <v>45362</v>
      </c>
      <c r="E64" s="70" t="s">
        <v>66</v>
      </c>
      <c r="F64" s="67">
        <v>8094</v>
      </c>
      <c r="G64" s="67" t="s">
        <v>47</v>
      </c>
      <c r="H64" s="67">
        <v>400</v>
      </c>
      <c r="I64" s="75" t="s">
        <v>177</v>
      </c>
      <c r="J64" s="71" t="s">
        <v>68</v>
      </c>
      <c r="K64" s="46"/>
      <c r="L64" s="90"/>
      <c r="M64" s="90" t="s">
        <v>51</v>
      </c>
      <c r="N64" s="90" t="s">
        <v>51</v>
      </c>
      <c r="O64" s="46"/>
      <c r="P64" s="46"/>
      <c r="Q64" s="50"/>
      <c r="R64" s="72"/>
      <c r="S64" s="72"/>
      <c r="T64" s="72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73"/>
      <c r="AG64" s="50"/>
      <c r="AH64" s="73"/>
      <c r="AI64" s="50"/>
      <c r="AJ64" s="73"/>
      <c r="AK64" s="50"/>
      <c r="AL64" s="73"/>
      <c r="AM64" s="50"/>
      <c r="AN64" s="73"/>
      <c r="AO64" s="50"/>
      <c r="AP64" s="50"/>
      <c r="AQ64" s="50"/>
      <c r="AR64" s="46"/>
      <c r="AS64" s="46"/>
    </row>
    <row r="65" spans="2:45" x14ac:dyDescent="0.25">
      <c r="B65" s="66">
        <v>62</v>
      </c>
      <c r="C65" s="67" t="s">
        <v>178</v>
      </c>
      <c r="D65" s="68">
        <v>45363</v>
      </c>
      <c r="E65" s="70" t="s">
        <v>46</v>
      </c>
      <c r="F65" s="67">
        <v>6817</v>
      </c>
      <c r="G65" s="67" t="s">
        <v>47</v>
      </c>
      <c r="H65" s="67">
        <v>100</v>
      </c>
      <c r="I65" s="76">
        <v>10156216150</v>
      </c>
      <c r="J65" s="71" t="s">
        <v>49</v>
      </c>
      <c r="K65" s="46"/>
      <c r="L65" s="90"/>
      <c r="M65" s="90" t="s">
        <v>51</v>
      </c>
      <c r="N65" s="90" t="s">
        <v>51</v>
      </c>
      <c r="O65" s="46"/>
      <c r="P65" s="46"/>
      <c r="Q65" s="50"/>
      <c r="R65" s="72"/>
      <c r="S65" s="72"/>
      <c r="T65" s="72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73"/>
      <c r="AG65" s="50"/>
      <c r="AH65" s="73"/>
      <c r="AI65" s="50"/>
      <c r="AJ65" s="73"/>
      <c r="AK65" s="50"/>
      <c r="AL65" s="73"/>
      <c r="AM65" s="50"/>
      <c r="AN65" s="73"/>
      <c r="AO65" s="50"/>
      <c r="AP65" s="50"/>
      <c r="AQ65" s="50"/>
      <c r="AR65" s="46"/>
      <c r="AS65" s="46"/>
    </row>
    <row r="66" spans="2:45" x14ac:dyDescent="0.25">
      <c r="B66" s="66">
        <v>63</v>
      </c>
      <c r="C66" s="67" t="s">
        <v>179</v>
      </c>
      <c r="D66" s="68">
        <v>45363</v>
      </c>
      <c r="E66" s="70" t="s">
        <v>66</v>
      </c>
      <c r="F66" s="67">
        <v>8126</v>
      </c>
      <c r="G66" s="67" t="s">
        <v>47</v>
      </c>
      <c r="H66" s="67">
        <v>400</v>
      </c>
      <c r="I66" s="75" t="s">
        <v>180</v>
      </c>
      <c r="J66" s="71" t="s">
        <v>68</v>
      </c>
      <c r="K66" s="46"/>
      <c r="L66" s="90"/>
      <c r="M66" s="90" t="s">
        <v>51</v>
      </c>
      <c r="N66" s="90" t="s">
        <v>51</v>
      </c>
      <c r="O66" s="46"/>
      <c r="P66" s="46"/>
      <c r="Q66" s="50"/>
      <c r="R66" s="72"/>
      <c r="S66" s="72"/>
      <c r="T66" s="72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73"/>
      <c r="AG66" s="50"/>
      <c r="AH66" s="73"/>
      <c r="AI66" s="50"/>
      <c r="AJ66" s="73"/>
      <c r="AK66" s="50"/>
      <c r="AL66" s="73"/>
      <c r="AM66" s="50"/>
      <c r="AN66" s="73"/>
      <c r="AO66" s="50"/>
      <c r="AP66" s="50"/>
      <c r="AQ66" s="50"/>
      <c r="AR66" s="46"/>
      <c r="AS66" s="46"/>
    </row>
    <row r="67" spans="2:45" x14ac:dyDescent="0.25">
      <c r="B67" s="66">
        <v>64</v>
      </c>
      <c r="C67" s="67" t="s">
        <v>181</v>
      </c>
      <c r="D67" s="68">
        <v>45363</v>
      </c>
      <c r="E67" s="70" t="s">
        <v>73</v>
      </c>
      <c r="F67" s="67">
        <v>6809</v>
      </c>
      <c r="G67" s="67" t="s">
        <v>47</v>
      </c>
      <c r="H67" s="67">
        <v>300</v>
      </c>
      <c r="I67" s="76">
        <v>10156216152</v>
      </c>
      <c r="J67" s="71" t="s">
        <v>49</v>
      </c>
      <c r="K67" s="46"/>
      <c r="L67" s="90"/>
      <c r="M67" s="90" t="s">
        <v>51</v>
      </c>
      <c r="N67" s="90" t="s">
        <v>51</v>
      </c>
      <c r="O67" s="46"/>
      <c r="P67" s="46"/>
      <c r="Q67" s="50"/>
      <c r="R67" s="72"/>
      <c r="S67" s="72"/>
      <c r="T67" s="72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73"/>
      <c r="AG67" s="50"/>
      <c r="AH67" s="73"/>
      <c r="AI67" s="50"/>
      <c r="AJ67" s="73"/>
      <c r="AK67" s="50"/>
      <c r="AL67" s="73"/>
      <c r="AM67" s="50"/>
      <c r="AN67" s="73"/>
      <c r="AO67" s="50"/>
      <c r="AP67" s="50"/>
      <c r="AQ67" s="50"/>
      <c r="AR67" s="46"/>
      <c r="AS67" s="46"/>
    </row>
    <row r="68" spans="2:45" x14ac:dyDescent="0.25">
      <c r="B68" s="66">
        <v>65</v>
      </c>
      <c r="C68" s="67" t="s">
        <v>182</v>
      </c>
      <c r="D68" s="68">
        <v>45363</v>
      </c>
      <c r="E68" s="70" t="s">
        <v>66</v>
      </c>
      <c r="F68" s="67">
        <v>8103</v>
      </c>
      <c r="G68" s="67" t="s">
        <v>47</v>
      </c>
      <c r="H68" s="67">
        <v>400</v>
      </c>
      <c r="I68" s="75" t="s">
        <v>183</v>
      </c>
      <c r="J68" s="71" t="s">
        <v>68</v>
      </c>
      <c r="K68" s="46"/>
      <c r="L68" s="90"/>
      <c r="M68" s="90" t="s">
        <v>51</v>
      </c>
      <c r="N68" s="90" t="s">
        <v>51</v>
      </c>
      <c r="O68" s="46"/>
      <c r="P68" s="46"/>
      <c r="Q68" s="50"/>
      <c r="R68" s="72"/>
      <c r="S68" s="72"/>
      <c r="T68" s="72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73"/>
      <c r="AG68" s="50"/>
      <c r="AH68" s="73"/>
      <c r="AI68" s="50"/>
      <c r="AJ68" s="73"/>
      <c r="AK68" s="50"/>
      <c r="AL68" s="73"/>
      <c r="AM68" s="50"/>
      <c r="AN68" s="73"/>
      <c r="AO68" s="50"/>
      <c r="AP68" s="50"/>
      <c r="AQ68" s="50"/>
      <c r="AR68" s="46"/>
      <c r="AS68" s="46"/>
    </row>
    <row r="69" spans="2:45" x14ac:dyDescent="0.25">
      <c r="B69" s="66">
        <v>66</v>
      </c>
      <c r="C69" s="67" t="s">
        <v>184</v>
      </c>
      <c r="D69" s="68">
        <v>45364</v>
      </c>
      <c r="E69" s="70" t="s">
        <v>54</v>
      </c>
      <c r="F69" s="67">
        <v>6810</v>
      </c>
      <c r="G69" s="67" t="s">
        <v>47</v>
      </c>
      <c r="H69" s="67">
        <v>60</v>
      </c>
      <c r="I69" s="76">
        <v>10156216149</v>
      </c>
      <c r="J69" s="71" t="s">
        <v>49</v>
      </c>
      <c r="K69" s="46"/>
      <c r="L69" s="90"/>
      <c r="M69" s="90"/>
      <c r="N69" s="90"/>
      <c r="O69" s="46"/>
      <c r="P69" s="46"/>
      <c r="Q69" s="50"/>
      <c r="R69" s="72"/>
      <c r="S69" s="72"/>
      <c r="T69" s="72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73"/>
      <c r="AG69" s="50"/>
      <c r="AH69" s="73"/>
      <c r="AI69" s="50"/>
      <c r="AJ69" s="73"/>
      <c r="AK69" s="50"/>
      <c r="AL69" s="73"/>
      <c r="AM69" s="50"/>
      <c r="AN69" s="73"/>
      <c r="AO69" s="50"/>
      <c r="AP69" s="50"/>
      <c r="AQ69" s="50"/>
      <c r="AR69" s="46"/>
      <c r="AS69" s="46"/>
    </row>
    <row r="70" spans="2:45" x14ac:dyDescent="0.25">
      <c r="B70" s="66">
        <v>67</v>
      </c>
      <c r="C70" s="67" t="s">
        <v>185</v>
      </c>
      <c r="D70" s="68">
        <v>45364</v>
      </c>
      <c r="E70" s="70" t="s">
        <v>66</v>
      </c>
      <c r="F70" s="67">
        <v>8159</v>
      </c>
      <c r="G70" s="67" t="s">
        <v>47</v>
      </c>
      <c r="H70" s="67">
        <v>100</v>
      </c>
      <c r="I70" s="75" t="s">
        <v>186</v>
      </c>
      <c r="J70" s="71" t="s">
        <v>68</v>
      </c>
      <c r="K70" s="46"/>
      <c r="L70" s="90"/>
      <c r="M70" s="90"/>
      <c r="N70" s="90"/>
      <c r="O70" s="46"/>
      <c r="P70" s="46"/>
      <c r="Q70" s="50"/>
      <c r="R70" s="72"/>
      <c r="S70" s="72"/>
      <c r="T70" s="72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73"/>
      <c r="AG70" s="50"/>
      <c r="AH70" s="73"/>
      <c r="AI70" s="50"/>
      <c r="AJ70" s="73"/>
      <c r="AK70" s="50"/>
      <c r="AL70" s="73"/>
      <c r="AM70" s="50"/>
      <c r="AN70" s="73"/>
      <c r="AO70" s="50"/>
      <c r="AP70" s="50"/>
      <c r="AQ70" s="50"/>
      <c r="AR70" s="46"/>
      <c r="AS70" s="46"/>
    </row>
    <row r="71" spans="2:45" x14ac:dyDescent="0.25">
      <c r="B71" s="66">
        <v>68</v>
      </c>
      <c r="C71" s="67" t="s">
        <v>187</v>
      </c>
      <c r="D71" s="68">
        <v>45364</v>
      </c>
      <c r="E71" s="70" t="s">
        <v>54</v>
      </c>
      <c r="F71" s="67">
        <v>6832</v>
      </c>
      <c r="G71" s="67" t="s">
        <v>47</v>
      </c>
      <c r="H71" s="67">
        <v>60</v>
      </c>
      <c r="I71" s="76">
        <v>10156216251</v>
      </c>
      <c r="J71" s="71" t="s">
        <v>49</v>
      </c>
      <c r="K71" s="46"/>
      <c r="L71" s="90"/>
      <c r="M71" s="90"/>
      <c r="N71" s="90"/>
      <c r="O71" s="46"/>
      <c r="P71" s="46"/>
      <c r="Q71" s="50"/>
      <c r="R71" s="72"/>
      <c r="S71" s="72"/>
      <c r="T71" s="72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73"/>
      <c r="AG71" s="50"/>
      <c r="AH71" s="73"/>
      <c r="AI71" s="50"/>
      <c r="AJ71" s="73"/>
      <c r="AK71" s="50"/>
      <c r="AL71" s="73"/>
      <c r="AM71" s="50"/>
      <c r="AN71" s="73"/>
      <c r="AO71" s="50"/>
      <c r="AP71" s="50"/>
      <c r="AQ71" s="50"/>
      <c r="AR71" s="46"/>
      <c r="AS71" s="46"/>
    </row>
    <row r="72" spans="2:45" x14ac:dyDescent="0.25">
      <c r="B72" s="66">
        <v>69</v>
      </c>
      <c r="C72" s="67" t="s">
        <v>188</v>
      </c>
      <c r="D72" s="68">
        <v>45364</v>
      </c>
      <c r="E72" s="70" t="s">
        <v>66</v>
      </c>
      <c r="F72" s="67">
        <v>8143</v>
      </c>
      <c r="G72" s="67" t="s">
        <v>47</v>
      </c>
      <c r="H72" s="67">
        <v>140</v>
      </c>
      <c r="I72" s="75" t="s">
        <v>186</v>
      </c>
      <c r="J72" s="71" t="s">
        <v>68</v>
      </c>
      <c r="K72" s="46"/>
      <c r="L72" s="90"/>
      <c r="M72" s="90"/>
      <c r="N72" s="90"/>
      <c r="O72" s="46"/>
      <c r="P72" s="46"/>
      <c r="Q72" s="50"/>
      <c r="R72" s="72"/>
      <c r="S72" s="72"/>
      <c r="T72" s="72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73"/>
      <c r="AG72" s="50"/>
      <c r="AH72" s="73"/>
      <c r="AI72" s="50"/>
      <c r="AJ72" s="73"/>
      <c r="AK72" s="50"/>
      <c r="AL72" s="73"/>
      <c r="AM72" s="50"/>
      <c r="AN72" s="73"/>
      <c r="AO72" s="50"/>
      <c r="AP72" s="50"/>
      <c r="AQ72" s="50"/>
      <c r="AR72" s="46"/>
      <c r="AS72" s="46"/>
    </row>
    <row r="73" spans="2:45" x14ac:dyDescent="0.25">
      <c r="D73" s="58"/>
      <c r="L73" s="14"/>
      <c r="M73" s="14"/>
      <c r="N73" s="14"/>
    </row>
    <row r="74" spans="2:45" x14ac:dyDescent="0.25">
      <c r="D74" s="58"/>
      <c r="L74" s="14"/>
      <c r="M74" s="14"/>
      <c r="N74" s="14"/>
    </row>
    <row r="75" spans="2:45" x14ac:dyDescent="0.25">
      <c r="D75" s="58"/>
      <c r="L75" s="14"/>
      <c r="M75" s="14"/>
      <c r="N75" s="14"/>
    </row>
    <row r="76" spans="2:45" x14ac:dyDescent="0.25">
      <c r="D76" s="58"/>
      <c r="L76" s="14"/>
      <c r="M76" s="14"/>
      <c r="N76" s="14"/>
    </row>
    <row r="77" spans="2:45" x14ac:dyDescent="0.25">
      <c r="D77" s="58"/>
      <c r="L77" s="14"/>
      <c r="M77" s="14"/>
      <c r="N77" s="14"/>
    </row>
    <row r="78" spans="2:45" x14ac:dyDescent="0.25">
      <c r="D78" s="58"/>
    </row>
    <row r="79" spans="2:45" x14ac:dyDescent="0.25">
      <c r="D79" s="58"/>
    </row>
    <row r="80" spans="2:45" x14ac:dyDescent="0.25">
      <c r="D80" s="58"/>
    </row>
    <row r="81" spans="4:4" x14ac:dyDescent="0.25">
      <c r="D81" s="58"/>
    </row>
    <row r="82" spans="4:4" x14ac:dyDescent="0.25">
      <c r="D82" s="58"/>
    </row>
    <row r="83" spans="4:4" x14ac:dyDescent="0.25">
      <c r="D83" s="58"/>
    </row>
    <row r="84" spans="4:4" x14ac:dyDescent="0.25">
      <c r="D84" s="58"/>
    </row>
    <row r="85" spans="4:4" x14ac:dyDescent="0.25">
      <c r="D85" s="58"/>
    </row>
    <row r="86" spans="4:4" x14ac:dyDescent="0.25">
      <c r="D86" s="58"/>
    </row>
    <row r="87" spans="4:4" x14ac:dyDescent="0.25">
      <c r="D87" s="58"/>
    </row>
    <row r="88" spans="4:4" x14ac:dyDescent="0.25">
      <c r="D88" s="58"/>
    </row>
    <row r="89" spans="4:4" x14ac:dyDescent="0.25">
      <c r="D89" s="58"/>
    </row>
    <row r="90" spans="4:4" x14ac:dyDescent="0.25">
      <c r="D90" s="58"/>
    </row>
    <row r="91" spans="4:4" x14ac:dyDescent="0.25">
      <c r="D91" s="58"/>
    </row>
    <row r="92" spans="4:4" x14ac:dyDescent="0.25">
      <c r="D92" s="58"/>
    </row>
    <row r="93" spans="4:4" x14ac:dyDescent="0.25">
      <c r="D93" s="58"/>
    </row>
    <row r="94" spans="4:4" x14ac:dyDescent="0.25">
      <c r="D94" s="58"/>
    </row>
  </sheetData>
  <mergeCells count="8">
    <mergeCell ref="AR2:AS2"/>
    <mergeCell ref="AF2:AQ2"/>
    <mergeCell ref="B2:B3"/>
    <mergeCell ref="Q2:U2"/>
    <mergeCell ref="V2:Z2"/>
    <mergeCell ref="AA2:AE2"/>
    <mergeCell ref="C2:K2"/>
    <mergeCell ref="L2:P2"/>
  </mergeCells>
  <conditionalFormatting sqref="B2">
    <cfRule type="duplicateValues" dxfId="9" priority="4"/>
    <cfRule type="duplicateValues" dxfId="8" priority="5"/>
  </conditionalFormatting>
  <conditionalFormatting sqref="C75:C81 C95:C1048576 C1:C58 C73">
    <cfRule type="duplicateValues" dxfId="7" priority="3"/>
  </conditionalFormatting>
  <pageMargins left="0.7" right="0.7" top="0.75" bottom="0.75" header="0.3" footer="0.3"/>
  <headerFooter>
    <oddHeader>&amp;C&amp;"Arial"&amp;8&amp;K000000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58F7-5630-4BB7-8CDE-B710E41BEECC}">
  <dimension ref="B2:F14"/>
  <sheetViews>
    <sheetView showGridLines="0" workbookViewId="0">
      <selection activeCell="F10" sqref="F10"/>
    </sheetView>
  </sheetViews>
  <sheetFormatPr baseColWidth="10" defaultColWidth="11.42578125" defaultRowHeight="15" x14ac:dyDescent="0.25"/>
  <cols>
    <col min="1" max="1" width="5.5703125" style="15" customWidth="1"/>
    <col min="2" max="2" width="5.140625" style="14" bestFit="1" customWidth="1"/>
    <col min="3" max="3" width="75.85546875" style="15" customWidth="1"/>
    <col min="4" max="4" width="11.7109375" style="14" customWidth="1"/>
    <col min="5" max="5" width="12.42578125" style="14" customWidth="1"/>
    <col min="6" max="16384" width="11.42578125" style="15"/>
  </cols>
  <sheetData>
    <row r="2" spans="2:6" ht="30.75" customHeight="1" x14ac:dyDescent="0.25">
      <c r="B2" s="18" t="s">
        <v>3</v>
      </c>
      <c r="C2" s="18" t="s">
        <v>189</v>
      </c>
      <c r="D2" s="19" t="s">
        <v>190</v>
      </c>
      <c r="E2" s="19" t="s">
        <v>10</v>
      </c>
      <c r="F2" s="19" t="s">
        <v>191</v>
      </c>
    </row>
    <row r="3" spans="2:6" x14ac:dyDescent="0.25">
      <c r="B3" s="16">
        <v>1</v>
      </c>
      <c r="C3" s="17" t="s">
        <v>192</v>
      </c>
      <c r="D3" s="16" t="s">
        <v>51</v>
      </c>
      <c r="E3" s="16" t="s">
        <v>51</v>
      </c>
      <c r="F3" s="16" t="s">
        <v>193</v>
      </c>
    </row>
    <row r="4" spans="2:6" x14ac:dyDescent="0.25">
      <c r="B4" s="16">
        <v>2</v>
      </c>
      <c r="C4" s="17" t="s">
        <v>194</v>
      </c>
      <c r="D4" s="16" t="s">
        <v>51</v>
      </c>
      <c r="E4" s="16" t="s">
        <v>51</v>
      </c>
      <c r="F4" s="16" t="s">
        <v>193</v>
      </c>
    </row>
    <row r="5" spans="2:6" x14ac:dyDescent="0.25">
      <c r="B5" s="16">
        <v>3</v>
      </c>
      <c r="C5" s="17" t="s">
        <v>195</v>
      </c>
      <c r="D5" s="16" t="s">
        <v>51</v>
      </c>
      <c r="E5" s="16" t="s">
        <v>51</v>
      </c>
      <c r="F5" s="16" t="s">
        <v>193</v>
      </c>
    </row>
    <row r="6" spans="2:6" x14ac:dyDescent="0.25">
      <c r="B6" s="16">
        <v>4</v>
      </c>
      <c r="C6" s="17" t="s">
        <v>196</v>
      </c>
      <c r="D6" s="16" t="s">
        <v>51</v>
      </c>
      <c r="E6" s="16" t="s">
        <v>197</v>
      </c>
      <c r="F6" s="16" t="s">
        <v>193</v>
      </c>
    </row>
    <row r="7" spans="2:6" x14ac:dyDescent="0.25">
      <c r="B7" s="16">
        <v>5</v>
      </c>
      <c r="C7" s="17" t="s">
        <v>198</v>
      </c>
      <c r="D7" s="16" t="s">
        <v>60</v>
      </c>
      <c r="E7" s="16" t="s">
        <v>51</v>
      </c>
      <c r="F7" s="16" t="s">
        <v>199</v>
      </c>
    </row>
    <row r="8" spans="2:6" x14ac:dyDescent="0.25">
      <c r="B8" s="16">
        <v>6</v>
      </c>
      <c r="C8" s="17" t="s">
        <v>200</v>
      </c>
      <c r="D8" s="16" t="s">
        <v>60</v>
      </c>
      <c r="E8" s="16" t="s">
        <v>51</v>
      </c>
      <c r="F8" s="16" t="s">
        <v>199</v>
      </c>
    </row>
    <row r="9" spans="2:6" x14ac:dyDescent="0.25">
      <c r="B9" s="16">
        <v>7</v>
      </c>
      <c r="C9" s="17" t="s">
        <v>201</v>
      </c>
      <c r="D9" s="16" t="s">
        <v>60</v>
      </c>
      <c r="E9" s="16" t="s">
        <v>51</v>
      </c>
      <c r="F9" s="16" t="s">
        <v>199</v>
      </c>
    </row>
    <row r="10" spans="2:6" x14ac:dyDescent="0.25">
      <c r="B10" s="16">
        <v>8</v>
      </c>
      <c r="C10" s="22" t="s">
        <v>202</v>
      </c>
      <c r="D10" s="16" t="s">
        <v>51</v>
      </c>
      <c r="E10" s="16" t="s">
        <v>51</v>
      </c>
      <c r="F10" s="16" t="s">
        <v>199</v>
      </c>
    </row>
    <row r="11" spans="2:6" x14ac:dyDescent="0.25">
      <c r="B11" s="16">
        <v>9</v>
      </c>
      <c r="C11" s="17" t="s">
        <v>203</v>
      </c>
      <c r="D11" s="16" t="s">
        <v>60</v>
      </c>
      <c r="E11" s="16" t="s">
        <v>51</v>
      </c>
      <c r="F11" s="16" t="s">
        <v>199</v>
      </c>
    </row>
    <row r="12" spans="2:6" x14ac:dyDescent="0.25">
      <c r="B12" s="16">
        <v>10</v>
      </c>
      <c r="C12" s="17" t="s">
        <v>204</v>
      </c>
      <c r="D12" s="16" t="s">
        <v>51</v>
      </c>
      <c r="E12" s="16" t="s">
        <v>197</v>
      </c>
      <c r="F12" s="16" t="s">
        <v>199</v>
      </c>
    </row>
    <row r="13" spans="2:6" x14ac:dyDescent="0.25">
      <c r="B13" s="16">
        <v>11</v>
      </c>
      <c r="C13" s="17" t="s">
        <v>205</v>
      </c>
      <c r="D13" s="16" t="s">
        <v>51</v>
      </c>
      <c r="E13" s="16" t="s">
        <v>197</v>
      </c>
      <c r="F13" s="16" t="s">
        <v>199</v>
      </c>
    </row>
    <row r="14" spans="2:6" x14ac:dyDescent="0.25">
      <c r="B14" s="16">
        <v>12</v>
      </c>
      <c r="C14" s="17" t="s">
        <v>206</v>
      </c>
      <c r="D14" s="16" t="s">
        <v>51</v>
      </c>
      <c r="E14" s="16" t="s">
        <v>197</v>
      </c>
      <c r="F14" s="16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160B-C818-4F49-93FE-D73AB2FB388D}">
  <dimension ref="A1:AS120"/>
  <sheetViews>
    <sheetView workbookViewId="0">
      <pane xSplit="4" ySplit="3" topLeftCell="F109" activePane="bottomRight" state="frozen"/>
      <selection pane="topRight"/>
      <selection pane="bottomLeft"/>
      <selection pane="bottomRight" activeCell="G111" sqref="G111"/>
    </sheetView>
  </sheetViews>
  <sheetFormatPr baseColWidth="10" defaultColWidth="9.140625" defaultRowHeight="15" x14ac:dyDescent="0.25"/>
  <cols>
    <col min="1" max="1" width="2.85546875" customWidth="1"/>
    <col min="2" max="2" width="5.28515625" bestFit="1" customWidth="1"/>
    <col min="3" max="3" width="9.140625" style="4"/>
    <col min="4" max="4" width="11.42578125" style="4" bestFit="1" customWidth="1"/>
    <col min="5" max="5" width="16.42578125" style="4" hidden="1" customWidth="1"/>
    <col min="6" max="6" width="11.42578125" style="4" customWidth="1"/>
    <col min="7" max="7" width="6.85546875" style="4" bestFit="1" customWidth="1"/>
    <col min="8" max="8" width="11" style="4" bestFit="1" customWidth="1"/>
    <col min="9" max="9" width="14.85546875" style="163" hidden="1" customWidth="1"/>
    <col min="10" max="10" width="11" style="14" hidden="1" customWidth="1"/>
    <col min="11" max="11" width="11.5703125" style="14" hidden="1" customWidth="1"/>
    <col min="12" max="12" width="11.85546875" style="4" hidden="1" customWidth="1"/>
    <col min="13" max="13" width="9.85546875" style="4" hidden="1" customWidth="1"/>
    <col min="14" max="14" width="12.42578125" style="4" hidden="1" customWidth="1"/>
    <col min="15" max="15" width="20.7109375" style="4" customWidth="1"/>
    <col min="16" max="16" width="12.140625" style="4" hidden="1" customWidth="1"/>
    <col min="17" max="17" width="8.7109375" style="14" hidden="1" customWidth="1"/>
    <col min="18" max="18" width="12.5703125" style="4" hidden="1" customWidth="1"/>
    <col min="19" max="19" width="11.140625" hidden="1" customWidth="1"/>
    <col min="20" max="20" width="12.5703125" hidden="1" customWidth="1"/>
    <col min="21" max="21" width="9.140625" hidden="1" customWidth="1"/>
    <col min="22" max="25" width="9.140625" style="15" hidden="1" customWidth="1"/>
    <col min="26" max="26" width="9.140625" hidden="1" customWidth="1"/>
    <col min="27" max="30" width="9.140625" style="14" hidden="1" customWidth="1"/>
    <col min="31" max="42" width="9.140625" hidden="1" customWidth="1"/>
    <col min="43" max="43" width="13.85546875" hidden="1" customWidth="1"/>
    <col min="44" max="44" width="20.42578125" style="14" hidden="1" customWidth="1"/>
    <col min="45" max="45" width="17.140625" style="14" hidden="1" customWidth="1"/>
  </cols>
  <sheetData>
    <row r="1" spans="2:45" x14ac:dyDescent="0.25">
      <c r="B1" s="4"/>
      <c r="C1" s="14"/>
      <c r="D1" s="14"/>
      <c r="E1" s="14"/>
      <c r="F1" s="14"/>
      <c r="G1" s="14"/>
      <c r="H1" s="39"/>
      <c r="I1" s="39"/>
      <c r="J1" s="39"/>
      <c r="K1" s="39"/>
      <c r="L1" s="38"/>
      <c r="M1" s="39"/>
      <c r="N1" s="39"/>
      <c r="O1" s="39"/>
      <c r="P1" s="40" t="s">
        <v>2</v>
      </c>
      <c r="Q1" s="40" t="s">
        <v>2</v>
      </c>
      <c r="R1" s="42" t="s">
        <v>2</v>
      </c>
      <c r="S1" s="34"/>
      <c r="T1" s="34"/>
      <c r="V1" s="4"/>
      <c r="W1" s="4"/>
      <c r="X1" s="4"/>
      <c r="Y1" s="4"/>
      <c r="Z1" s="4"/>
      <c r="AA1" s="4"/>
      <c r="AB1" s="4"/>
      <c r="AC1" s="4"/>
      <c r="AD1" s="4"/>
      <c r="AE1" s="4"/>
      <c r="AF1" s="13"/>
      <c r="AG1" s="4"/>
      <c r="AH1" s="13"/>
      <c r="AI1" s="4"/>
      <c r="AJ1" s="13"/>
      <c r="AK1" s="4"/>
      <c r="AL1" s="13"/>
      <c r="AM1" s="4"/>
      <c r="AN1" s="13"/>
      <c r="AO1" s="4"/>
      <c r="AP1" s="4"/>
      <c r="AQ1" s="4"/>
    </row>
    <row r="2" spans="2:45" x14ac:dyDescent="0.25">
      <c r="B2" s="179" t="s">
        <v>3</v>
      </c>
      <c r="C2" s="180" t="s">
        <v>4</v>
      </c>
      <c r="D2" s="180"/>
      <c r="E2" s="180"/>
      <c r="F2" s="180"/>
      <c r="G2" s="180"/>
      <c r="H2" s="180"/>
      <c r="I2" s="180"/>
      <c r="J2" s="180"/>
      <c r="K2" s="180"/>
      <c r="L2" s="174" t="s">
        <v>5</v>
      </c>
      <c r="M2" s="174"/>
      <c r="N2" s="174"/>
      <c r="O2" s="174"/>
      <c r="P2" s="174"/>
      <c r="Q2" s="180" t="s">
        <v>6</v>
      </c>
      <c r="R2" s="180"/>
      <c r="S2" s="180"/>
      <c r="T2" s="180"/>
      <c r="U2" s="180"/>
      <c r="V2" s="181" t="s">
        <v>7</v>
      </c>
      <c r="W2" s="182"/>
      <c r="X2" s="182"/>
      <c r="Y2" s="182"/>
      <c r="Z2" s="183"/>
      <c r="AA2" s="184" t="s">
        <v>8</v>
      </c>
      <c r="AB2" s="185"/>
      <c r="AC2" s="185"/>
      <c r="AD2" s="185"/>
      <c r="AE2" s="186"/>
      <c r="AF2" s="176" t="s">
        <v>9</v>
      </c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8"/>
      <c r="AR2" s="187" t="s">
        <v>10</v>
      </c>
      <c r="AS2" s="188"/>
    </row>
    <row r="3" spans="2:45" ht="27.75" customHeight="1" x14ac:dyDescent="0.25">
      <c r="B3" s="179"/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155" t="s">
        <v>17</v>
      </c>
      <c r="J3" s="5" t="s">
        <v>4</v>
      </c>
      <c r="K3" s="5" t="s">
        <v>18</v>
      </c>
      <c r="L3" s="6" t="s">
        <v>19</v>
      </c>
      <c r="M3" s="6" t="s">
        <v>20</v>
      </c>
      <c r="N3" s="6" t="s">
        <v>21</v>
      </c>
      <c r="O3" s="6" t="s">
        <v>18</v>
      </c>
      <c r="P3" s="53" t="s">
        <v>22</v>
      </c>
      <c r="Q3" s="54" t="s">
        <v>23</v>
      </c>
      <c r="R3" s="134" t="s">
        <v>24</v>
      </c>
      <c r="S3" s="35" t="s">
        <v>25</v>
      </c>
      <c r="T3" s="35" t="s">
        <v>26</v>
      </c>
      <c r="U3" s="5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  <c r="AA3" s="8" t="s">
        <v>28</v>
      </c>
      <c r="AB3" s="8" t="s">
        <v>29</v>
      </c>
      <c r="AC3" s="8" t="s">
        <v>30</v>
      </c>
      <c r="AD3" s="8" t="s">
        <v>31</v>
      </c>
      <c r="AE3" s="8" t="s">
        <v>32</v>
      </c>
      <c r="AF3" s="28" t="s">
        <v>33</v>
      </c>
      <c r="AG3" s="29" t="s">
        <v>34</v>
      </c>
      <c r="AH3" s="30" t="s">
        <v>30</v>
      </c>
      <c r="AI3" s="31" t="s">
        <v>35</v>
      </c>
      <c r="AJ3" s="10" t="s">
        <v>36</v>
      </c>
      <c r="AK3" s="9" t="s">
        <v>37</v>
      </c>
      <c r="AL3" s="32" t="s">
        <v>38</v>
      </c>
      <c r="AM3" s="33" t="s">
        <v>39</v>
      </c>
      <c r="AN3" s="32" t="s">
        <v>40</v>
      </c>
      <c r="AO3" s="33" t="s">
        <v>41</v>
      </c>
      <c r="AP3" s="24" t="s">
        <v>32</v>
      </c>
      <c r="AQ3" s="24" t="s">
        <v>42</v>
      </c>
      <c r="AR3" s="25" t="s">
        <v>43</v>
      </c>
      <c r="AS3" s="6" t="s">
        <v>44</v>
      </c>
    </row>
    <row r="4" spans="2:45" hidden="1" x14ac:dyDescent="0.25">
      <c r="B4" s="2">
        <v>1</v>
      </c>
      <c r="C4" s="2" t="s">
        <v>85</v>
      </c>
      <c r="D4" s="109">
        <v>45337</v>
      </c>
      <c r="E4" s="101" t="s">
        <v>54</v>
      </c>
      <c r="F4" s="2">
        <v>8171</v>
      </c>
      <c r="G4" s="2" t="s">
        <v>47</v>
      </c>
      <c r="H4" s="2">
        <v>400</v>
      </c>
      <c r="I4" s="156" t="s">
        <v>86</v>
      </c>
      <c r="J4" s="16" t="s">
        <v>49</v>
      </c>
      <c r="K4" s="16" t="s">
        <v>56</v>
      </c>
      <c r="L4" s="2" t="s">
        <v>51</v>
      </c>
      <c r="M4" s="2" t="s">
        <v>51</v>
      </c>
      <c r="N4" s="2" t="s">
        <v>60</v>
      </c>
      <c r="O4" s="103" t="s">
        <v>56</v>
      </c>
      <c r="P4" s="104">
        <v>0.41666666666666669</v>
      </c>
      <c r="Q4" s="99">
        <v>45323</v>
      </c>
      <c r="R4" s="56">
        <f>123.28785*H4/1000</f>
        <v>49.31514</v>
      </c>
      <c r="S4" s="52">
        <f t="shared" ref="S4:S50" si="0">+AE4</f>
        <v>60.292999999999999</v>
      </c>
      <c r="T4" s="36">
        <f t="shared" ref="T4:T35" si="1">R4-S4</f>
        <v>-10.97786</v>
      </c>
      <c r="U4" s="1">
        <f t="shared" ref="U4:U35" si="2">IFERROR(T4/R4,"")</f>
        <v>-0.22260628277644554</v>
      </c>
      <c r="V4" s="20">
        <v>70</v>
      </c>
      <c r="W4" s="20">
        <v>45</v>
      </c>
      <c r="X4" s="20">
        <v>13</v>
      </c>
      <c r="Y4" s="20">
        <v>0</v>
      </c>
      <c r="Z4" s="20">
        <f t="shared" ref="Z4:Z35" si="3">+SUM(V4:Y4)</f>
        <v>128</v>
      </c>
      <c r="AA4" s="20">
        <v>6.82</v>
      </c>
      <c r="AB4" s="20">
        <v>17.652999999999999</v>
      </c>
      <c r="AC4" s="20">
        <v>35.82</v>
      </c>
      <c r="AD4" s="20">
        <v>0</v>
      </c>
      <c r="AE4" s="20">
        <f t="shared" ref="AE4:AE50" si="4">+SUM(AA4:AD4)</f>
        <v>60.292999999999999</v>
      </c>
      <c r="AF4" s="11">
        <v>6</v>
      </c>
      <c r="AG4" s="27">
        <v>0.29296499999999998</v>
      </c>
      <c r="AH4" s="11">
        <v>4</v>
      </c>
      <c r="AI4" s="27">
        <v>2.2026234410000001</v>
      </c>
      <c r="AJ4" s="11">
        <v>4</v>
      </c>
      <c r="AK4" s="27">
        <v>7.2663281939999997</v>
      </c>
      <c r="AL4" s="11">
        <v>9</v>
      </c>
      <c r="AM4" s="27">
        <v>7.3460150620000002</v>
      </c>
      <c r="AN4" s="11">
        <v>0</v>
      </c>
      <c r="AO4" s="27">
        <v>0</v>
      </c>
      <c r="AP4" s="27">
        <f t="shared" ref="AP4:AP50" si="5">+AG4+AI4+AK4+AM4+AO4</f>
        <v>17.107931697000001</v>
      </c>
      <c r="AQ4" s="37">
        <f t="shared" ref="AQ4:AQ50" si="6">+IF(R4&lt;&gt;0,T4-AP4,"pend. Ene. Dist")</f>
        <v>-28.085791697000001</v>
      </c>
      <c r="AR4" s="116" t="str">
        <f t="shared" ref="AR4:AR50" si="7">+IF(R4&lt;&gt;0,IF(T4&lt;AP4,"Menores Compras","Inspecciones"),"Pendiente Ene. Dist")</f>
        <v>Menores Compras</v>
      </c>
      <c r="AS4" s="16"/>
    </row>
    <row r="5" spans="2:45" hidden="1" x14ac:dyDescent="0.25">
      <c r="B5" s="2">
        <v>2</v>
      </c>
      <c r="C5" s="2" t="s">
        <v>99</v>
      </c>
      <c r="D5" s="109">
        <v>45338</v>
      </c>
      <c r="E5" s="101" t="s">
        <v>54</v>
      </c>
      <c r="F5" s="2">
        <v>6812</v>
      </c>
      <c r="G5" s="2" t="s">
        <v>47</v>
      </c>
      <c r="H5" s="2">
        <v>100</v>
      </c>
      <c r="I5" s="156" t="s">
        <v>100</v>
      </c>
      <c r="J5" s="16" t="s">
        <v>49</v>
      </c>
      <c r="K5" s="16" t="s">
        <v>50</v>
      </c>
      <c r="L5" s="2" t="s">
        <v>51</v>
      </c>
      <c r="M5" s="2" t="s">
        <v>51</v>
      </c>
      <c r="N5" s="2" t="s">
        <v>51</v>
      </c>
      <c r="O5" s="103" t="s">
        <v>298</v>
      </c>
      <c r="P5" s="104">
        <v>0.84375</v>
      </c>
      <c r="Q5" s="99">
        <v>45323</v>
      </c>
      <c r="R5" s="56">
        <f>607.4303*H5/1000</f>
        <v>60.743029999999997</v>
      </c>
      <c r="S5" s="52">
        <f t="shared" si="0"/>
        <v>21.462</v>
      </c>
      <c r="T5" s="36">
        <f t="shared" si="1"/>
        <v>39.281030000000001</v>
      </c>
      <c r="U5" s="1">
        <f t="shared" si="2"/>
        <v>0.64667551157721315</v>
      </c>
      <c r="V5" s="20">
        <v>150</v>
      </c>
      <c r="W5" s="20">
        <v>10</v>
      </c>
      <c r="X5" s="20">
        <v>0</v>
      </c>
      <c r="Y5" s="20">
        <v>0</v>
      </c>
      <c r="Z5" s="20">
        <f t="shared" si="3"/>
        <v>160</v>
      </c>
      <c r="AA5" s="20">
        <v>13.532999999999999</v>
      </c>
      <c r="AB5" s="20">
        <v>7.9290000000000003</v>
      </c>
      <c r="AC5" s="20">
        <v>0</v>
      </c>
      <c r="AD5" s="20">
        <v>0</v>
      </c>
      <c r="AE5" s="20">
        <f t="shared" si="4"/>
        <v>21.462</v>
      </c>
      <c r="AF5" s="11">
        <v>5</v>
      </c>
      <c r="AG5" s="27">
        <v>0.782704607</v>
      </c>
      <c r="AH5" s="11">
        <v>0</v>
      </c>
      <c r="AI5" s="27">
        <v>0</v>
      </c>
      <c r="AJ5" s="11">
        <v>16</v>
      </c>
      <c r="AK5" s="27">
        <v>12.72613627</v>
      </c>
      <c r="AL5" s="11">
        <v>14</v>
      </c>
      <c r="AM5" s="27">
        <v>6.1825113329999999</v>
      </c>
      <c r="AN5" s="11">
        <v>7</v>
      </c>
      <c r="AO5" s="27">
        <v>6.494948333</v>
      </c>
      <c r="AP5" s="27">
        <f t="shared" si="5"/>
        <v>26.186300542999998</v>
      </c>
      <c r="AQ5" s="37">
        <f t="shared" si="6"/>
        <v>13.094729457000003</v>
      </c>
      <c r="AR5" s="116" t="str">
        <f t="shared" si="7"/>
        <v>Inspecciones</v>
      </c>
      <c r="AS5" s="16"/>
    </row>
    <row r="6" spans="2:45" hidden="1" x14ac:dyDescent="0.25">
      <c r="B6" s="2">
        <v>3</v>
      </c>
      <c r="C6" s="2" t="s">
        <v>112</v>
      </c>
      <c r="D6" s="109">
        <v>45339</v>
      </c>
      <c r="E6" s="101" t="s">
        <v>54</v>
      </c>
      <c r="F6" s="2">
        <v>6848</v>
      </c>
      <c r="G6" s="2" t="s">
        <v>47</v>
      </c>
      <c r="H6" s="2">
        <v>60</v>
      </c>
      <c r="I6" s="156" t="s">
        <v>113</v>
      </c>
      <c r="J6" s="16" t="s">
        <v>49</v>
      </c>
      <c r="K6" s="16" t="s">
        <v>50</v>
      </c>
      <c r="L6" s="2" t="s">
        <v>51</v>
      </c>
      <c r="M6" s="2" t="s">
        <v>51</v>
      </c>
      <c r="N6" s="2" t="s">
        <v>51</v>
      </c>
      <c r="O6" s="103" t="s">
        <v>303</v>
      </c>
      <c r="P6" s="104">
        <v>0.85416666666666663</v>
      </c>
      <c r="Q6" s="100">
        <v>45323</v>
      </c>
      <c r="R6" s="56">
        <f>328.47*H6/1000</f>
        <v>19.708200000000001</v>
      </c>
      <c r="S6" s="52">
        <f t="shared" si="0"/>
        <v>24.091999999999999</v>
      </c>
      <c r="T6" s="36">
        <f t="shared" si="1"/>
        <v>-4.3837999999999973</v>
      </c>
      <c r="U6" s="1">
        <f t="shared" si="2"/>
        <v>-0.22243533148638622</v>
      </c>
      <c r="V6" s="20">
        <v>148</v>
      </c>
      <c r="W6" s="20">
        <v>10</v>
      </c>
      <c r="X6" s="20">
        <v>0</v>
      </c>
      <c r="Y6" s="20">
        <v>0</v>
      </c>
      <c r="Z6" s="20">
        <f t="shared" si="3"/>
        <v>158</v>
      </c>
      <c r="AA6" s="20">
        <v>21.515000000000001</v>
      </c>
      <c r="AB6" s="20">
        <v>2.577</v>
      </c>
      <c r="AC6" s="20">
        <v>0</v>
      </c>
      <c r="AD6" s="20">
        <v>0</v>
      </c>
      <c r="AE6" s="20">
        <f t="shared" si="4"/>
        <v>24.091999999999999</v>
      </c>
      <c r="AF6" s="11">
        <v>7</v>
      </c>
      <c r="AG6" s="96">
        <v>1.2943788620000001</v>
      </c>
      <c r="AH6" s="11">
        <v>0</v>
      </c>
      <c r="AI6" s="96">
        <v>0</v>
      </c>
      <c r="AJ6" s="11">
        <v>7</v>
      </c>
      <c r="AK6" s="96">
        <v>12.34978828</v>
      </c>
      <c r="AL6" s="11">
        <v>11</v>
      </c>
      <c r="AM6" s="96">
        <v>10.723457140000001</v>
      </c>
      <c r="AN6" s="11">
        <v>1</v>
      </c>
      <c r="AO6" s="96">
        <v>7.1672000000000002</v>
      </c>
      <c r="AP6" s="27">
        <f t="shared" si="5"/>
        <v>31.534824282000002</v>
      </c>
      <c r="AQ6" s="37">
        <f t="shared" si="6"/>
        <v>-35.918624281999996</v>
      </c>
      <c r="AR6" s="116" t="str">
        <f t="shared" si="7"/>
        <v>Menores Compras</v>
      </c>
      <c r="AS6" s="16"/>
    </row>
    <row r="7" spans="2:45" hidden="1" x14ac:dyDescent="0.25">
      <c r="B7" s="2">
        <v>4</v>
      </c>
      <c r="C7" s="2" t="s">
        <v>61</v>
      </c>
      <c r="D7" s="109">
        <v>45341</v>
      </c>
      <c r="E7" s="101" t="s">
        <v>54</v>
      </c>
      <c r="F7" s="2">
        <v>6834</v>
      </c>
      <c r="G7" s="2" t="s">
        <v>47</v>
      </c>
      <c r="H7" s="2">
        <v>140</v>
      </c>
      <c r="I7" s="156" t="s">
        <v>62</v>
      </c>
      <c r="J7" s="16" t="s">
        <v>49</v>
      </c>
      <c r="K7" s="16" t="s">
        <v>50</v>
      </c>
      <c r="L7" s="2" t="s">
        <v>51</v>
      </c>
      <c r="M7" s="2" t="s">
        <v>51</v>
      </c>
      <c r="N7" s="2" t="s">
        <v>51</v>
      </c>
      <c r="O7" s="103" t="s">
        <v>298</v>
      </c>
      <c r="P7" s="104">
        <v>0.85416666666666663</v>
      </c>
      <c r="Q7" s="100">
        <v>45323</v>
      </c>
      <c r="R7" s="56">
        <f>726.0128*H7/1000</f>
        <v>101.641792</v>
      </c>
      <c r="S7" s="52">
        <f t="shared" si="0"/>
        <v>40.643000000000001</v>
      </c>
      <c r="T7" s="36">
        <f t="shared" si="1"/>
        <v>60.998791999999995</v>
      </c>
      <c r="U7" s="1">
        <f t="shared" si="2"/>
        <v>0.60013495236290204</v>
      </c>
      <c r="V7" s="20">
        <v>291</v>
      </c>
      <c r="W7" s="20">
        <v>6</v>
      </c>
      <c r="X7" s="20">
        <v>0</v>
      </c>
      <c r="Y7" s="20">
        <v>0</v>
      </c>
      <c r="Z7" s="20">
        <f t="shared" si="3"/>
        <v>297</v>
      </c>
      <c r="AA7" s="20">
        <v>38.07</v>
      </c>
      <c r="AB7" s="20">
        <v>2.573</v>
      </c>
      <c r="AC7" s="20">
        <v>0</v>
      </c>
      <c r="AD7" s="20">
        <v>0</v>
      </c>
      <c r="AE7" s="20">
        <f t="shared" si="4"/>
        <v>40.643000000000001</v>
      </c>
      <c r="AF7" s="11">
        <v>8</v>
      </c>
      <c r="AG7" s="27">
        <v>0.26332548700000002</v>
      </c>
      <c r="AH7" s="11">
        <v>0</v>
      </c>
      <c r="AI7" s="27">
        <v>0</v>
      </c>
      <c r="AJ7" s="11">
        <v>5</v>
      </c>
      <c r="AK7" s="27">
        <v>10.59167222</v>
      </c>
      <c r="AL7" s="11">
        <v>1</v>
      </c>
      <c r="AM7" s="27">
        <v>6.1295000000000002</v>
      </c>
      <c r="AN7" s="11">
        <v>3</v>
      </c>
      <c r="AO7" s="27">
        <v>10.18851667</v>
      </c>
      <c r="AP7" s="27">
        <f t="shared" si="5"/>
        <v>27.173014377000001</v>
      </c>
      <c r="AQ7" s="37">
        <f t="shared" si="6"/>
        <v>33.825777622999993</v>
      </c>
      <c r="AR7" s="116" t="str">
        <f t="shared" si="7"/>
        <v>Inspecciones</v>
      </c>
      <c r="AS7" s="16"/>
    </row>
    <row r="8" spans="2:45" hidden="1" x14ac:dyDescent="0.25">
      <c r="B8" s="2">
        <v>5</v>
      </c>
      <c r="C8" s="2" t="s">
        <v>138</v>
      </c>
      <c r="D8" s="109">
        <v>45341</v>
      </c>
      <c r="E8" s="101" t="s">
        <v>54</v>
      </c>
      <c r="F8" s="2">
        <v>6833</v>
      </c>
      <c r="G8" s="2" t="s">
        <v>47</v>
      </c>
      <c r="H8" s="2">
        <v>100</v>
      </c>
      <c r="I8" s="156" t="s">
        <v>139</v>
      </c>
      <c r="J8" s="16" t="s">
        <v>49</v>
      </c>
      <c r="K8" s="16" t="s">
        <v>50</v>
      </c>
      <c r="L8" s="2" t="s">
        <v>51</v>
      </c>
      <c r="M8" s="2" t="s">
        <v>51</v>
      </c>
      <c r="N8" s="2" t="s">
        <v>51</v>
      </c>
      <c r="O8" s="103" t="s">
        <v>303</v>
      </c>
      <c r="P8" s="104">
        <v>0.82291666666666663</v>
      </c>
      <c r="Q8" s="100">
        <v>45323</v>
      </c>
      <c r="R8" s="56">
        <f>450.3911*H8/1000</f>
        <v>45.039110000000001</v>
      </c>
      <c r="S8" s="52">
        <f t="shared" si="0"/>
        <v>20.420999999999999</v>
      </c>
      <c r="T8" s="36">
        <f t="shared" si="1"/>
        <v>24.618110000000001</v>
      </c>
      <c r="U8" s="1">
        <f t="shared" si="2"/>
        <v>0.54659406014017597</v>
      </c>
      <c r="V8" s="20">
        <v>224</v>
      </c>
      <c r="W8" s="20">
        <v>13</v>
      </c>
      <c r="X8" s="20">
        <v>0</v>
      </c>
      <c r="Y8" s="20">
        <v>0</v>
      </c>
      <c r="Z8" s="20">
        <f t="shared" si="3"/>
        <v>237</v>
      </c>
      <c r="AA8" s="20">
        <v>19.332999999999998</v>
      </c>
      <c r="AB8" s="20">
        <v>1.0880000000000001</v>
      </c>
      <c r="AC8" s="20">
        <v>0</v>
      </c>
      <c r="AD8" s="20">
        <v>0</v>
      </c>
      <c r="AE8" s="20">
        <f t="shared" si="4"/>
        <v>20.420999999999999</v>
      </c>
      <c r="AF8" s="11">
        <v>2</v>
      </c>
      <c r="AG8" s="27">
        <v>1.760874686</v>
      </c>
      <c r="AH8" s="11">
        <v>0</v>
      </c>
      <c r="AI8" s="27">
        <v>0</v>
      </c>
      <c r="AJ8" s="11">
        <v>3</v>
      </c>
      <c r="AK8" s="27">
        <v>18.100381110000001</v>
      </c>
      <c r="AL8" s="11">
        <v>3</v>
      </c>
      <c r="AM8" s="27">
        <v>11.64116667</v>
      </c>
      <c r="AN8" s="11">
        <v>1</v>
      </c>
      <c r="AO8" s="27">
        <v>7.5023333330000002</v>
      </c>
      <c r="AP8" s="27">
        <f t="shared" si="5"/>
        <v>39.004755799000002</v>
      </c>
      <c r="AQ8" s="37">
        <f t="shared" si="6"/>
        <v>-14.386645799</v>
      </c>
      <c r="AR8" s="116" t="str">
        <f t="shared" si="7"/>
        <v>Menores Compras</v>
      </c>
      <c r="AS8" s="16"/>
    </row>
    <row r="9" spans="2:45" hidden="1" x14ac:dyDescent="0.25">
      <c r="B9" s="2">
        <v>6</v>
      </c>
      <c r="C9" s="2" t="s">
        <v>72</v>
      </c>
      <c r="D9" s="109">
        <v>45342</v>
      </c>
      <c r="E9" s="101" t="s">
        <v>73</v>
      </c>
      <c r="F9" s="2">
        <v>6831</v>
      </c>
      <c r="G9" s="2" t="s">
        <v>47</v>
      </c>
      <c r="H9" s="2">
        <v>140</v>
      </c>
      <c r="I9" s="156" t="s">
        <v>74</v>
      </c>
      <c r="J9" s="16" t="s">
        <v>49</v>
      </c>
      <c r="K9" s="16" t="s">
        <v>50</v>
      </c>
      <c r="L9" s="2" t="s">
        <v>51</v>
      </c>
      <c r="M9" s="2" t="s">
        <v>51</v>
      </c>
      <c r="N9" s="2" t="s">
        <v>51</v>
      </c>
      <c r="O9" s="103" t="s">
        <v>52</v>
      </c>
      <c r="P9" s="104">
        <v>0.84375</v>
      </c>
      <c r="Q9" s="100">
        <v>45323</v>
      </c>
      <c r="R9" s="56">
        <f>597.5736*H9/1000</f>
        <v>83.660304000000011</v>
      </c>
      <c r="S9" s="52">
        <f t="shared" si="0"/>
        <v>81.635999999999996</v>
      </c>
      <c r="T9" s="36">
        <f t="shared" si="1"/>
        <v>2.024304000000015</v>
      </c>
      <c r="U9" s="1">
        <f t="shared" si="2"/>
        <v>2.4196708632567419E-2</v>
      </c>
      <c r="V9" s="20">
        <v>214</v>
      </c>
      <c r="W9" s="20">
        <v>16</v>
      </c>
      <c r="X9" s="20">
        <v>0</v>
      </c>
      <c r="Y9" s="20">
        <v>1</v>
      </c>
      <c r="Z9" s="20">
        <f t="shared" si="3"/>
        <v>231</v>
      </c>
      <c r="AA9" s="20">
        <v>66.007999999999996</v>
      </c>
      <c r="AB9" s="20">
        <v>12.241</v>
      </c>
      <c r="AC9" s="20">
        <v>0</v>
      </c>
      <c r="AD9" s="20">
        <v>3.387</v>
      </c>
      <c r="AE9" s="20">
        <f t="shared" si="4"/>
        <v>81.635999999999996</v>
      </c>
      <c r="AF9" s="11">
        <v>2</v>
      </c>
      <c r="AG9" s="27">
        <v>7.6524589000000004E-2</v>
      </c>
      <c r="AH9" s="11">
        <v>0</v>
      </c>
      <c r="AI9" s="27">
        <v>0</v>
      </c>
      <c r="AJ9" s="11">
        <v>0</v>
      </c>
      <c r="AK9" s="27">
        <v>0</v>
      </c>
      <c r="AL9" s="11">
        <v>0</v>
      </c>
      <c r="AM9" s="27">
        <v>0</v>
      </c>
      <c r="AN9" s="11">
        <v>0</v>
      </c>
      <c r="AO9" s="27">
        <v>0</v>
      </c>
      <c r="AP9" s="27">
        <f t="shared" si="5"/>
        <v>7.6524589000000004E-2</v>
      </c>
      <c r="AQ9" s="37">
        <f t="shared" si="6"/>
        <v>1.9477794110000151</v>
      </c>
      <c r="AR9" s="116" t="str">
        <f t="shared" si="7"/>
        <v>Inspecciones</v>
      </c>
      <c r="AS9" s="16"/>
    </row>
    <row r="10" spans="2:45" hidden="1" x14ac:dyDescent="0.25">
      <c r="B10" s="2">
        <v>7</v>
      </c>
      <c r="C10" s="2" t="s">
        <v>57</v>
      </c>
      <c r="D10" s="109">
        <v>45344</v>
      </c>
      <c r="E10" s="101" t="s">
        <v>58</v>
      </c>
      <c r="F10" s="2">
        <v>6807</v>
      </c>
      <c r="G10" s="2" t="s">
        <v>47</v>
      </c>
      <c r="H10" s="2">
        <v>100</v>
      </c>
      <c r="I10" s="156" t="s">
        <v>59</v>
      </c>
      <c r="J10" s="16" t="s">
        <v>49</v>
      </c>
      <c r="K10" s="16" t="s">
        <v>50</v>
      </c>
      <c r="L10" s="2" t="s">
        <v>51</v>
      </c>
      <c r="M10" s="2" t="s">
        <v>51</v>
      </c>
      <c r="N10" s="2" t="s">
        <v>51</v>
      </c>
      <c r="O10" s="103" t="s">
        <v>52</v>
      </c>
      <c r="P10" s="104">
        <v>0.875</v>
      </c>
      <c r="Q10" s="100">
        <v>45323</v>
      </c>
      <c r="R10" s="56">
        <f>575.2768*H10/1000</f>
        <v>57.527680000000004</v>
      </c>
      <c r="S10" s="52">
        <f t="shared" si="0"/>
        <v>24.198</v>
      </c>
      <c r="T10" s="36">
        <f t="shared" si="1"/>
        <v>33.329680000000003</v>
      </c>
      <c r="U10" s="1">
        <f t="shared" si="2"/>
        <v>0.57936770611990618</v>
      </c>
      <c r="V10" s="21">
        <v>113</v>
      </c>
      <c r="W10" s="21">
        <v>13</v>
      </c>
      <c r="X10" s="21">
        <v>2</v>
      </c>
      <c r="Y10" s="21">
        <v>0</v>
      </c>
      <c r="Z10" s="20">
        <f t="shared" si="3"/>
        <v>128</v>
      </c>
      <c r="AA10" s="21">
        <v>15.77</v>
      </c>
      <c r="AB10" s="21">
        <v>2.3079999999999998</v>
      </c>
      <c r="AC10" s="21">
        <v>6.12</v>
      </c>
      <c r="AD10" s="21">
        <v>0</v>
      </c>
      <c r="AE10" s="20">
        <f t="shared" si="4"/>
        <v>24.198</v>
      </c>
      <c r="AF10" s="12">
        <v>7</v>
      </c>
      <c r="AG10" s="95">
        <v>1.556304476</v>
      </c>
      <c r="AH10" s="12">
        <v>1</v>
      </c>
      <c r="AI10" s="95">
        <v>0</v>
      </c>
      <c r="AJ10" s="12">
        <v>4</v>
      </c>
      <c r="AK10" s="95">
        <v>13.82760833</v>
      </c>
      <c r="AL10" s="12">
        <v>5</v>
      </c>
      <c r="AM10" s="95">
        <v>7.3058527780000002</v>
      </c>
      <c r="AN10" s="12">
        <v>11</v>
      </c>
      <c r="AO10" s="95">
        <v>9.1660402780000005</v>
      </c>
      <c r="AP10" s="27">
        <f t="shared" si="5"/>
        <v>31.855805862</v>
      </c>
      <c r="AQ10" s="37">
        <f t="shared" si="6"/>
        <v>1.4738741380000029</v>
      </c>
      <c r="AR10" s="116" t="str">
        <f t="shared" si="7"/>
        <v>Inspecciones</v>
      </c>
      <c r="AS10" s="16"/>
    </row>
    <row r="11" spans="2:45" hidden="1" x14ac:dyDescent="0.25">
      <c r="B11" s="2">
        <v>8</v>
      </c>
      <c r="C11" s="2" t="s">
        <v>53</v>
      </c>
      <c r="D11" s="109">
        <v>45345</v>
      </c>
      <c r="E11" s="101" t="s">
        <v>54</v>
      </c>
      <c r="F11" s="2">
        <v>6808</v>
      </c>
      <c r="G11" s="2" t="s">
        <v>47</v>
      </c>
      <c r="H11" s="2">
        <v>140</v>
      </c>
      <c r="I11" s="156" t="s">
        <v>55</v>
      </c>
      <c r="J11" s="16" t="s">
        <v>49</v>
      </c>
      <c r="K11" s="16" t="s">
        <v>56</v>
      </c>
      <c r="L11" s="2" t="s">
        <v>51</v>
      </c>
      <c r="M11" s="2" t="s">
        <v>51</v>
      </c>
      <c r="N11" s="2" t="s">
        <v>51</v>
      </c>
      <c r="O11" s="103" t="s">
        <v>56</v>
      </c>
      <c r="P11" s="104">
        <v>0.47916666666666669</v>
      </c>
      <c r="Q11" s="100">
        <v>45323</v>
      </c>
      <c r="R11" s="56">
        <f>342.5826*H11/1000</f>
        <v>47.961563999999996</v>
      </c>
      <c r="S11" s="52">
        <f t="shared" si="0"/>
        <v>151.76300000000001</v>
      </c>
      <c r="T11" s="36">
        <f t="shared" si="1"/>
        <v>-103.80143600000001</v>
      </c>
      <c r="U11" s="1">
        <f t="shared" si="2"/>
        <v>-2.1642629502240589</v>
      </c>
      <c r="V11" s="20">
        <v>58</v>
      </c>
      <c r="W11" s="20">
        <v>35</v>
      </c>
      <c r="X11" s="20">
        <v>5</v>
      </c>
      <c r="Y11" s="20">
        <v>1</v>
      </c>
      <c r="Z11" s="20">
        <f t="shared" si="3"/>
        <v>99</v>
      </c>
      <c r="AA11" s="20">
        <v>7.569</v>
      </c>
      <c r="AB11" s="20">
        <v>12.651</v>
      </c>
      <c r="AC11" s="20">
        <v>9.66</v>
      </c>
      <c r="AD11" s="20">
        <v>121.883</v>
      </c>
      <c r="AE11" s="20">
        <f t="shared" si="4"/>
        <v>151.76300000000001</v>
      </c>
      <c r="AF11" s="11">
        <v>13</v>
      </c>
      <c r="AG11" s="27">
        <v>5.1354394020000003</v>
      </c>
      <c r="AH11" s="11">
        <v>2</v>
      </c>
      <c r="AI11" s="27">
        <v>4.7934745830000001</v>
      </c>
      <c r="AJ11" s="11">
        <v>2</v>
      </c>
      <c r="AK11" s="27">
        <v>19.045783329999999</v>
      </c>
      <c r="AL11" s="11">
        <v>5</v>
      </c>
      <c r="AM11" s="27">
        <v>4.236602381</v>
      </c>
      <c r="AN11" s="11">
        <v>0</v>
      </c>
      <c r="AO11" s="27">
        <v>0</v>
      </c>
      <c r="AP11" s="27">
        <f t="shared" si="5"/>
        <v>33.211299695999998</v>
      </c>
      <c r="AQ11" s="37">
        <f t="shared" si="6"/>
        <v>-137.01273569599999</v>
      </c>
      <c r="AR11" s="116" t="str">
        <f t="shared" si="7"/>
        <v>Menores Compras</v>
      </c>
      <c r="AS11" s="16"/>
    </row>
    <row r="12" spans="2:45" hidden="1" x14ac:dyDescent="0.25">
      <c r="B12" s="2">
        <v>9</v>
      </c>
      <c r="C12" s="2" t="s">
        <v>110</v>
      </c>
      <c r="D12" s="109">
        <v>45345</v>
      </c>
      <c r="E12" s="101" t="s">
        <v>66</v>
      </c>
      <c r="F12" s="2">
        <v>8096</v>
      </c>
      <c r="G12" s="2" t="s">
        <v>47</v>
      </c>
      <c r="H12" s="2">
        <v>60</v>
      </c>
      <c r="I12" s="156" t="s">
        <v>111</v>
      </c>
      <c r="J12" s="16" t="s">
        <v>68</v>
      </c>
      <c r="K12" s="16" t="s">
        <v>50</v>
      </c>
      <c r="L12" s="2" t="s">
        <v>51</v>
      </c>
      <c r="M12" s="2" t="s">
        <v>51</v>
      </c>
      <c r="N12" s="2" t="s">
        <v>51</v>
      </c>
      <c r="O12" s="103" t="s">
        <v>298</v>
      </c>
      <c r="P12" s="104">
        <v>0.83333333333333337</v>
      </c>
      <c r="Q12" s="100">
        <v>45323</v>
      </c>
      <c r="R12" s="56">
        <f>689.7698*H12/1000</f>
        <v>41.386188000000004</v>
      </c>
      <c r="S12" s="52">
        <f t="shared" si="0"/>
        <v>37.646999999999998</v>
      </c>
      <c r="T12" s="36">
        <f t="shared" si="1"/>
        <v>3.7391880000000057</v>
      </c>
      <c r="U12" s="1">
        <f t="shared" si="2"/>
        <v>9.0348693143712716E-2</v>
      </c>
      <c r="V12" s="20">
        <v>107</v>
      </c>
      <c r="W12" s="20">
        <v>24</v>
      </c>
      <c r="X12" s="20">
        <v>3</v>
      </c>
      <c r="Y12" s="20">
        <v>0</v>
      </c>
      <c r="Z12" s="20">
        <f t="shared" si="3"/>
        <v>134</v>
      </c>
      <c r="AA12" s="20">
        <v>10.534000000000001</v>
      </c>
      <c r="AB12" s="20">
        <v>4.2729999999999997</v>
      </c>
      <c r="AC12" s="20">
        <v>22.84</v>
      </c>
      <c r="AD12" s="20">
        <v>0</v>
      </c>
      <c r="AE12" s="20">
        <f t="shared" si="4"/>
        <v>37.646999999999998</v>
      </c>
      <c r="AF12" s="11">
        <v>4</v>
      </c>
      <c r="AG12" s="27">
        <v>0.140017375</v>
      </c>
      <c r="AH12" s="11">
        <v>1</v>
      </c>
      <c r="AI12" s="27">
        <v>0.11310000000000001</v>
      </c>
      <c r="AJ12" s="11">
        <v>5</v>
      </c>
      <c r="AK12" s="27">
        <v>11.858554760000001</v>
      </c>
      <c r="AL12" s="11">
        <v>5</v>
      </c>
      <c r="AM12" s="27">
        <v>14.7904131</v>
      </c>
      <c r="AN12" s="11">
        <v>2</v>
      </c>
      <c r="AO12" s="27">
        <v>5.2496200000000002</v>
      </c>
      <c r="AP12" s="27">
        <f t="shared" si="5"/>
        <v>32.151705235000001</v>
      </c>
      <c r="AQ12" s="37">
        <f t="shared" si="6"/>
        <v>-28.412517234999996</v>
      </c>
      <c r="AR12" s="116" t="str">
        <f t="shared" si="7"/>
        <v>Menores Compras</v>
      </c>
      <c r="AS12" s="16"/>
    </row>
    <row r="13" spans="2:45" hidden="1" x14ac:dyDescent="0.25">
      <c r="B13" s="2">
        <v>10</v>
      </c>
      <c r="C13" s="2" t="s">
        <v>116</v>
      </c>
      <c r="D13" s="109">
        <v>45345</v>
      </c>
      <c r="E13" s="101" t="s">
        <v>54</v>
      </c>
      <c r="F13" s="2">
        <v>6839</v>
      </c>
      <c r="G13" s="2" t="s">
        <v>47</v>
      </c>
      <c r="H13" s="2">
        <v>140</v>
      </c>
      <c r="I13" s="156" t="s">
        <v>117</v>
      </c>
      <c r="J13" s="16" t="s">
        <v>49</v>
      </c>
      <c r="K13" s="16" t="s">
        <v>56</v>
      </c>
      <c r="L13" s="2" t="s">
        <v>51</v>
      </c>
      <c r="M13" s="2" t="s">
        <v>51</v>
      </c>
      <c r="N13" s="2" t="s">
        <v>51</v>
      </c>
      <c r="O13" s="103" t="s">
        <v>56</v>
      </c>
      <c r="P13" s="104">
        <v>0.61458333333333337</v>
      </c>
      <c r="Q13" s="100">
        <v>45323</v>
      </c>
      <c r="R13" s="56">
        <f>150.6808*H13/1000</f>
        <v>21.095312000000003</v>
      </c>
      <c r="S13" s="52">
        <f t="shared" si="0"/>
        <v>1.0760000000000001</v>
      </c>
      <c r="T13" s="36">
        <f t="shared" si="1"/>
        <v>20.019312000000003</v>
      </c>
      <c r="U13" s="1">
        <f t="shared" si="2"/>
        <v>0.9489934066867558</v>
      </c>
      <c r="V13" s="20">
        <v>0</v>
      </c>
      <c r="W13" s="20">
        <v>3</v>
      </c>
      <c r="X13" s="20">
        <v>1</v>
      </c>
      <c r="Y13" s="20">
        <v>0</v>
      </c>
      <c r="Z13" s="20">
        <f t="shared" si="3"/>
        <v>4</v>
      </c>
      <c r="AA13" s="20">
        <v>0</v>
      </c>
      <c r="AB13" s="20">
        <v>1.0760000000000001</v>
      </c>
      <c r="AC13" s="20">
        <v>0</v>
      </c>
      <c r="AD13" s="20">
        <v>0</v>
      </c>
      <c r="AE13" s="20">
        <f t="shared" si="4"/>
        <v>1.0760000000000001</v>
      </c>
      <c r="AF13" s="11">
        <v>0</v>
      </c>
      <c r="AG13" s="27">
        <v>0</v>
      </c>
      <c r="AH13" s="11">
        <v>2</v>
      </c>
      <c r="AI13" s="27">
        <v>2.1394578900000001</v>
      </c>
      <c r="AJ13" s="11">
        <v>1</v>
      </c>
      <c r="AK13" s="27">
        <v>2.824880109</v>
      </c>
      <c r="AL13" s="11">
        <v>2</v>
      </c>
      <c r="AM13" s="27">
        <v>11.974783329999999</v>
      </c>
      <c r="AN13" s="11">
        <v>0</v>
      </c>
      <c r="AO13" s="27">
        <v>0</v>
      </c>
      <c r="AP13" s="27">
        <f t="shared" si="5"/>
        <v>16.939121328999999</v>
      </c>
      <c r="AQ13" s="37">
        <f t="shared" si="6"/>
        <v>3.080190671000004</v>
      </c>
      <c r="AR13" s="116" t="str">
        <f t="shared" si="7"/>
        <v>Inspecciones</v>
      </c>
      <c r="AS13" s="16"/>
    </row>
    <row r="14" spans="2:45" hidden="1" x14ac:dyDescent="0.25">
      <c r="B14" s="2">
        <v>11</v>
      </c>
      <c r="C14" s="2" t="s">
        <v>94</v>
      </c>
      <c r="D14" s="109">
        <v>45346</v>
      </c>
      <c r="E14" s="101" t="s">
        <v>54</v>
      </c>
      <c r="F14" s="2">
        <v>6842</v>
      </c>
      <c r="G14" s="2" t="s">
        <v>47</v>
      </c>
      <c r="H14" s="2">
        <v>200</v>
      </c>
      <c r="I14" s="156" t="s">
        <v>95</v>
      </c>
      <c r="J14" s="16" t="s">
        <v>49</v>
      </c>
      <c r="K14" s="16" t="s">
        <v>56</v>
      </c>
      <c r="L14" s="2" t="s">
        <v>51</v>
      </c>
      <c r="M14" s="2" t="s">
        <v>51</v>
      </c>
      <c r="N14" s="2" t="s">
        <v>51</v>
      </c>
      <c r="O14" s="103" t="s">
        <v>56</v>
      </c>
      <c r="P14" s="104">
        <v>0.63541666666666663</v>
      </c>
      <c r="Q14" s="100">
        <v>45323</v>
      </c>
      <c r="R14" s="56">
        <f>584.2433*H14/1000</f>
        <v>116.84866</v>
      </c>
      <c r="S14" s="52">
        <f t="shared" si="0"/>
        <v>46.103000000000002</v>
      </c>
      <c r="T14" s="36">
        <f t="shared" si="1"/>
        <v>70.745659999999987</v>
      </c>
      <c r="U14" s="1">
        <f t="shared" si="2"/>
        <v>0.60544690884773511</v>
      </c>
      <c r="V14" s="20">
        <v>3</v>
      </c>
      <c r="W14" s="20">
        <v>19</v>
      </c>
      <c r="X14" s="20">
        <v>10</v>
      </c>
      <c r="Y14" s="20">
        <v>1</v>
      </c>
      <c r="Z14" s="20">
        <f t="shared" si="3"/>
        <v>33</v>
      </c>
      <c r="AA14" s="20">
        <v>0.71399999999999997</v>
      </c>
      <c r="AB14" s="20">
        <v>10.381</v>
      </c>
      <c r="AC14" s="20">
        <v>11.6</v>
      </c>
      <c r="AD14" s="20">
        <v>23.408000000000001</v>
      </c>
      <c r="AE14" s="20">
        <f t="shared" si="4"/>
        <v>46.103000000000002</v>
      </c>
      <c r="AF14" s="11">
        <v>4</v>
      </c>
      <c r="AG14" s="27">
        <v>0.14210060699999999</v>
      </c>
      <c r="AH14" s="11">
        <v>5</v>
      </c>
      <c r="AI14" s="27">
        <v>3.9286770720000002</v>
      </c>
      <c r="AJ14" s="11">
        <v>1</v>
      </c>
      <c r="AK14" s="27">
        <v>14.97226667</v>
      </c>
      <c r="AL14" s="11">
        <v>1</v>
      </c>
      <c r="AM14" s="27">
        <v>32.436891670000001</v>
      </c>
      <c r="AN14" s="11">
        <v>0</v>
      </c>
      <c r="AO14" s="27">
        <v>0</v>
      </c>
      <c r="AP14" s="27">
        <f t="shared" si="5"/>
        <v>51.479936019</v>
      </c>
      <c r="AQ14" s="37">
        <f t="shared" si="6"/>
        <v>19.265723980999987</v>
      </c>
      <c r="AR14" s="116" t="str">
        <f t="shared" si="7"/>
        <v>Inspecciones</v>
      </c>
      <c r="AS14" s="16"/>
    </row>
    <row r="15" spans="2:45" hidden="1" x14ac:dyDescent="0.25">
      <c r="B15" s="2">
        <v>12</v>
      </c>
      <c r="C15" s="2" t="s">
        <v>106</v>
      </c>
      <c r="D15" s="109">
        <v>45346</v>
      </c>
      <c r="E15" s="101" t="s">
        <v>66</v>
      </c>
      <c r="F15" s="2">
        <v>8093</v>
      </c>
      <c r="G15" s="2" t="s">
        <v>47</v>
      </c>
      <c r="H15" s="2">
        <v>100</v>
      </c>
      <c r="I15" s="156" t="s">
        <v>107</v>
      </c>
      <c r="J15" s="16" t="s">
        <v>68</v>
      </c>
      <c r="K15" s="16" t="s">
        <v>50</v>
      </c>
      <c r="L15" s="2" t="s">
        <v>51</v>
      </c>
      <c r="M15" s="2" t="s">
        <v>51</v>
      </c>
      <c r="N15" s="2" t="s">
        <v>51</v>
      </c>
      <c r="O15" s="103" t="s">
        <v>303</v>
      </c>
      <c r="P15" s="104">
        <v>0.82291666666666663</v>
      </c>
      <c r="Q15" s="100">
        <v>45323</v>
      </c>
      <c r="R15" s="56">
        <f>207.8637*H15/1000</f>
        <v>20.786369999999998</v>
      </c>
      <c r="S15" s="52">
        <f t="shared" si="0"/>
        <v>17.570999999999998</v>
      </c>
      <c r="T15" s="36">
        <f t="shared" si="1"/>
        <v>3.2153700000000001</v>
      </c>
      <c r="U15" s="1">
        <f t="shared" si="2"/>
        <v>0.15468646040650677</v>
      </c>
      <c r="V15" s="20">
        <v>45</v>
      </c>
      <c r="W15" s="20">
        <v>61</v>
      </c>
      <c r="X15" s="20">
        <v>0</v>
      </c>
      <c r="Y15" s="20">
        <v>0</v>
      </c>
      <c r="Z15" s="20">
        <f t="shared" si="3"/>
        <v>106</v>
      </c>
      <c r="AA15" s="20">
        <v>5.9379999999999997</v>
      </c>
      <c r="AB15" s="20">
        <v>11.632999999999999</v>
      </c>
      <c r="AC15" s="20">
        <v>0</v>
      </c>
      <c r="AD15" s="20">
        <v>0</v>
      </c>
      <c r="AE15" s="20">
        <f t="shared" si="4"/>
        <v>17.570999999999998</v>
      </c>
      <c r="AF15" s="11">
        <v>5</v>
      </c>
      <c r="AG15" s="27">
        <v>5.0595210530000001</v>
      </c>
      <c r="AH15" s="11">
        <v>0</v>
      </c>
      <c r="AI15" s="27">
        <v>0</v>
      </c>
      <c r="AJ15" s="11">
        <v>7</v>
      </c>
      <c r="AK15" s="27">
        <v>17.912953330000001</v>
      </c>
      <c r="AL15" s="11">
        <v>12</v>
      </c>
      <c r="AM15" s="27">
        <v>13.86012639</v>
      </c>
      <c r="AN15" s="11">
        <v>0</v>
      </c>
      <c r="AO15" s="27">
        <v>0</v>
      </c>
      <c r="AP15" s="27">
        <f t="shared" si="5"/>
        <v>36.832600773000003</v>
      </c>
      <c r="AQ15" s="37">
        <f t="shared" si="6"/>
        <v>-33.617230773000003</v>
      </c>
      <c r="AR15" s="116" t="str">
        <f t="shared" si="7"/>
        <v>Menores Compras</v>
      </c>
      <c r="AS15" s="16"/>
    </row>
    <row r="16" spans="2:45" hidden="1" x14ac:dyDescent="0.25">
      <c r="B16" s="2">
        <v>13</v>
      </c>
      <c r="C16" s="2" t="s">
        <v>123</v>
      </c>
      <c r="D16" s="109">
        <v>45346</v>
      </c>
      <c r="E16" s="101" t="s">
        <v>54</v>
      </c>
      <c r="F16" s="2">
        <v>6814</v>
      </c>
      <c r="G16" s="2" t="s">
        <v>47</v>
      </c>
      <c r="H16" s="2">
        <v>100</v>
      </c>
      <c r="I16" s="156" t="s">
        <v>124</v>
      </c>
      <c r="J16" s="16" t="s">
        <v>49</v>
      </c>
      <c r="K16" s="16" t="s">
        <v>56</v>
      </c>
      <c r="L16" s="2" t="s">
        <v>51</v>
      </c>
      <c r="M16" s="2" t="s">
        <v>51</v>
      </c>
      <c r="N16" s="2" t="s">
        <v>51</v>
      </c>
      <c r="O16" s="103" t="s">
        <v>50</v>
      </c>
      <c r="P16" s="104">
        <v>0.48958333333333331</v>
      </c>
      <c r="Q16" s="100">
        <v>45323</v>
      </c>
      <c r="R16" s="56">
        <f>848.5846*H16/1000</f>
        <v>84.858460000000008</v>
      </c>
      <c r="S16" s="52">
        <f t="shared" si="0"/>
        <v>4.359</v>
      </c>
      <c r="T16" s="36">
        <f t="shared" si="1"/>
        <v>80.499460000000013</v>
      </c>
      <c r="U16" s="1">
        <f t="shared" si="2"/>
        <v>0.94863211045781415</v>
      </c>
      <c r="V16" s="20">
        <v>4</v>
      </c>
      <c r="W16" s="20">
        <v>5</v>
      </c>
      <c r="X16" s="20">
        <v>0</v>
      </c>
      <c r="Y16" s="20">
        <v>0</v>
      </c>
      <c r="Z16" s="20">
        <f t="shared" si="3"/>
        <v>9</v>
      </c>
      <c r="AA16" s="20">
        <v>0.97399999999999998</v>
      </c>
      <c r="AB16" s="20">
        <v>3.3849999999999998</v>
      </c>
      <c r="AC16" s="20">
        <v>0</v>
      </c>
      <c r="AD16" s="20">
        <v>0</v>
      </c>
      <c r="AE16" s="20">
        <f t="shared" si="4"/>
        <v>4.359</v>
      </c>
      <c r="AF16" s="11">
        <v>2</v>
      </c>
      <c r="AG16" s="27">
        <v>0.21558318700000001</v>
      </c>
      <c r="AH16" s="11">
        <v>1</v>
      </c>
      <c r="AI16" s="27">
        <v>0</v>
      </c>
      <c r="AJ16" s="11">
        <v>2</v>
      </c>
      <c r="AK16" s="27">
        <v>20.874083330000001</v>
      </c>
      <c r="AL16" s="11">
        <v>2</v>
      </c>
      <c r="AM16" s="27">
        <v>44.374216670000003</v>
      </c>
      <c r="AN16" s="11">
        <v>0</v>
      </c>
      <c r="AO16" s="27">
        <v>0</v>
      </c>
      <c r="AP16" s="27">
        <f t="shared" si="5"/>
        <v>65.463883187000008</v>
      </c>
      <c r="AQ16" s="37">
        <f t="shared" si="6"/>
        <v>15.035576813000006</v>
      </c>
      <c r="AR16" s="116" t="str">
        <f t="shared" si="7"/>
        <v>Inspecciones</v>
      </c>
      <c r="AS16" s="16"/>
    </row>
    <row r="17" spans="2:45" hidden="1" x14ac:dyDescent="0.25">
      <c r="B17" s="2">
        <v>14</v>
      </c>
      <c r="C17" s="2" t="s">
        <v>83</v>
      </c>
      <c r="D17" s="110">
        <v>45348</v>
      </c>
      <c r="E17" s="101" t="s">
        <v>54</v>
      </c>
      <c r="F17" s="2">
        <v>6803</v>
      </c>
      <c r="G17" s="2" t="s">
        <v>47</v>
      </c>
      <c r="H17" s="2">
        <v>100</v>
      </c>
      <c r="I17" s="156" t="s">
        <v>84</v>
      </c>
      <c r="J17" s="16" t="s">
        <v>49</v>
      </c>
      <c r="K17" s="16" t="s">
        <v>50</v>
      </c>
      <c r="L17" s="2" t="s">
        <v>51</v>
      </c>
      <c r="M17" s="2" t="s">
        <v>51</v>
      </c>
      <c r="N17" s="2" t="s">
        <v>60</v>
      </c>
      <c r="O17" s="103" t="s">
        <v>56</v>
      </c>
      <c r="P17" s="104">
        <v>0.53125</v>
      </c>
      <c r="Q17" s="100">
        <v>45323</v>
      </c>
      <c r="R17" s="56">
        <f>630.284
*H17/1000</f>
        <v>63.028400000000005</v>
      </c>
      <c r="S17" s="52">
        <f t="shared" si="0"/>
        <v>43.572000000000003</v>
      </c>
      <c r="T17" s="36">
        <f t="shared" si="1"/>
        <v>19.456400000000002</v>
      </c>
      <c r="U17" s="1">
        <f t="shared" si="2"/>
        <v>0.3086925893724099</v>
      </c>
      <c r="V17" s="20">
        <v>98</v>
      </c>
      <c r="W17" s="20">
        <v>66</v>
      </c>
      <c r="X17" s="20">
        <v>3</v>
      </c>
      <c r="Y17" s="20">
        <v>0</v>
      </c>
      <c r="Z17" s="20">
        <f t="shared" si="3"/>
        <v>167</v>
      </c>
      <c r="AA17" s="20">
        <v>15.750999999999999</v>
      </c>
      <c r="AB17" s="20">
        <v>22.260999999999999</v>
      </c>
      <c r="AC17" s="20">
        <v>5.56</v>
      </c>
      <c r="AD17" s="20">
        <v>0</v>
      </c>
      <c r="AE17" s="20">
        <f t="shared" si="4"/>
        <v>43.572000000000003</v>
      </c>
      <c r="AF17" s="11">
        <v>6</v>
      </c>
      <c r="AG17" s="27">
        <v>7.915570357</v>
      </c>
      <c r="AH17" s="11">
        <v>2</v>
      </c>
      <c r="AI17" s="27">
        <v>0.96465966700000005</v>
      </c>
      <c r="AJ17" s="11">
        <v>0</v>
      </c>
      <c r="AK17" s="27">
        <v>0</v>
      </c>
      <c r="AL17" s="11">
        <v>0</v>
      </c>
      <c r="AM17" s="27">
        <v>0</v>
      </c>
      <c r="AN17" s="11">
        <v>0</v>
      </c>
      <c r="AO17" s="27">
        <v>0</v>
      </c>
      <c r="AP17" s="27">
        <f t="shared" si="5"/>
        <v>8.8802300239999994</v>
      </c>
      <c r="AQ17" s="37">
        <f t="shared" si="6"/>
        <v>10.576169976000003</v>
      </c>
      <c r="AR17" s="116" t="str">
        <f t="shared" si="7"/>
        <v>Inspecciones</v>
      </c>
      <c r="AS17" s="16"/>
    </row>
    <row r="18" spans="2:45" hidden="1" x14ac:dyDescent="0.25">
      <c r="B18" s="2">
        <v>15</v>
      </c>
      <c r="C18" s="2" t="s">
        <v>140</v>
      </c>
      <c r="D18" s="110">
        <v>45348</v>
      </c>
      <c r="E18" s="101" t="s">
        <v>66</v>
      </c>
      <c r="F18" s="2">
        <v>8097</v>
      </c>
      <c r="G18" s="2" t="s">
        <v>47</v>
      </c>
      <c r="H18" s="2">
        <v>300</v>
      </c>
      <c r="I18" s="156" t="s">
        <v>141</v>
      </c>
      <c r="J18" s="16" t="s">
        <v>68</v>
      </c>
      <c r="K18" s="16" t="s">
        <v>56</v>
      </c>
      <c r="L18" s="2" t="s">
        <v>51</v>
      </c>
      <c r="M18" s="2" t="s">
        <v>51</v>
      </c>
      <c r="N18" s="2" t="s">
        <v>51</v>
      </c>
      <c r="O18" s="103" t="s">
        <v>56</v>
      </c>
      <c r="P18" s="104">
        <v>0.70833333333333337</v>
      </c>
      <c r="Q18" s="100">
        <v>45352</v>
      </c>
      <c r="R18" s="56">
        <f>237.9055
*H15/1000</f>
        <v>23.79055</v>
      </c>
      <c r="S18" s="52">
        <f t="shared" si="0"/>
        <v>4.8659999999999997</v>
      </c>
      <c r="T18" s="36">
        <f t="shared" si="1"/>
        <v>18.92455</v>
      </c>
      <c r="U18" s="1">
        <f t="shared" si="2"/>
        <v>0.79546500606333193</v>
      </c>
      <c r="V18" s="20">
        <v>4</v>
      </c>
      <c r="W18" s="20">
        <v>7</v>
      </c>
      <c r="X18" s="20">
        <v>3</v>
      </c>
      <c r="Y18" s="20">
        <v>0</v>
      </c>
      <c r="Z18" s="20">
        <f t="shared" si="3"/>
        <v>14</v>
      </c>
      <c r="AA18" s="20">
        <v>0.10299999999999999</v>
      </c>
      <c r="AB18" s="20">
        <v>4.6829999999999998</v>
      </c>
      <c r="AC18" s="20">
        <v>0.08</v>
      </c>
      <c r="AD18" s="20">
        <v>0</v>
      </c>
      <c r="AE18" s="20">
        <f t="shared" si="4"/>
        <v>4.8659999999999997</v>
      </c>
      <c r="AF18" s="11">
        <v>6</v>
      </c>
      <c r="AG18" s="27">
        <v>1.7413266510000001</v>
      </c>
      <c r="AH18" s="11">
        <v>3</v>
      </c>
      <c r="AI18" s="27">
        <v>2.4493720589999999</v>
      </c>
      <c r="AJ18" s="11">
        <v>1</v>
      </c>
      <c r="AK18" s="27">
        <v>4.0710499999999996</v>
      </c>
      <c r="AL18" s="11">
        <v>7</v>
      </c>
      <c r="AM18" s="27">
        <v>8.7124013890000001</v>
      </c>
      <c r="AN18" s="11">
        <v>0</v>
      </c>
      <c r="AO18" s="27">
        <v>0</v>
      </c>
      <c r="AP18" s="27">
        <f t="shared" si="5"/>
        <v>16.974150098999999</v>
      </c>
      <c r="AQ18" s="37">
        <f t="shared" si="6"/>
        <v>1.9503999010000008</v>
      </c>
      <c r="AR18" s="116" t="str">
        <f t="shared" si="7"/>
        <v>Inspecciones</v>
      </c>
      <c r="AS18" s="16"/>
    </row>
    <row r="19" spans="2:45" hidden="1" x14ac:dyDescent="0.25">
      <c r="B19" s="2">
        <v>16</v>
      </c>
      <c r="C19" s="2" t="s">
        <v>45</v>
      </c>
      <c r="D19" s="110">
        <v>45349</v>
      </c>
      <c r="E19" s="101" t="s">
        <v>46</v>
      </c>
      <c r="F19" s="2">
        <v>6843</v>
      </c>
      <c r="G19" s="2" t="s">
        <v>47</v>
      </c>
      <c r="H19" s="2">
        <v>200</v>
      </c>
      <c r="I19" s="156" t="s">
        <v>48</v>
      </c>
      <c r="J19" s="16" t="s">
        <v>49</v>
      </c>
      <c r="K19" s="16" t="s">
        <v>50</v>
      </c>
      <c r="L19" s="2" t="s">
        <v>51</v>
      </c>
      <c r="M19" s="2" t="s">
        <v>51</v>
      </c>
      <c r="N19" s="2" t="s">
        <v>51</v>
      </c>
      <c r="O19" s="103" t="s">
        <v>298</v>
      </c>
      <c r="P19" s="104">
        <v>0.84375</v>
      </c>
      <c r="Q19" s="100">
        <v>45352</v>
      </c>
      <c r="R19" s="56">
        <f>626.0035
*H19/1000</f>
        <v>125.20070000000001</v>
      </c>
      <c r="S19" s="52">
        <f t="shared" si="0"/>
        <v>14.589</v>
      </c>
      <c r="T19" s="36">
        <f t="shared" si="1"/>
        <v>110.61170000000001</v>
      </c>
      <c r="U19" s="1">
        <f t="shared" si="2"/>
        <v>0.883475092391656</v>
      </c>
      <c r="V19" s="20">
        <v>255</v>
      </c>
      <c r="W19" s="20">
        <v>16</v>
      </c>
      <c r="X19" s="20">
        <v>0</v>
      </c>
      <c r="Y19" s="20">
        <v>0</v>
      </c>
      <c r="Z19" s="20">
        <f t="shared" si="3"/>
        <v>271</v>
      </c>
      <c r="AA19" s="20">
        <v>13.291</v>
      </c>
      <c r="AB19" s="20">
        <v>1.298</v>
      </c>
      <c r="AC19" s="20">
        <v>0</v>
      </c>
      <c r="AD19" s="20">
        <v>0</v>
      </c>
      <c r="AE19" s="20">
        <f t="shared" si="4"/>
        <v>14.589</v>
      </c>
      <c r="AF19" s="11">
        <v>17</v>
      </c>
      <c r="AG19" s="27">
        <v>3.0550312509999999</v>
      </c>
      <c r="AH19" s="11">
        <v>0</v>
      </c>
      <c r="AI19" s="27">
        <v>0</v>
      </c>
      <c r="AJ19" s="11">
        <v>4</v>
      </c>
      <c r="AK19" s="27">
        <v>4.3905788890000004</v>
      </c>
      <c r="AL19" s="11">
        <v>9</v>
      </c>
      <c r="AM19" s="27">
        <v>11.879459219999999</v>
      </c>
      <c r="AN19" s="11">
        <v>1</v>
      </c>
      <c r="AO19" s="27">
        <v>1.6701999999999999</v>
      </c>
      <c r="AP19" s="27">
        <f t="shared" si="5"/>
        <v>20.995269360000002</v>
      </c>
      <c r="AQ19" s="37">
        <f t="shared" si="6"/>
        <v>89.616430640000004</v>
      </c>
      <c r="AR19" s="116" t="str">
        <f t="shared" si="7"/>
        <v>Inspecciones</v>
      </c>
      <c r="AS19" s="16"/>
    </row>
    <row r="20" spans="2:45" hidden="1" x14ac:dyDescent="0.25">
      <c r="B20" s="2">
        <v>17</v>
      </c>
      <c r="C20" s="2" t="s">
        <v>65</v>
      </c>
      <c r="D20" s="110">
        <v>45349</v>
      </c>
      <c r="E20" s="101" t="s">
        <v>66</v>
      </c>
      <c r="F20" s="2">
        <v>8099</v>
      </c>
      <c r="G20" s="2" t="s">
        <v>47</v>
      </c>
      <c r="H20" s="2">
        <v>100</v>
      </c>
      <c r="I20" s="156" t="s">
        <v>67</v>
      </c>
      <c r="J20" s="16" t="s">
        <v>68</v>
      </c>
      <c r="K20" s="16" t="s">
        <v>50</v>
      </c>
      <c r="L20" s="2" t="s">
        <v>51</v>
      </c>
      <c r="M20" s="2" t="s">
        <v>51</v>
      </c>
      <c r="N20" s="2" t="s">
        <v>51</v>
      </c>
      <c r="O20" s="103" t="s">
        <v>52</v>
      </c>
      <c r="P20" s="104">
        <v>0.85416666666666663</v>
      </c>
      <c r="Q20" s="100">
        <v>45352</v>
      </c>
      <c r="R20" s="56">
        <f>621.1443
*H20/1000</f>
        <v>62.114430000000006</v>
      </c>
      <c r="S20" s="52">
        <f t="shared" si="0"/>
        <v>53.002000000000002</v>
      </c>
      <c r="T20" s="36">
        <f t="shared" si="1"/>
        <v>9.1124300000000034</v>
      </c>
      <c r="U20" s="1">
        <f t="shared" si="2"/>
        <v>0.14670391405024569</v>
      </c>
      <c r="V20" s="20">
        <v>204</v>
      </c>
      <c r="W20" s="20">
        <v>77</v>
      </c>
      <c r="X20" s="20">
        <v>2</v>
      </c>
      <c r="Y20" s="20">
        <v>0</v>
      </c>
      <c r="Z20" s="20">
        <f t="shared" si="3"/>
        <v>283</v>
      </c>
      <c r="AA20" s="20">
        <v>33.597999999999999</v>
      </c>
      <c r="AB20" s="20">
        <v>17.443999999999999</v>
      </c>
      <c r="AC20" s="20">
        <v>1.96</v>
      </c>
      <c r="AD20" s="20">
        <v>0</v>
      </c>
      <c r="AE20" s="20">
        <f t="shared" si="4"/>
        <v>53.002000000000002</v>
      </c>
      <c r="AF20" s="11">
        <v>4</v>
      </c>
      <c r="AG20" s="27">
        <v>0.59440659299999998</v>
      </c>
      <c r="AH20" s="11">
        <v>0</v>
      </c>
      <c r="AI20" s="27">
        <v>0</v>
      </c>
      <c r="AJ20" s="11">
        <v>1</v>
      </c>
      <c r="AK20" s="27">
        <v>11.048999999999999</v>
      </c>
      <c r="AL20" s="11">
        <v>1</v>
      </c>
      <c r="AM20" s="27">
        <v>22.963200000000001</v>
      </c>
      <c r="AN20" s="11">
        <v>0</v>
      </c>
      <c r="AO20" s="27">
        <v>0</v>
      </c>
      <c r="AP20" s="27">
        <f t="shared" si="5"/>
        <v>34.606606593000002</v>
      </c>
      <c r="AQ20" s="37">
        <f t="shared" si="6"/>
        <v>-25.494176592999999</v>
      </c>
      <c r="AR20" s="116" t="str">
        <f t="shared" si="7"/>
        <v>Menores Compras</v>
      </c>
      <c r="AS20" s="16"/>
    </row>
    <row r="21" spans="2:45" hidden="1" x14ac:dyDescent="0.25">
      <c r="B21" s="2">
        <v>18</v>
      </c>
      <c r="C21" s="2" t="s">
        <v>102</v>
      </c>
      <c r="D21" s="110">
        <v>45349</v>
      </c>
      <c r="E21" s="101" t="s">
        <v>46</v>
      </c>
      <c r="F21" s="2">
        <v>6799</v>
      </c>
      <c r="G21" s="2" t="s">
        <v>47</v>
      </c>
      <c r="H21" s="2">
        <v>100</v>
      </c>
      <c r="I21" s="156" t="s">
        <v>103</v>
      </c>
      <c r="J21" s="16" t="s">
        <v>49</v>
      </c>
      <c r="K21" s="16" t="s">
        <v>56</v>
      </c>
      <c r="L21" s="2" t="s">
        <v>51</v>
      </c>
      <c r="M21" s="2" t="s">
        <v>51</v>
      </c>
      <c r="N21" s="2" t="s">
        <v>51</v>
      </c>
      <c r="O21" s="103" t="s">
        <v>52</v>
      </c>
      <c r="P21" s="104">
        <v>0.89583333333333337</v>
      </c>
      <c r="Q21" s="100">
        <v>45352</v>
      </c>
      <c r="R21" s="56">
        <f>744.8996
*H21/1000</f>
        <v>74.489959999999996</v>
      </c>
      <c r="S21" s="52">
        <f t="shared" si="0"/>
        <v>62.075999999999993</v>
      </c>
      <c r="T21" s="36">
        <f t="shared" si="1"/>
        <v>12.413960000000003</v>
      </c>
      <c r="U21" s="1">
        <f t="shared" si="2"/>
        <v>0.16665279455110465</v>
      </c>
      <c r="V21" s="20">
        <v>202</v>
      </c>
      <c r="W21" s="20">
        <v>62</v>
      </c>
      <c r="X21" s="20">
        <v>1</v>
      </c>
      <c r="Y21" s="20">
        <v>0</v>
      </c>
      <c r="Z21" s="20">
        <f t="shared" si="3"/>
        <v>265</v>
      </c>
      <c r="AA21" s="20">
        <v>35.308999999999997</v>
      </c>
      <c r="AB21" s="20">
        <v>26.766999999999999</v>
      </c>
      <c r="AC21" s="20">
        <v>0</v>
      </c>
      <c r="AD21" s="20">
        <v>0</v>
      </c>
      <c r="AE21" s="20">
        <f t="shared" si="4"/>
        <v>62.075999999999993</v>
      </c>
      <c r="AF21" s="11">
        <v>9</v>
      </c>
      <c r="AG21" s="27">
        <v>0.11514103000000001</v>
      </c>
      <c r="AH21" s="11">
        <v>0</v>
      </c>
      <c r="AI21" s="27">
        <v>0</v>
      </c>
      <c r="AJ21" s="11">
        <v>4</v>
      </c>
      <c r="AK21" s="27">
        <v>21.417516670000001</v>
      </c>
      <c r="AL21" s="11">
        <v>8</v>
      </c>
      <c r="AM21" s="27">
        <v>18.46692037</v>
      </c>
      <c r="AN21" s="11">
        <v>0</v>
      </c>
      <c r="AO21" s="27">
        <v>0</v>
      </c>
      <c r="AP21" s="27">
        <f t="shared" si="5"/>
        <v>39.999578069999998</v>
      </c>
      <c r="AQ21" s="37">
        <f t="shared" si="6"/>
        <v>-27.585618069999995</v>
      </c>
      <c r="AR21" s="116" t="str">
        <f t="shared" si="7"/>
        <v>Menores Compras</v>
      </c>
      <c r="AS21" s="16"/>
    </row>
    <row r="22" spans="2:45" hidden="1" x14ac:dyDescent="0.25">
      <c r="B22" s="2">
        <v>19</v>
      </c>
      <c r="C22" s="2" t="s">
        <v>132</v>
      </c>
      <c r="D22" s="110">
        <v>45349</v>
      </c>
      <c r="E22" s="101" t="s">
        <v>66</v>
      </c>
      <c r="F22" s="2">
        <v>8091</v>
      </c>
      <c r="G22" s="2" t="s">
        <v>47</v>
      </c>
      <c r="H22" s="2">
        <v>100</v>
      </c>
      <c r="I22" s="156" t="s">
        <v>133</v>
      </c>
      <c r="J22" s="16" t="s">
        <v>68</v>
      </c>
      <c r="K22" s="16" t="s">
        <v>50</v>
      </c>
      <c r="L22" s="2" t="s">
        <v>51</v>
      </c>
      <c r="M22" s="2" t="s">
        <v>51</v>
      </c>
      <c r="N22" s="2" t="s">
        <v>51</v>
      </c>
      <c r="O22" s="103" t="s">
        <v>303</v>
      </c>
      <c r="P22" s="104">
        <v>0.83333333333333337</v>
      </c>
      <c r="Q22" s="100">
        <v>45352</v>
      </c>
      <c r="R22" s="56">
        <f>449.6506
*H22/1000</f>
        <v>44.965060000000001</v>
      </c>
      <c r="S22" s="52">
        <f t="shared" si="0"/>
        <v>40.78</v>
      </c>
      <c r="T22" s="36">
        <f t="shared" si="1"/>
        <v>4.18506</v>
      </c>
      <c r="U22" s="1">
        <f t="shared" si="2"/>
        <v>9.3073599812832447E-2</v>
      </c>
      <c r="V22" s="20">
        <v>124</v>
      </c>
      <c r="W22" s="20">
        <v>35</v>
      </c>
      <c r="X22" s="20">
        <v>3</v>
      </c>
      <c r="Y22" s="20">
        <v>0</v>
      </c>
      <c r="Z22" s="20">
        <f t="shared" si="3"/>
        <v>162</v>
      </c>
      <c r="AA22" s="20">
        <v>15.863</v>
      </c>
      <c r="AB22" s="20">
        <v>12.457000000000001</v>
      </c>
      <c r="AC22" s="20">
        <v>12.46</v>
      </c>
      <c r="AD22" s="20">
        <v>0</v>
      </c>
      <c r="AE22" s="20">
        <f t="shared" si="4"/>
        <v>40.78</v>
      </c>
      <c r="AF22" s="11">
        <v>11</v>
      </c>
      <c r="AG22" s="27">
        <v>0.115678028</v>
      </c>
      <c r="AH22" s="11">
        <v>0</v>
      </c>
      <c r="AI22" s="27">
        <v>0</v>
      </c>
      <c r="AJ22" s="11">
        <v>1</v>
      </c>
      <c r="AK22" s="27">
        <v>7.8202666670000003</v>
      </c>
      <c r="AL22" s="11">
        <v>4</v>
      </c>
      <c r="AM22" s="27">
        <v>10.280200000000001</v>
      </c>
      <c r="AN22" s="11">
        <v>1</v>
      </c>
      <c r="AO22" s="27">
        <v>10.099733329999999</v>
      </c>
      <c r="AP22" s="27">
        <f t="shared" si="5"/>
        <v>28.315878025</v>
      </c>
      <c r="AQ22" s="37">
        <f t="shared" si="6"/>
        <v>-24.130818025</v>
      </c>
      <c r="AR22" s="116" t="str">
        <f t="shared" si="7"/>
        <v>Menores Compras</v>
      </c>
      <c r="AS22" s="16"/>
    </row>
    <row r="23" spans="2:45" hidden="1" x14ac:dyDescent="0.25">
      <c r="B23" s="2">
        <v>20</v>
      </c>
      <c r="C23" s="2" t="s">
        <v>69</v>
      </c>
      <c r="D23" s="110">
        <v>45350</v>
      </c>
      <c r="E23" s="101" t="s">
        <v>70</v>
      </c>
      <c r="F23" s="2">
        <v>8163</v>
      </c>
      <c r="G23" s="2" t="s">
        <v>47</v>
      </c>
      <c r="H23" s="2">
        <v>300</v>
      </c>
      <c r="I23" s="156" t="s">
        <v>71</v>
      </c>
      <c r="J23" s="16" t="s">
        <v>49</v>
      </c>
      <c r="K23" s="16" t="s">
        <v>56</v>
      </c>
      <c r="L23" s="2" t="s">
        <v>51</v>
      </c>
      <c r="M23" s="2" t="s">
        <v>51</v>
      </c>
      <c r="N23" s="2" t="s">
        <v>51</v>
      </c>
      <c r="O23" s="103" t="s">
        <v>56</v>
      </c>
      <c r="P23" s="104">
        <v>0.51041666666666663</v>
      </c>
      <c r="Q23" s="100">
        <v>45352</v>
      </c>
      <c r="R23" s="56">
        <f>165.3143
*H23/1000</f>
        <v>49.594290000000001</v>
      </c>
      <c r="S23" s="52">
        <f t="shared" si="0"/>
        <v>56.215000000000003</v>
      </c>
      <c r="T23" s="36">
        <f t="shared" si="1"/>
        <v>-6.6207100000000025</v>
      </c>
      <c r="U23" s="1">
        <f t="shared" si="2"/>
        <v>-0.13349742480434748</v>
      </c>
      <c r="V23" s="20">
        <v>6</v>
      </c>
      <c r="W23" s="20">
        <v>38</v>
      </c>
      <c r="X23" s="20">
        <v>5</v>
      </c>
      <c r="Y23" s="20">
        <v>3</v>
      </c>
      <c r="Z23" s="20">
        <f t="shared" si="3"/>
        <v>52</v>
      </c>
      <c r="AA23" s="20">
        <v>0.88</v>
      </c>
      <c r="AB23" s="20">
        <v>28.167999999999999</v>
      </c>
      <c r="AC23" s="20">
        <v>18.14</v>
      </c>
      <c r="AD23" s="20">
        <v>9.0269999999999992</v>
      </c>
      <c r="AE23" s="20">
        <f t="shared" si="4"/>
        <v>56.215000000000003</v>
      </c>
      <c r="AF23" s="11">
        <v>2</v>
      </c>
      <c r="AG23" s="27">
        <v>0.96706666699999999</v>
      </c>
      <c r="AH23" s="11">
        <v>0</v>
      </c>
      <c r="AI23" s="27">
        <v>0</v>
      </c>
      <c r="AJ23" s="11">
        <v>0</v>
      </c>
      <c r="AK23" s="27">
        <v>0</v>
      </c>
      <c r="AL23" s="11">
        <v>0</v>
      </c>
      <c r="AM23" s="27">
        <v>0</v>
      </c>
      <c r="AN23" s="11">
        <v>0</v>
      </c>
      <c r="AO23" s="27">
        <v>0</v>
      </c>
      <c r="AP23" s="27">
        <f t="shared" si="5"/>
        <v>0.96706666699999999</v>
      </c>
      <c r="AQ23" s="37">
        <f t="shared" si="6"/>
        <v>-7.5877766670000026</v>
      </c>
      <c r="AR23" s="116" t="str">
        <f t="shared" si="7"/>
        <v>Menores Compras</v>
      </c>
      <c r="AS23" s="16"/>
    </row>
    <row r="24" spans="2:45" hidden="1" x14ac:dyDescent="0.25">
      <c r="B24" s="2">
        <v>21</v>
      </c>
      <c r="C24" s="2" t="s">
        <v>75</v>
      </c>
      <c r="D24" s="110">
        <v>45350</v>
      </c>
      <c r="E24" s="101" t="s">
        <v>54</v>
      </c>
      <c r="F24" s="2">
        <v>8095</v>
      </c>
      <c r="G24" s="2" t="s">
        <v>47</v>
      </c>
      <c r="H24" s="2">
        <v>200</v>
      </c>
      <c r="I24" s="156" t="s">
        <v>76</v>
      </c>
      <c r="J24" s="16" t="s">
        <v>68</v>
      </c>
      <c r="K24" s="16" t="s">
        <v>56</v>
      </c>
      <c r="L24" s="2" t="s">
        <v>51</v>
      </c>
      <c r="M24" s="2" t="s">
        <v>51</v>
      </c>
      <c r="N24" s="2" t="s">
        <v>51</v>
      </c>
      <c r="O24" s="103" t="s">
        <v>56</v>
      </c>
      <c r="P24" s="104">
        <v>0.47916666666666669</v>
      </c>
      <c r="Q24" s="100">
        <v>45352</v>
      </c>
      <c r="R24" s="56">
        <f>193.6671
*H24/1000</f>
        <v>38.733419999999995</v>
      </c>
      <c r="S24" s="52">
        <f t="shared" si="0"/>
        <v>24.32</v>
      </c>
      <c r="T24" s="36">
        <f t="shared" si="1"/>
        <v>14.413419999999995</v>
      </c>
      <c r="U24" s="1">
        <f t="shared" si="2"/>
        <v>0.37211844448540815</v>
      </c>
      <c r="V24" s="20">
        <v>35</v>
      </c>
      <c r="W24" s="20">
        <v>36</v>
      </c>
      <c r="X24" s="20">
        <v>5</v>
      </c>
      <c r="Y24" s="20">
        <v>0</v>
      </c>
      <c r="Z24" s="20">
        <f t="shared" si="3"/>
        <v>76</v>
      </c>
      <c r="AA24" s="20">
        <v>3.5379999999999998</v>
      </c>
      <c r="AB24" s="20">
        <v>11.802</v>
      </c>
      <c r="AC24" s="20">
        <v>8.98</v>
      </c>
      <c r="AD24" s="20">
        <v>0</v>
      </c>
      <c r="AE24" s="20">
        <f t="shared" si="4"/>
        <v>24.32</v>
      </c>
      <c r="AF24" s="11">
        <v>6</v>
      </c>
      <c r="AG24" s="27">
        <v>0.232732838</v>
      </c>
      <c r="AH24" s="11">
        <v>2</v>
      </c>
      <c r="AI24" s="27">
        <v>3.3893125</v>
      </c>
      <c r="AJ24" s="11">
        <v>2</v>
      </c>
      <c r="AK24" s="27">
        <v>4.9359583330000003</v>
      </c>
      <c r="AL24" s="11">
        <v>2</v>
      </c>
      <c r="AM24" s="27">
        <v>13.43219167</v>
      </c>
      <c r="AN24" s="11">
        <v>0</v>
      </c>
      <c r="AO24" s="27">
        <v>0</v>
      </c>
      <c r="AP24" s="27">
        <f t="shared" si="5"/>
        <v>21.990195341</v>
      </c>
      <c r="AQ24" s="37">
        <f t="shared" si="6"/>
        <v>-7.5767753410000047</v>
      </c>
      <c r="AR24" s="116" t="str">
        <f t="shared" si="7"/>
        <v>Menores Compras</v>
      </c>
      <c r="AS24" s="16"/>
    </row>
    <row r="25" spans="2:45" hidden="1" x14ac:dyDescent="0.25">
      <c r="B25" s="2">
        <v>22</v>
      </c>
      <c r="C25" s="2" t="s">
        <v>97</v>
      </c>
      <c r="D25" s="110">
        <v>45350</v>
      </c>
      <c r="E25" s="101" t="s">
        <v>70</v>
      </c>
      <c r="F25" s="2">
        <v>6800</v>
      </c>
      <c r="G25" s="2" t="s">
        <v>47</v>
      </c>
      <c r="H25" s="2">
        <v>100</v>
      </c>
      <c r="I25" s="156" t="s">
        <v>98</v>
      </c>
      <c r="J25" s="16" t="s">
        <v>49</v>
      </c>
      <c r="K25" s="16" t="s">
        <v>56</v>
      </c>
      <c r="L25" s="2" t="s">
        <v>51</v>
      </c>
      <c r="M25" s="2" t="s">
        <v>51</v>
      </c>
      <c r="N25" s="2" t="s">
        <v>51</v>
      </c>
      <c r="O25" s="103" t="s">
        <v>56</v>
      </c>
      <c r="P25" s="104">
        <v>0.47916666666666669</v>
      </c>
      <c r="Q25" s="100">
        <v>45352</v>
      </c>
      <c r="R25" s="56">
        <f>319.0951
*H25/1000</f>
        <v>31.909510000000001</v>
      </c>
      <c r="S25" s="52">
        <f t="shared" si="0"/>
        <v>25.333000000000002</v>
      </c>
      <c r="T25" s="36">
        <f t="shared" si="1"/>
        <v>6.576509999999999</v>
      </c>
      <c r="U25" s="1">
        <f t="shared" si="2"/>
        <v>0.20609874611048551</v>
      </c>
      <c r="V25" s="20">
        <v>6</v>
      </c>
      <c r="W25" s="20">
        <v>8</v>
      </c>
      <c r="X25" s="20">
        <v>3</v>
      </c>
      <c r="Y25" s="20">
        <v>1</v>
      </c>
      <c r="Z25" s="20">
        <f t="shared" si="3"/>
        <v>18</v>
      </c>
      <c r="AA25" s="20">
        <v>2.0379999999999998</v>
      </c>
      <c r="AB25" s="20">
        <v>2.9159999999999999</v>
      </c>
      <c r="AC25" s="20">
        <v>15.16</v>
      </c>
      <c r="AD25" s="20">
        <v>5.2190000000000003</v>
      </c>
      <c r="AE25" s="20">
        <f t="shared" si="4"/>
        <v>25.333000000000002</v>
      </c>
      <c r="AF25" s="11">
        <v>2</v>
      </c>
      <c r="AG25" s="27">
        <v>5.4614083000000001E-2</v>
      </c>
      <c r="AH25" s="11">
        <v>1</v>
      </c>
      <c r="AI25" s="27">
        <v>30.148183329999998</v>
      </c>
      <c r="AJ25" s="11">
        <v>0</v>
      </c>
      <c r="AK25" s="27">
        <v>0</v>
      </c>
      <c r="AL25" s="11">
        <v>2</v>
      </c>
      <c r="AM25" s="27">
        <v>6.3062083329999998</v>
      </c>
      <c r="AN25" s="11">
        <v>0</v>
      </c>
      <c r="AO25" s="27">
        <v>0</v>
      </c>
      <c r="AP25" s="27">
        <f t="shared" si="5"/>
        <v>36.509005746</v>
      </c>
      <c r="AQ25" s="37">
        <f t="shared" si="6"/>
        <v>-29.932495746000001</v>
      </c>
      <c r="AR25" s="116" t="str">
        <f t="shared" si="7"/>
        <v>Menores Compras</v>
      </c>
      <c r="AS25" s="16"/>
    </row>
    <row r="26" spans="2:45" hidden="1" x14ac:dyDescent="0.25">
      <c r="B26" s="2">
        <v>23</v>
      </c>
      <c r="C26" s="2" t="s">
        <v>130</v>
      </c>
      <c r="D26" s="110">
        <v>45350</v>
      </c>
      <c r="E26" s="101" t="s">
        <v>66</v>
      </c>
      <c r="F26" s="2">
        <v>8098</v>
      </c>
      <c r="G26" s="2" t="s">
        <v>47</v>
      </c>
      <c r="H26" s="2">
        <v>200</v>
      </c>
      <c r="I26" s="156" t="s">
        <v>131</v>
      </c>
      <c r="J26" s="16" t="s">
        <v>68</v>
      </c>
      <c r="K26" s="16" t="s">
        <v>56</v>
      </c>
      <c r="L26" s="2" t="s">
        <v>51</v>
      </c>
      <c r="M26" s="2" t="s">
        <v>51</v>
      </c>
      <c r="N26" s="2" t="s">
        <v>51</v>
      </c>
      <c r="O26" s="103" t="s">
        <v>56</v>
      </c>
      <c r="P26" s="104">
        <v>0.53125</v>
      </c>
      <c r="Q26" s="100">
        <v>45352</v>
      </c>
      <c r="R26" s="56">
        <f>434.9486
*H23/1000</f>
        <v>130.48457999999999</v>
      </c>
      <c r="S26" s="52">
        <f t="shared" si="0"/>
        <v>12.18</v>
      </c>
      <c r="T26" s="36">
        <f t="shared" si="1"/>
        <v>118.30457999999999</v>
      </c>
      <c r="U26" s="1">
        <f t="shared" si="2"/>
        <v>0.9066556370109019</v>
      </c>
      <c r="V26" s="20">
        <v>1</v>
      </c>
      <c r="W26" s="20">
        <v>0</v>
      </c>
      <c r="X26" s="20">
        <v>0</v>
      </c>
      <c r="Y26" s="20">
        <v>1</v>
      </c>
      <c r="Z26" s="20">
        <f t="shared" si="3"/>
        <v>2</v>
      </c>
      <c r="AA26" s="20">
        <v>1.7000000000000001E-2</v>
      </c>
      <c r="AB26" s="20">
        <v>0</v>
      </c>
      <c r="AC26" s="20">
        <v>0</v>
      </c>
      <c r="AD26" s="20">
        <v>12.163</v>
      </c>
      <c r="AE26" s="20">
        <f t="shared" si="4"/>
        <v>12.18</v>
      </c>
      <c r="AF26" s="11">
        <v>0</v>
      </c>
      <c r="AG26" s="27">
        <v>0</v>
      </c>
      <c r="AH26" s="11">
        <v>0</v>
      </c>
      <c r="AI26" s="27">
        <v>0</v>
      </c>
      <c r="AJ26" s="11">
        <v>0</v>
      </c>
      <c r="AK26" s="27">
        <v>0</v>
      </c>
      <c r="AL26" s="11">
        <v>1</v>
      </c>
      <c r="AM26" s="27">
        <v>52.661000000000001</v>
      </c>
      <c r="AN26" s="11">
        <v>0</v>
      </c>
      <c r="AO26" s="27">
        <v>0</v>
      </c>
      <c r="AP26" s="27">
        <f t="shared" si="5"/>
        <v>52.661000000000001</v>
      </c>
      <c r="AQ26" s="37">
        <f t="shared" si="6"/>
        <v>65.643579999999986</v>
      </c>
      <c r="AR26" s="116" t="str">
        <f t="shared" si="7"/>
        <v>Inspecciones</v>
      </c>
      <c r="AS26" s="16"/>
    </row>
    <row r="27" spans="2:45" hidden="1" x14ac:dyDescent="0.25">
      <c r="B27" s="2">
        <v>24</v>
      </c>
      <c r="C27" s="2" t="s">
        <v>101</v>
      </c>
      <c r="D27" s="110">
        <v>45351</v>
      </c>
      <c r="E27" s="101" t="s">
        <v>66</v>
      </c>
      <c r="F27" s="2">
        <v>8137</v>
      </c>
      <c r="G27" s="2" t="s">
        <v>47</v>
      </c>
      <c r="H27" s="2">
        <v>100</v>
      </c>
      <c r="I27" s="156" t="s">
        <v>207</v>
      </c>
      <c r="J27" s="16" t="s">
        <v>68</v>
      </c>
      <c r="K27" s="16" t="s">
        <v>50</v>
      </c>
      <c r="L27" s="2" t="s">
        <v>51</v>
      </c>
      <c r="M27" s="2" t="s">
        <v>51</v>
      </c>
      <c r="N27" s="2" t="s">
        <v>51</v>
      </c>
      <c r="O27" s="103" t="s">
        <v>303</v>
      </c>
      <c r="P27" s="104">
        <v>0.90625</v>
      </c>
      <c r="Q27" s="100">
        <v>45352</v>
      </c>
      <c r="R27" s="56">
        <f>66.1795
*H27/1000</f>
        <v>6.6179500000000004</v>
      </c>
      <c r="S27" s="52">
        <f t="shared" si="0"/>
        <v>1.8640000000000001</v>
      </c>
      <c r="T27" s="36">
        <f t="shared" si="1"/>
        <v>4.7539500000000006</v>
      </c>
      <c r="U27" s="1">
        <f t="shared" si="2"/>
        <v>0.71834178257617542</v>
      </c>
      <c r="V27" s="20">
        <v>16</v>
      </c>
      <c r="W27" s="20">
        <v>3</v>
      </c>
      <c r="X27" s="20">
        <v>1</v>
      </c>
      <c r="Y27" s="20">
        <v>0</v>
      </c>
      <c r="Z27" s="20">
        <f t="shared" si="3"/>
        <v>20</v>
      </c>
      <c r="AA27" s="20">
        <v>1.4810000000000001</v>
      </c>
      <c r="AB27" s="20">
        <v>0.38300000000000001</v>
      </c>
      <c r="AC27" s="20">
        <v>0</v>
      </c>
      <c r="AD27" s="20">
        <v>0</v>
      </c>
      <c r="AE27" s="20">
        <f t="shared" si="4"/>
        <v>1.8640000000000001</v>
      </c>
      <c r="AF27" s="11">
        <v>0</v>
      </c>
      <c r="AG27" s="27">
        <v>0</v>
      </c>
      <c r="AH27" s="11">
        <v>1</v>
      </c>
      <c r="AI27" s="27">
        <v>8.1091925000000007</v>
      </c>
      <c r="AJ27" s="11">
        <v>1</v>
      </c>
      <c r="AK27" s="27">
        <v>80.882783329999995</v>
      </c>
      <c r="AL27" s="11">
        <v>0</v>
      </c>
      <c r="AM27" s="27">
        <v>0</v>
      </c>
      <c r="AN27" s="11">
        <v>0</v>
      </c>
      <c r="AO27" s="27">
        <v>0</v>
      </c>
      <c r="AP27" s="27">
        <f t="shared" si="5"/>
        <v>88.991975830000001</v>
      </c>
      <c r="AQ27" s="37">
        <f t="shared" si="6"/>
        <v>-84.238025829999998</v>
      </c>
      <c r="AR27" s="116" t="str">
        <f t="shared" si="7"/>
        <v>Menores Compras</v>
      </c>
      <c r="AS27" s="16"/>
    </row>
    <row r="28" spans="2:45" hidden="1" x14ac:dyDescent="0.25">
      <c r="B28" s="2">
        <v>25</v>
      </c>
      <c r="C28" s="2" t="s">
        <v>127</v>
      </c>
      <c r="D28" s="110">
        <v>45351</v>
      </c>
      <c r="E28" s="101" t="s">
        <v>54</v>
      </c>
      <c r="F28" s="2">
        <v>8122</v>
      </c>
      <c r="G28" s="2" t="s">
        <v>47</v>
      </c>
      <c r="H28" s="2">
        <v>100</v>
      </c>
      <c r="I28" s="156" t="s">
        <v>128</v>
      </c>
      <c r="J28" s="16" t="s">
        <v>68</v>
      </c>
      <c r="K28" s="16" t="s">
        <v>56</v>
      </c>
      <c r="L28" s="2" t="s">
        <v>51</v>
      </c>
      <c r="M28" s="2" t="s">
        <v>51</v>
      </c>
      <c r="N28" s="2" t="s">
        <v>51</v>
      </c>
      <c r="O28" s="103" t="s">
        <v>56</v>
      </c>
      <c r="P28" s="104">
        <v>0.40625</v>
      </c>
      <c r="Q28" s="100">
        <v>45352</v>
      </c>
      <c r="R28" s="56">
        <f>214.7026
*H28/1000</f>
        <v>21.47026</v>
      </c>
      <c r="S28" s="52">
        <f t="shared" si="0"/>
        <v>24.897000000000002</v>
      </c>
      <c r="T28" s="36">
        <f t="shared" si="1"/>
        <v>-3.4267400000000023</v>
      </c>
      <c r="U28" s="1">
        <f t="shared" si="2"/>
        <v>-0.15960402901501902</v>
      </c>
      <c r="V28" s="20">
        <v>27</v>
      </c>
      <c r="W28" s="20">
        <v>27</v>
      </c>
      <c r="X28" s="20">
        <v>2</v>
      </c>
      <c r="Y28" s="20">
        <v>1</v>
      </c>
      <c r="Z28" s="20">
        <f t="shared" si="3"/>
        <v>57</v>
      </c>
      <c r="AA28" s="20">
        <v>4.0640000000000001</v>
      </c>
      <c r="AB28" s="20">
        <v>6.9130000000000003</v>
      </c>
      <c r="AC28" s="20">
        <v>13.64</v>
      </c>
      <c r="AD28" s="20">
        <v>0.28000000000000003</v>
      </c>
      <c r="AE28" s="20">
        <f t="shared" si="4"/>
        <v>24.897000000000002</v>
      </c>
      <c r="AF28" s="11">
        <v>3</v>
      </c>
      <c r="AG28" s="27">
        <v>0.11528835799999999</v>
      </c>
      <c r="AH28" s="11">
        <v>1</v>
      </c>
      <c r="AI28" s="27">
        <v>6.5248733000000003E-2</v>
      </c>
      <c r="AJ28" s="11">
        <v>0</v>
      </c>
      <c r="AK28" s="27">
        <v>0</v>
      </c>
      <c r="AL28" s="11">
        <v>1</v>
      </c>
      <c r="AM28" s="27">
        <v>58.728999999999999</v>
      </c>
      <c r="AN28" s="11">
        <v>0</v>
      </c>
      <c r="AO28" s="27">
        <v>0</v>
      </c>
      <c r="AP28" s="27">
        <f t="shared" si="5"/>
        <v>58.909537090999997</v>
      </c>
      <c r="AQ28" s="37">
        <f t="shared" si="6"/>
        <v>-62.336277090999999</v>
      </c>
      <c r="AR28" s="116" t="str">
        <f t="shared" si="7"/>
        <v>Menores Compras</v>
      </c>
      <c r="AS28" s="16"/>
    </row>
    <row r="29" spans="2:45" hidden="1" x14ac:dyDescent="0.25">
      <c r="B29" s="2">
        <v>26</v>
      </c>
      <c r="C29" s="2" t="s">
        <v>134</v>
      </c>
      <c r="D29" s="110">
        <v>45351</v>
      </c>
      <c r="E29" s="101" t="s">
        <v>54</v>
      </c>
      <c r="F29" s="2">
        <v>6801</v>
      </c>
      <c r="G29" s="2" t="s">
        <v>47</v>
      </c>
      <c r="H29" s="2">
        <v>140</v>
      </c>
      <c r="I29" s="156" t="s">
        <v>135</v>
      </c>
      <c r="J29" s="16" t="s">
        <v>49</v>
      </c>
      <c r="K29" s="16" t="s">
        <v>50</v>
      </c>
      <c r="L29" s="2" t="s">
        <v>51</v>
      </c>
      <c r="M29" s="2" t="s">
        <v>51</v>
      </c>
      <c r="N29" s="2" t="s">
        <v>51</v>
      </c>
      <c r="O29" s="103" t="s">
        <v>298</v>
      </c>
      <c r="P29" s="104">
        <v>0.83333333333333337</v>
      </c>
      <c r="Q29" s="100">
        <v>45352</v>
      </c>
      <c r="R29" s="56">
        <f>386.9752
*H29/1000</f>
        <v>54.176527999999998</v>
      </c>
      <c r="S29" s="52">
        <f t="shared" si="0"/>
        <v>37.667000000000002</v>
      </c>
      <c r="T29" s="36">
        <f t="shared" si="1"/>
        <v>16.509527999999996</v>
      </c>
      <c r="U29" s="1">
        <f t="shared" si="2"/>
        <v>0.30473580735923123</v>
      </c>
      <c r="V29" s="20">
        <v>84</v>
      </c>
      <c r="W29" s="20">
        <v>44</v>
      </c>
      <c r="X29" s="20">
        <v>2</v>
      </c>
      <c r="Y29" s="20">
        <v>1</v>
      </c>
      <c r="Z29" s="20">
        <f t="shared" si="3"/>
        <v>131</v>
      </c>
      <c r="AA29" s="20">
        <v>12.664</v>
      </c>
      <c r="AB29" s="20">
        <v>15.677</v>
      </c>
      <c r="AC29" s="20">
        <v>9.32</v>
      </c>
      <c r="AD29" s="20">
        <v>6.0000000000000001E-3</v>
      </c>
      <c r="AE29" s="20">
        <f t="shared" si="4"/>
        <v>37.667000000000002</v>
      </c>
      <c r="AF29" s="11">
        <v>2</v>
      </c>
      <c r="AG29" s="27">
        <v>7.2961850000000004</v>
      </c>
      <c r="AH29" s="11">
        <v>1</v>
      </c>
      <c r="AI29" s="27">
        <v>1.01641</v>
      </c>
      <c r="AJ29" s="11">
        <v>0</v>
      </c>
      <c r="AK29" s="27">
        <v>0</v>
      </c>
      <c r="AL29" s="11">
        <v>3</v>
      </c>
      <c r="AM29" s="27">
        <v>11.8634</v>
      </c>
      <c r="AN29" s="11">
        <v>0</v>
      </c>
      <c r="AO29" s="27">
        <v>0</v>
      </c>
      <c r="AP29" s="27">
        <f t="shared" si="5"/>
        <v>20.175995</v>
      </c>
      <c r="AQ29" s="37">
        <f t="shared" si="6"/>
        <v>-3.6664670000000044</v>
      </c>
      <c r="AR29" s="116" t="str">
        <f t="shared" si="7"/>
        <v>Menores Compras</v>
      </c>
      <c r="AS29" s="16"/>
    </row>
    <row r="30" spans="2:45" hidden="1" x14ac:dyDescent="0.25">
      <c r="B30" s="2">
        <v>27</v>
      </c>
      <c r="C30" s="2" t="s">
        <v>88</v>
      </c>
      <c r="D30" s="110">
        <v>45352</v>
      </c>
      <c r="E30" s="101" t="s">
        <v>66</v>
      </c>
      <c r="F30" s="2">
        <v>8119</v>
      </c>
      <c r="G30" s="2" t="s">
        <v>47</v>
      </c>
      <c r="H30" s="2">
        <v>140</v>
      </c>
      <c r="I30" s="156" t="s">
        <v>89</v>
      </c>
      <c r="J30" s="16" t="s">
        <v>68</v>
      </c>
      <c r="K30" s="16" t="s">
        <v>50</v>
      </c>
      <c r="L30" s="2" t="s">
        <v>51</v>
      </c>
      <c r="M30" s="2" t="s">
        <v>51</v>
      </c>
      <c r="N30" s="2" t="s">
        <v>60</v>
      </c>
      <c r="O30" s="103" t="s">
        <v>303</v>
      </c>
      <c r="P30" s="104">
        <v>0.85416666666666663</v>
      </c>
      <c r="Q30" s="100">
        <v>45352</v>
      </c>
      <c r="R30" s="56">
        <f>147.2020667*H30/1000</f>
        <v>20.608289337999999</v>
      </c>
      <c r="S30" s="52">
        <f t="shared" si="0"/>
        <v>14.206</v>
      </c>
      <c r="T30" s="36">
        <f t="shared" si="1"/>
        <v>6.4022893379999992</v>
      </c>
      <c r="U30" s="1">
        <f t="shared" si="2"/>
        <v>0.31066573420990851</v>
      </c>
      <c r="V30" s="20">
        <v>38</v>
      </c>
      <c r="W30" s="20">
        <v>39</v>
      </c>
      <c r="X30" s="20">
        <v>2</v>
      </c>
      <c r="Y30" s="20">
        <v>0</v>
      </c>
      <c r="Z30" s="20">
        <f t="shared" si="3"/>
        <v>79</v>
      </c>
      <c r="AA30" s="20">
        <v>5.2439999999999998</v>
      </c>
      <c r="AB30" s="20">
        <v>8.6219999999999999</v>
      </c>
      <c r="AC30" s="20">
        <v>0.34</v>
      </c>
      <c r="AD30" s="20">
        <v>0</v>
      </c>
      <c r="AE30" s="20">
        <f t="shared" si="4"/>
        <v>14.206</v>
      </c>
      <c r="AF30" s="11">
        <v>5</v>
      </c>
      <c r="AG30" s="27">
        <v>4.9254836000000003E-2</v>
      </c>
      <c r="AH30" s="11">
        <v>0</v>
      </c>
      <c r="AI30" s="27">
        <v>0</v>
      </c>
      <c r="AJ30" s="11">
        <v>4</v>
      </c>
      <c r="AK30" s="27">
        <v>15.28926667</v>
      </c>
      <c r="AL30" s="11">
        <v>2</v>
      </c>
      <c r="AM30" s="27">
        <v>2.2128833330000002</v>
      </c>
      <c r="AN30" s="11">
        <v>0</v>
      </c>
      <c r="AO30" s="27">
        <v>0</v>
      </c>
      <c r="AP30" s="27">
        <f t="shared" si="5"/>
        <v>17.551404839</v>
      </c>
      <c r="AQ30" s="37">
        <f t="shared" si="6"/>
        <v>-11.149115501000001</v>
      </c>
      <c r="AR30" s="116" t="str">
        <f t="shared" si="7"/>
        <v>Menores Compras</v>
      </c>
      <c r="AS30" s="16"/>
    </row>
    <row r="31" spans="2:45" hidden="1" x14ac:dyDescent="0.25">
      <c r="B31" s="2">
        <v>28</v>
      </c>
      <c r="C31" s="2" t="s">
        <v>96</v>
      </c>
      <c r="D31" s="110">
        <v>45352</v>
      </c>
      <c r="E31" s="101" t="s">
        <v>93</v>
      </c>
      <c r="F31" s="2">
        <v>6822</v>
      </c>
      <c r="G31" s="2" t="s">
        <v>47</v>
      </c>
      <c r="H31" s="2">
        <v>100</v>
      </c>
      <c r="I31" s="156" t="s">
        <v>208</v>
      </c>
      <c r="J31" s="16" t="s">
        <v>49</v>
      </c>
      <c r="K31" s="16" t="s">
        <v>50</v>
      </c>
      <c r="L31" s="2" t="s">
        <v>51</v>
      </c>
      <c r="M31" s="2" t="s">
        <v>51</v>
      </c>
      <c r="N31" s="2" t="s">
        <v>51</v>
      </c>
      <c r="O31" s="103" t="s">
        <v>303</v>
      </c>
      <c r="P31" s="104">
        <v>0.84375</v>
      </c>
      <c r="Q31" s="100">
        <v>45352</v>
      </c>
      <c r="R31" s="56">
        <f>523.3376*H31/1000</f>
        <v>52.333759999999998</v>
      </c>
      <c r="S31" s="52">
        <f t="shared" si="0"/>
        <v>25.129000000000001</v>
      </c>
      <c r="T31" s="36">
        <f t="shared" si="1"/>
        <v>27.204759999999997</v>
      </c>
      <c r="U31" s="1">
        <f t="shared" si="2"/>
        <v>0.51983194022367207</v>
      </c>
      <c r="V31" s="20">
        <v>357</v>
      </c>
      <c r="W31" s="20">
        <v>27</v>
      </c>
      <c r="X31" s="20">
        <v>1</v>
      </c>
      <c r="Y31" s="20">
        <v>0</v>
      </c>
      <c r="Z31" s="20">
        <f t="shared" si="3"/>
        <v>385</v>
      </c>
      <c r="AA31" s="20">
        <v>21.719000000000001</v>
      </c>
      <c r="AB31" s="20">
        <v>2.27</v>
      </c>
      <c r="AC31" s="20">
        <v>1.1399999999999999</v>
      </c>
      <c r="AD31" s="20">
        <v>0</v>
      </c>
      <c r="AE31" s="20">
        <f t="shared" si="4"/>
        <v>25.129000000000001</v>
      </c>
      <c r="AF31" s="11">
        <v>24</v>
      </c>
      <c r="AG31" s="27">
        <v>0.40146814800000002</v>
      </c>
      <c r="AH31" s="11">
        <v>0</v>
      </c>
      <c r="AI31" s="27">
        <v>0</v>
      </c>
      <c r="AJ31" s="11">
        <v>3</v>
      </c>
      <c r="AK31" s="27">
        <v>7.2592444440000001</v>
      </c>
      <c r="AL31" s="11">
        <v>0</v>
      </c>
      <c r="AM31" s="27">
        <v>0</v>
      </c>
      <c r="AN31" s="11">
        <v>3</v>
      </c>
      <c r="AO31" s="27">
        <v>5.7750500000000002</v>
      </c>
      <c r="AP31" s="27">
        <f t="shared" si="5"/>
        <v>13.435762592</v>
      </c>
      <c r="AQ31" s="37">
        <f t="shared" si="6"/>
        <v>13.768997407999997</v>
      </c>
      <c r="AR31" s="116" t="str">
        <f t="shared" si="7"/>
        <v>Inspecciones</v>
      </c>
      <c r="AS31" s="16"/>
    </row>
    <row r="32" spans="2:45" hidden="1" x14ac:dyDescent="0.25">
      <c r="B32" s="2">
        <v>29</v>
      </c>
      <c r="C32" s="2" t="s">
        <v>118</v>
      </c>
      <c r="D32" s="110">
        <v>45352</v>
      </c>
      <c r="E32" s="101" t="s">
        <v>66</v>
      </c>
      <c r="F32" s="2">
        <v>8134</v>
      </c>
      <c r="G32" s="2" t="s">
        <v>47</v>
      </c>
      <c r="H32" s="2">
        <v>140</v>
      </c>
      <c r="I32" s="156" t="s">
        <v>119</v>
      </c>
      <c r="J32" s="16" t="s">
        <v>68</v>
      </c>
      <c r="K32" s="16" t="s">
        <v>50</v>
      </c>
      <c r="L32" s="2" t="s">
        <v>51</v>
      </c>
      <c r="M32" s="2" t="s">
        <v>51</v>
      </c>
      <c r="N32" s="2" t="s">
        <v>51</v>
      </c>
      <c r="O32" s="103" t="s">
        <v>52</v>
      </c>
      <c r="P32" s="104">
        <v>0.82291666666666663</v>
      </c>
      <c r="Q32" s="100">
        <v>45352</v>
      </c>
      <c r="R32" s="56">
        <f>518.9017*H32/1000</f>
        <v>72.646237999999997</v>
      </c>
      <c r="S32" s="52">
        <f t="shared" si="0"/>
        <v>19.856000000000002</v>
      </c>
      <c r="T32" s="36">
        <f t="shared" si="1"/>
        <v>52.790237999999995</v>
      </c>
      <c r="U32" s="1">
        <f t="shared" si="2"/>
        <v>0.72667545427472791</v>
      </c>
      <c r="V32" s="20">
        <v>98</v>
      </c>
      <c r="W32" s="20">
        <v>59</v>
      </c>
      <c r="X32" s="20">
        <v>2</v>
      </c>
      <c r="Y32" s="20">
        <v>0</v>
      </c>
      <c r="Z32" s="20">
        <f t="shared" si="3"/>
        <v>159</v>
      </c>
      <c r="AA32" s="20">
        <v>10.276999999999999</v>
      </c>
      <c r="AB32" s="20">
        <v>9.4789999999999992</v>
      </c>
      <c r="AC32" s="20">
        <v>0.1</v>
      </c>
      <c r="AD32" s="20">
        <v>0</v>
      </c>
      <c r="AE32" s="20">
        <f t="shared" si="4"/>
        <v>19.856000000000002</v>
      </c>
      <c r="AF32" s="11">
        <v>5</v>
      </c>
      <c r="AG32" s="27">
        <v>3.9205161959999999</v>
      </c>
      <c r="AH32" s="11">
        <v>2</v>
      </c>
      <c r="AI32" s="27">
        <v>7.6392145280000001</v>
      </c>
      <c r="AJ32" s="11">
        <v>0</v>
      </c>
      <c r="AK32" s="27">
        <v>0</v>
      </c>
      <c r="AL32" s="11">
        <v>0</v>
      </c>
      <c r="AM32" s="27">
        <v>0</v>
      </c>
      <c r="AN32" s="11">
        <v>0</v>
      </c>
      <c r="AO32" s="27">
        <v>0</v>
      </c>
      <c r="AP32" s="27">
        <f t="shared" si="5"/>
        <v>11.559730724</v>
      </c>
      <c r="AQ32" s="37">
        <f t="shared" si="6"/>
        <v>41.230507275999997</v>
      </c>
      <c r="AR32" s="116" t="str">
        <f t="shared" si="7"/>
        <v>Inspecciones</v>
      </c>
      <c r="AS32" s="16"/>
    </row>
    <row r="33" spans="2:45" hidden="1" x14ac:dyDescent="0.25">
      <c r="B33" s="2">
        <v>30</v>
      </c>
      <c r="C33" s="2" t="s">
        <v>120</v>
      </c>
      <c r="D33" s="110">
        <v>45352</v>
      </c>
      <c r="E33" s="101" t="s">
        <v>93</v>
      </c>
      <c r="F33" s="2">
        <v>6838</v>
      </c>
      <c r="G33" s="2" t="s">
        <v>47</v>
      </c>
      <c r="H33" s="2">
        <v>60</v>
      </c>
      <c r="I33" s="156" t="s">
        <v>121</v>
      </c>
      <c r="J33" s="16" t="s">
        <v>49</v>
      </c>
      <c r="K33" s="16" t="s">
        <v>56</v>
      </c>
      <c r="L33" s="2" t="s">
        <v>51</v>
      </c>
      <c r="M33" s="2" t="s">
        <v>51</v>
      </c>
      <c r="N33" s="2" t="s">
        <v>51</v>
      </c>
      <c r="O33" s="103" t="s">
        <v>56</v>
      </c>
      <c r="P33" s="104">
        <v>0.67708333333333337</v>
      </c>
      <c r="Q33" s="100">
        <v>45352</v>
      </c>
      <c r="R33" s="56">
        <f>158.455*H33/1000</f>
        <v>9.5073000000000008</v>
      </c>
      <c r="S33" s="52">
        <f t="shared" si="0"/>
        <v>59.817</v>
      </c>
      <c r="T33" s="36">
        <f t="shared" si="1"/>
        <v>-50.309699999999999</v>
      </c>
      <c r="U33" s="1">
        <f t="shared" si="2"/>
        <v>-5.2916916474708904</v>
      </c>
      <c r="V33" s="20">
        <v>0</v>
      </c>
      <c r="W33" s="20">
        <v>2</v>
      </c>
      <c r="X33" s="20">
        <v>1</v>
      </c>
      <c r="Y33" s="20">
        <v>2</v>
      </c>
      <c r="Z33" s="20">
        <f t="shared" si="3"/>
        <v>5</v>
      </c>
      <c r="AA33" s="20">
        <v>0</v>
      </c>
      <c r="AB33" s="20">
        <v>0.38900000000000001</v>
      </c>
      <c r="AC33" s="20">
        <v>0.2</v>
      </c>
      <c r="AD33" s="20">
        <v>59.228000000000002</v>
      </c>
      <c r="AE33" s="20">
        <f t="shared" si="4"/>
        <v>59.817</v>
      </c>
      <c r="AF33" s="11">
        <v>0</v>
      </c>
      <c r="AG33" s="27">
        <v>0</v>
      </c>
      <c r="AH33" s="11">
        <v>1</v>
      </c>
      <c r="AI33" s="27">
        <v>0</v>
      </c>
      <c r="AJ33" s="11">
        <v>1</v>
      </c>
      <c r="AK33" s="27">
        <v>5.1795999999999998</v>
      </c>
      <c r="AL33" s="11">
        <v>1</v>
      </c>
      <c r="AM33" s="27">
        <v>19.28683333</v>
      </c>
      <c r="AN33" s="11">
        <v>0</v>
      </c>
      <c r="AO33" s="27">
        <v>0</v>
      </c>
      <c r="AP33" s="27">
        <f t="shared" si="5"/>
        <v>24.466433330000001</v>
      </c>
      <c r="AQ33" s="37">
        <f t="shared" si="6"/>
        <v>-74.776133329999993</v>
      </c>
      <c r="AR33" s="116" t="str">
        <f t="shared" si="7"/>
        <v>Menores Compras</v>
      </c>
      <c r="AS33" s="16"/>
    </row>
    <row r="34" spans="2:45" hidden="1" x14ac:dyDescent="0.25">
      <c r="B34" s="2">
        <v>31</v>
      </c>
      <c r="C34" s="2" t="s">
        <v>79</v>
      </c>
      <c r="D34" s="110">
        <v>45353</v>
      </c>
      <c r="E34" s="101" t="s">
        <v>80</v>
      </c>
      <c r="F34" s="2">
        <v>8179</v>
      </c>
      <c r="G34" s="2" t="s">
        <v>47</v>
      </c>
      <c r="H34" s="2">
        <v>300</v>
      </c>
      <c r="I34" s="156" t="s">
        <v>81</v>
      </c>
      <c r="J34" s="16" t="s">
        <v>68</v>
      </c>
      <c r="K34" s="16" t="s">
        <v>50</v>
      </c>
      <c r="L34" s="2" t="s">
        <v>51</v>
      </c>
      <c r="M34" s="2" t="s">
        <v>51</v>
      </c>
      <c r="N34" s="2" t="s">
        <v>51</v>
      </c>
      <c r="O34" s="103" t="s">
        <v>52</v>
      </c>
      <c r="P34" s="104">
        <v>0.84375</v>
      </c>
      <c r="Q34" s="100">
        <v>45352</v>
      </c>
      <c r="R34" s="56">
        <f>480.8721*H34/1000</f>
        <v>144.26163</v>
      </c>
      <c r="S34" s="52">
        <f t="shared" si="0"/>
        <v>133.001</v>
      </c>
      <c r="T34" s="36">
        <f t="shared" si="1"/>
        <v>11.260629999999992</v>
      </c>
      <c r="U34" s="1">
        <f t="shared" si="2"/>
        <v>7.8056999633235757E-2</v>
      </c>
      <c r="V34" s="20">
        <v>256</v>
      </c>
      <c r="W34" s="20">
        <v>55</v>
      </c>
      <c r="X34" s="20">
        <v>2</v>
      </c>
      <c r="Y34" s="20">
        <v>2</v>
      </c>
      <c r="Z34" s="20">
        <f t="shared" si="3"/>
        <v>315</v>
      </c>
      <c r="AA34" s="20">
        <v>81.715999999999994</v>
      </c>
      <c r="AB34" s="20">
        <v>32.488</v>
      </c>
      <c r="AC34" s="20">
        <v>2</v>
      </c>
      <c r="AD34" s="20">
        <v>16.797000000000001</v>
      </c>
      <c r="AE34" s="20">
        <f t="shared" si="4"/>
        <v>133.001</v>
      </c>
      <c r="AF34" s="11">
        <v>1</v>
      </c>
      <c r="AG34" s="27">
        <v>0.25187619999999999</v>
      </c>
      <c r="AH34" s="11">
        <v>0</v>
      </c>
      <c r="AI34" s="27">
        <v>0</v>
      </c>
      <c r="AJ34" s="11">
        <v>0</v>
      </c>
      <c r="AK34" s="27">
        <v>0</v>
      </c>
      <c r="AL34" s="11">
        <v>0</v>
      </c>
      <c r="AM34" s="27">
        <v>0</v>
      </c>
      <c r="AN34" s="11">
        <v>0</v>
      </c>
      <c r="AO34" s="27">
        <v>0</v>
      </c>
      <c r="AP34" s="27">
        <f t="shared" si="5"/>
        <v>0.25187619999999999</v>
      </c>
      <c r="AQ34" s="37">
        <f t="shared" si="6"/>
        <v>11.008753799999992</v>
      </c>
      <c r="AR34" s="116" t="str">
        <f t="shared" si="7"/>
        <v>Inspecciones</v>
      </c>
      <c r="AS34" s="16"/>
    </row>
    <row r="35" spans="2:45" hidden="1" x14ac:dyDescent="0.25">
      <c r="B35" s="2">
        <v>32</v>
      </c>
      <c r="C35" s="2" t="s">
        <v>108</v>
      </c>
      <c r="D35" s="110">
        <v>45353</v>
      </c>
      <c r="E35" s="101" t="s">
        <v>80</v>
      </c>
      <c r="F35" s="2">
        <v>8133</v>
      </c>
      <c r="G35" s="2" t="s">
        <v>47</v>
      </c>
      <c r="H35" s="2">
        <v>140</v>
      </c>
      <c r="I35" s="156" t="s">
        <v>109</v>
      </c>
      <c r="J35" s="16" t="s">
        <v>68</v>
      </c>
      <c r="K35" s="16" t="s">
        <v>50</v>
      </c>
      <c r="L35" s="2" t="s">
        <v>51</v>
      </c>
      <c r="M35" s="2" t="s">
        <v>51</v>
      </c>
      <c r="N35" s="2" t="s">
        <v>51</v>
      </c>
      <c r="O35" s="103" t="s">
        <v>298</v>
      </c>
      <c r="P35" s="104">
        <v>0.875</v>
      </c>
      <c r="Q35" s="100">
        <v>45352</v>
      </c>
      <c r="R35" s="56">
        <f>370.4785*H35/1000</f>
        <v>51.866990000000001</v>
      </c>
      <c r="S35" s="52">
        <f t="shared" si="0"/>
        <v>50.863</v>
      </c>
      <c r="T35" s="36">
        <f t="shared" si="1"/>
        <v>1.0039900000000017</v>
      </c>
      <c r="U35" s="1">
        <f t="shared" si="2"/>
        <v>1.9357013005767285E-2</v>
      </c>
      <c r="V35" s="20">
        <v>96</v>
      </c>
      <c r="W35" s="20">
        <v>9</v>
      </c>
      <c r="X35" s="20">
        <v>1</v>
      </c>
      <c r="Y35" s="20">
        <v>0</v>
      </c>
      <c r="Z35" s="20">
        <f t="shared" si="3"/>
        <v>106</v>
      </c>
      <c r="AA35" s="20">
        <v>33.281999999999996</v>
      </c>
      <c r="AB35" s="20">
        <v>7.7409999999999997</v>
      </c>
      <c r="AC35" s="20">
        <v>9.84</v>
      </c>
      <c r="AD35" s="20">
        <v>0</v>
      </c>
      <c r="AE35" s="20">
        <f t="shared" si="4"/>
        <v>50.863</v>
      </c>
      <c r="AF35" s="11">
        <v>1</v>
      </c>
      <c r="AG35" s="27">
        <v>0.39061888299999997</v>
      </c>
      <c r="AH35" s="11">
        <v>0</v>
      </c>
      <c r="AI35" s="27">
        <v>0</v>
      </c>
      <c r="AJ35" s="11">
        <v>0</v>
      </c>
      <c r="AK35" s="27">
        <v>0</v>
      </c>
      <c r="AL35" s="11">
        <v>0</v>
      </c>
      <c r="AM35" s="27">
        <v>0</v>
      </c>
      <c r="AN35" s="11">
        <v>0</v>
      </c>
      <c r="AO35" s="27">
        <v>0</v>
      </c>
      <c r="AP35" s="27">
        <f t="shared" si="5"/>
        <v>0.39061888299999997</v>
      </c>
      <c r="AQ35" s="37">
        <f t="shared" si="6"/>
        <v>0.6133711170000018</v>
      </c>
      <c r="AR35" s="116" t="str">
        <f t="shared" si="7"/>
        <v>Inspecciones</v>
      </c>
      <c r="AS35" s="16"/>
    </row>
    <row r="36" spans="2:45" hidden="1" x14ac:dyDescent="0.25">
      <c r="B36" s="2">
        <v>33</v>
      </c>
      <c r="C36" s="2" t="s">
        <v>129</v>
      </c>
      <c r="D36" s="110">
        <v>45353</v>
      </c>
      <c r="E36" s="101" t="s">
        <v>58</v>
      </c>
      <c r="F36" s="2">
        <v>6796</v>
      </c>
      <c r="G36" s="2" t="s">
        <v>47</v>
      </c>
      <c r="H36" s="2">
        <v>60</v>
      </c>
      <c r="I36" s="156" t="s">
        <v>209</v>
      </c>
      <c r="J36" s="16" t="s">
        <v>49</v>
      </c>
      <c r="K36" s="16" t="s">
        <v>56</v>
      </c>
      <c r="L36" s="2" t="s">
        <v>51</v>
      </c>
      <c r="M36" s="2" t="s">
        <v>51</v>
      </c>
      <c r="N36" s="2" t="s">
        <v>51</v>
      </c>
      <c r="O36" s="103" t="s">
        <v>303</v>
      </c>
      <c r="P36" s="104">
        <v>0.90625</v>
      </c>
      <c r="Q36" s="100">
        <v>45352</v>
      </c>
      <c r="R36" s="56">
        <f>107.4458*H36/1000</f>
        <v>6.4467480000000004</v>
      </c>
      <c r="S36" s="52">
        <f t="shared" si="0"/>
        <v>33.33</v>
      </c>
      <c r="T36" s="36">
        <f t="shared" ref="T36:T67" si="8">R36-S36</f>
        <v>-26.883251999999999</v>
      </c>
      <c r="U36" s="1">
        <f t="shared" ref="U36:U67" si="9">IFERROR(T36/R36,"")</f>
        <v>-4.1700485267921126</v>
      </c>
      <c r="V36" s="20">
        <v>217</v>
      </c>
      <c r="W36" s="20">
        <v>155</v>
      </c>
      <c r="X36" s="20">
        <v>2</v>
      </c>
      <c r="Y36" s="20">
        <v>0</v>
      </c>
      <c r="Z36" s="20">
        <f t="shared" ref="Z36:Z67" si="10">+SUM(V36:Y36)</f>
        <v>374</v>
      </c>
      <c r="AA36" s="20">
        <v>10.372999999999999</v>
      </c>
      <c r="AB36" s="20">
        <v>20.677</v>
      </c>
      <c r="AC36" s="20">
        <v>2.2799999999999998</v>
      </c>
      <c r="AD36" s="20">
        <v>0</v>
      </c>
      <c r="AE36" s="20">
        <f t="shared" si="4"/>
        <v>33.33</v>
      </c>
      <c r="AF36" s="11">
        <v>0</v>
      </c>
      <c r="AG36" s="27">
        <v>0</v>
      </c>
      <c r="AH36" s="11">
        <v>1</v>
      </c>
      <c r="AI36" s="27">
        <v>0</v>
      </c>
      <c r="AJ36" s="11">
        <v>0</v>
      </c>
      <c r="AK36" s="27">
        <v>0</v>
      </c>
      <c r="AL36" s="11">
        <v>2</v>
      </c>
      <c r="AM36" s="27">
        <v>42.822000000000003</v>
      </c>
      <c r="AN36" s="11">
        <v>0</v>
      </c>
      <c r="AO36" s="27">
        <v>0</v>
      </c>
      <c r="AP36" s="27">
        <f t="shared" si="5"/>
        <v>42.822000000000003</v>
      </c>
      <c r="AQ36" s="37">
        <f t="shared" si="6"/>
        <v>-69.705252000000002</v>
      </c>
      <c r="AR36" s="116" t="str">
        <f t="shared" si="7"/>
        <v>Menores Compras</v>
      </c>
      <c r="AS36" s="16"/>
    </row>
    <row r="37" spans="2:45" hidden="1" x14ac:dyDescent="0.25">
      <c r="B37" s="2">
        <v>34</v>
      </c>
      <c r="C37" s="2" t="s">
        <v>125</v>
      </c>
      <c r="D37" s="111">
        <v>45355</v>
      </c>
      <c r="E37" s="101" t="s">
        <v>66</v>
      </c>
      <c r="F37" s="2">
        <v>8136</v>
      </c>
      <c r="G37" s="2" t="s">
        <v>47</v>
      </c>
      <c r="H37" s="2">
        <v>300</v>
      </c>
      <c r="I37" s="156" t="s">
        <v>126</v>
      </c>
      <c r="J37" s="16" t="s">
        <v>68</v>
      </c>
      <c r="K37" s="16" t="s">
        <v>50</v>
      </c>
      <c r="L37" s="2" t="s">
        <v>51</v>
      </c>
      <c r="M37" s="2" t="s">
        <v>51</v>
      </c>
      <c r="N37" s="2" t="s">
        <v>51</v>
      </c>
      <c r="O37" s="103" t="s">
        <v>56</v>
      </c>
      <c r="P37" s="104">
        <v>0.48958333333333331</v>
      </c>
      <c r="Q37" s="100">
        <v>45352</v>
      </c>
      <c r="R37" s="56">
        <v>96.291000000000011</v>
      </c>
      <c r="S37" s="52">
        <f t="shared" si="0"/>
        <v>0.84699999999999986</v>
      </c>
      <c r="T37" s="36">
        <f t="shared" si="8"/>
        <v>95.444000000000017</v>
      </c>
      <c r="U37" s="1">
        <f t="shared" si="9"/>
        <v>0.99120374697531444</v>
      </c>
      <c r="V37" s="20">
        <v>2</v>
      </c>
      <c r="W37" s="20">
        <v>4</v>
      </c>
      <c r="X37" s="20">
        <v>2</v>
      </c>
      <c r="Y37" s="20">
        <v>0</v>
      </c>
      <c r="Z37" s="20">
        <f t="shared" si="10"/>
        <v>8</v>
      </c>
      <c r="AA37" s="20">
        <v>0.29099999999999998</v>
      </c>
      <c r="AB37" s="20">
        <v>0.47599999999999998</v>
      </c>
      <c r="AC37" s="20">
        <v>0.08</v>
      </c>
      <c r="AD37" s="20">
        <v>0</v>
      </c>
      <c r="AE37" s="20">
        <f t="shared" si="4"/>
        <v>0.84699999999999986</v>
      </c>
      <c r="AF37" s="11">
        <v>0</v>
      </c>
      <c r="AG37" s="27">
        <v>0</v>
      </c>
      <c r="AH37" s="11">
        <v>0</v>
      </c>
      <c r="AI37" s="27">
        <v>0</v>
      </c>
      <c r="AJ37" s="11">
        <v>1</v>
      </c>
      <c r="AK37" s="27">
        <v>28.5198</v>
      </c>
      <c r="AL37" s="11">
        <v>0</v>
      </c>
      <c r="AM37" s="27">
        <v>0</v>
      </c>
      <c r="AN37" s="11">
        <v>0</v>
      </c>
      <c r="AO37" s="27">
        <v>0</v>
      </c>
      <c r="AP37" s="27">
        <f t="shared" si="5"/>
        <v>28.5198</v>
      </c>
      <c r="AQ37" s="37">
        <f t="shared" si="6"/>
        <v>66.924200000000013</v>
      </c>
      <c r="AR37" s="116" t="str">
        <f t="shared" si="7"/>
        <v>Inspecciones</v>
      </c>
      <c r="AS37" s="16"/>
    </row>
    <row r="38" spans="2:45" hidden="1" x14ac:dyDescent="0.25">
      <c r="B38" s="2">
        <v>35</v>
      </c>
      <c r="C38" s="2" t="s">
        <v>142</v>
      </c>
      <c r="D38" s="111">
        <v>45355</v>
      </c>
      <c r="E38" s="101" t="s">
        <v>54</v>
      </c>
      <c r="F38" s="2">
        <v>6805</v>
      </c>
      <c r="G38" s="2" t="s">
        <v>47</v>
      </c>
      <c r="H38" s="2">
        <v>60</v>
      </c>
      <c r="I38" s="156" t="s">
        <v>143</v>
      </c>
      <c r="J38" s="16" t="s">
        <v>49</v>
      </c>
      <c r="K38" s="16" t="s">
        <v>50</v>
      </c>
      <c r="L38" s="2" t="s">
        <v>51</v>
      </c>
      <c r="M38" s="2" t="s">
        <v>51</v>
      </c>
      <c r="N38" s="2" t="s">
        <v>51</v>
      </c>
      <c r="O38" s="103" t="s">
        <v>303</v>
      </c>
      <c r="P38" s="104">
        <v>0.90625</v>
      </c>
      <c r="Q38" s="100">
        <v>45352</v>
      </c>
      <c r="R38" s="56">
        <v>33.300600000000003</v>
      </c>
      <c r="S38" s="52">
        <f t="shared" si="0"/>
        <v>35.176000000000002</v>
      </c>
      <c r="T38" s="36">
        <f t="shared" si="8"/>
        <v>-1.8753999999999991</v>
      </c>
      <c r="U38" s="1">
        <f t="shared" si="9"/>
        <v>-5.6317303592127436E-2</v>
      </c>
      <c r="V38" s="20">
        <v>59</v>
      </c>
      <c r="W38" s="20">
        <v>42</v>
      </c>
      <c r="X38" s="20">
        <v>3</v>
      </c>
      <c r="Y38" s="20">
        <v>0</v>
      </c>
      <c r="Z38" s="20">
        <f t="shared" si="10"/>
        <v>104</v>
      </c>
      <c r="AA38" s="20">
        <v>12.096</v>
      </c>
      <c r="AB38" s="20">
        <v>10.78</v>
      </c>
      <c r="AC38" s="20">
        <v>12.3</v>
      </c>
      <c r="AD38" s="20">
        <v>0</v>
      </c>
      <c r="AE38" s="20">
        <f t="shared" si="4"/>
        <v>35.176000000000002</v>
      </c>
      <c r="AF38" s="11">
        <v>5</v>
      </c>
      <c r="AG38" s="27">
        <v>0.244871057</v>
      </c>
      <c r="AH38" s="11">
        <v>0</v>
      </c>
      <c r="AI38" s="27">
        <v>0</v>
      </c>
      <c r="AJ38" s="11">
        <v>1</v>
      </c>
      <c r="AK38" s="27">
        <v>1.9935</v>
      </c>
      <c r="AL38" s="11">
        <v>5</v>
      </c>
      <c r="AM38" s="27">
        <v>8.8184380949999994</v>
      </c>
      <c r="AN38" s="11">
        <v>0</v>
      </c>
      <c r="AO38" s="27">
        <v>0</v>
      </c>
      <c r="AP38" s="27">
        <f t="shared" si="5"/>
        <v>11.056809152</v>
      </c>
      <c r="AQ38" s="37">
        <f t="shared" si="6"/>
        <v>-12.932209151999999</v>
      </c>
      <c r="AR38" s="116" t="str">
        <f t="shared" si="7"/>
        <v>Menores Compras</v>
      </c>
      <c r="AS38" s="16"/>
    </row>
    <row r="39" spans="2:45" hidden="1" x14ac:dyDescent="0.25">
      <c r="B39" s="2">
        <v>36</v>
      </c>
      <c r="C39" s="2" t="s">
        <v>82</v>
      </c>
      <c r="D39" s="111">
        <v>45355</v>
      </c>
      <c r="E39" s="101" t="s">
        <v>54</v>
      </c>
      <c r="F39" s="2">
        <v>6830</v>
      </c>
      <c r="G39" s="2" t="s">
        <v>47</v>
      </c>
      <c r="H39" s="2">
        <v>100</v>
      </c>
      <c r="I39" s="156" t="s">
        <v>210</v>
      </c>
      <c r="J39" s="16" t="s">
        <v>49</v>
      </c>
      <c r="K39" s="16" t="s">
        <v>50</v>
      </c>
      <c r="L39" s="2" t="s">
        <v>51</v>
      </c>
      <c r="M39" s="2" t="s">
        <v>51</v>
      </c>
      <c r="N39" s="2" t="s">
        <v>51</v>
      </c>
      <c r="O39" s="103" t="s">
        <v>52</v>
      </c>
      <c r="P39" s="104">
        <v>0.82291666666666663</v>
      </c>
      <c r="Q39" s="100">
        <v>45352</v>
      </c>
      <c r="R39" s="56">
        <v>83.320999999999998</v>
      </c>
      <c r="S39" s="52">
        <f t="shared" si="0"/>
        <v>68.123999999999995</v>
      </c>
      <c r="T39" s="36">
        <f t="shared" si="8"/>
        <v>15.197000000000003</v>
      </c>
      <c r="U39" s="1">
        <f t="shared" si="9"/>
        <v>0.18239099386709237</v>
      </c>
      <c r="V39" s="20">
        <v>110</v>
      </c>
      <c r="W39" s="20">
        <v>30</v>
      </c>
      <c r="X39" s="20">
        <v>0</v>
      </c>
      <c r="Y39" s="20">
        <v>1</v>
      </c>
      <c r="Z39" s="20">
        <f t="shared" si="10"/>
        <v>141</v>
      </c>
      <c r="AA39" s="20">
        <v>41.034999999999997</v>
      </c>
      <c r="AB39" s="20">
        <v>27.088999999999999</v>
      </c>
      <c r="AC39" s="20">
        <v>0</v>
      </c>
      <c r="AD39" s="20">
        <v>0</v>
      </c>
      <c r="AE39" s="20">
        <f t="shared" si="4"/>
        <v>68.123999999999995</v>
      </c>
      <c r="AF39" s="11">
        <v>6</v>
      </c>
      <c r="AG39" s="27">
        <v>0.154040239</v>
      </c>
      <c r="AH39" s="11">
        <v>0</v>
      </c>
      <c r="AI39" s="27">
        <v>0</v>
      </c>
      <c r="AJ39" s="11">
        <v>0</v>
      </c>
      <c r="AK39" s="27">
        <v>0</v>
      </c>
      <c r="AL39" s="11">
        <v>0</v>
      </c>
      <c r="AM39" s="27">
        <v>0</v>
      </c>
      <c r="AN39" s="11">
        <v>0</v>
      </c>
      <c r="AO39" s="27">
        <v>0</v>
      </c>
      <c r="AP39" s="27">
        <f t="shared" si="5"/>
        <v>0.154040239</v>
      </c>
      <c r="AQ39" s="37">
        <f t="shared" si="6"/>
        <v>15.042959761000002</v>
      </c>
      <c r="AR39" s="116" t="str">
        <f t="shared" si="7"/>
        <v>Inspecciones</v>
      </c>
      <c r="AS39" s="16"/>
    </row>
    <row r="40" spans="2:45" hidden="1" x14ac:dyDescent="0.25">
      <c r="B40" s="2">
        <v>37</v>
      </c>
      <c r="C40" s="2" t="s">
        <v>90</v>
      </c>
      <c r="D40" s="111">
        <v>45355</v>
      </c>
      <c r="E40" s="101" t="s">
        <v>66</v>
      </c>
      <c r="F40" s="2">
        <v>8106</v>
      </c>
      <c r="G40" s="2" t="s">
        <v>47</v>
      </c>
      <c r="H40" s="2">
        <v>200</v>
      </c>
      <c r="I40" s="156" t="s">
        <v>91</v>
      </c>
      <c r="J40" s="16" t="s">
        <v>68</v>
      </c>
      <c r="K40" s="16" t="s">
        <v>50</v>
      </c>
      <c r="L40" s="2" t="s">
        <v>51</v>
      </c>
      <c r="M40" s="2" t="s">
        <v>51</v>
      </c>
      <c r="N40" s="2" t="s">
        <v>51</v>
      </c>
      <c r="O40" s="103" t="s">
        <v>56</v>
      </c>
      <c r="P40" s="104">
        <v>0.66666666666666663</v>
      </c>
      <c r="Q40" s="100">
        <v>45352</v>
      </c>
      <c r="R40" s="56">
        <v>1.256</v>
      </c>
      <c r="S40" s="52">
        <f t="shared" si="0"/>
        <v>39.231999999999999</v>
      </c>
      <c r="T40" s="36">
        <f t="shared" si="8"/>
        <v>-37.975999999999999</v>
      </c>
      <c r="U40" s="1">
        <f t="shared" si="9"/>
        <v>-30.235668789808916</v>
      </c>
      <c r="V40" s="20">
        <v>34</v>
      </c>
      <c r="W40" s="20">
        <v>36</v>
      </c>
      <c r="X40" s="20">
        <v>7</v>
      </c>
      <c r="Y40" s="20">
        <v>0</v>
      </c>
      <c r="Z40" s="20">
        <f t="shared" si="10"/>
        <v>77</v>
      </c>
      <c r="AA40" s="20">
        <v>6.2640000000000002</v>
      </c>
      <c r="AB40" s="20">
        <v>22.248000000000001</v>
      </c>
      <c r="AC40" s="20">
        <v>10.72</v>
      </c>
      <c r="AD40" s="20">
        <v>0</v>
      </c>
      <c r="AE40" s="20">
        <f t="shared" si="4"/>
        <v>39.231999999999999</v>
      </c>
      <c r="AF40" s="11">
        <v>3</v>
      </c>
      <c r="AG40" s="27">
        <v>2.72342145</v>
      </c>
      <c r="AH40" s="11">
        <v>7</v>
      </c>
      <c r="AI40" s="27">
        <v>4.987889247</v>
      </c>
      <c r="AJ40" s="11">
        <v>2</v>
      </c>
      <c r="AK40" s="27">
        <v>2.1665251109999999</v>
      </c>
      <c r="AL40" s="11">
        <v>1</v>
      </c>
      <c r="AM40" s="27">
        <v>29.101400000000002</v>
      </c>
      <c r="AN40" s="11">
        <v>0</v>
      </c>
      <c r="AO40" s="27">
        <v>0</v>
      </c>
      <c r="AP40" s="27">
        <f t="shared" si="5"/>
        <v>38.979235807999999</v>
      </c>
      <c r="AQ40" s="37">
        <f t="shared" si="6"/>
        <v>-76.955235807999998</v>
      </c>
      <c r="AR40" s="116" t="str">
        <f t="shared" si="7"/>
        <v>Menores Compras</v>
      </c>
      <c r="AS40" s="16"/>
    </row>
    <row r="41" spans="2:45" hidden="1" x14ac:dyDescent="0.25">
      <c r="B41" s="2">
        <v>38</v>
      </c>
      <c r="C41" s="2" t="s">
        <v>122</v>
      </c>
      <c r="D41" s="111">
        <v>45356</v>
      </c>
      <c r="E41" s="101" t="s">
        <v>54</v>
      </c>
      <c r="F41" s="2">
        <v>6841</v>
      </c>
      <c r="G41" s="2" t="s">
        <v>47</v>
      </c>
      <c r="H41" s="2">
        <v>60</v>
      </c>
      <c r="I41" s="156" t="s">
        <v>211</v>
      </c>
      <c r="J41" s="16" t="s">
        <v>49</v>
      </c>
      <c r="K41" s="16" t="s">
        <v>50</v>
      </c>
      <c r="L41" s="2" t="s">
        <v>51</v>
      </c>
      <c r="M41" s="2" t="s">
        <v>51</v>
      </c>
      <c r="N41" s="2" t="s">
        <v>51</v>
      </c>
      <c r="O41" s="103" t="s">
        <v>303</v>
      </c>
      <c r="P41" s="104">
        <v>0.83333333333333337</v>
      </c>
      <c r="Q41" s="100">
        <v>45352</v>
      </c>
      <c r="R41" s="56">
        <v>34.253999999999998</v>
      </c>
      <c r="S41" s="52">
        <f t="shared" si="0"/>
        <v>22.704999999999998</v>
      </c>
      <c r="T41" s="36">
        <f t="shared" si="8"/>
        <v>11.548999999999999</v>
      </c>
      <c r="U41" s="1">
        <f t="shared" si="9"/>
        <v>0.33715770420972735</v>
      </c>
      <c r="V41" s="20">
        <v>63</v>
      </c>
      <c r="W41" s="20">
        <v>59</v>
      </c>
      <c r="X41" s="20">
        <v>0</v>
      </c>
      <c r="Y41" s="20">
        <v>0</v>
      </c>
      <c r="Z41" s="20">
        <f t="shared" si="10"/>
        <v>122</v>
      </c>
      <c r="AA41" s="20">
        <v>9.9039999999999999</v>
      </c>
      <c r="AB41" s="20">
        <v>12.801</v>
      </c>
      <c r="AC41" s="20">
        <v>0</v>
      </c>
      <c r="AD41" s="20">
        <v>0</v>
      </c>
      <c r="AE41" s="20">
        <f t="shared" si="4"/>
        <v>22.704999999999998</v>
      </c>
      <c r="AF41" s="11">
        <v>2</v>
      </c>
      <c r="AG41" s="27">
        <v>0.87603166700000001</v>
      </c>
      <c r="AH41" s="11">
        <v>0</v>
      </c>
      <c r="AI41" s="27">
        <v>0</v>
      </c>
      <c r="AJ41" s="11">
        <v>2</v>
      </c>
      <c r="AK41" s="27">
        <v>9.932791667</v>
      </c>
      <c r="AL41" s="11">
        <v>7</v>
      </c>
      <c r="AM41" s="27">
        <v>13.36020476</v>
      </c>
      <c r="AN41" s="11">
        <v>0</v>
      </c>
      <c r="AO41" s="27">
        <v>0</v>
      </c>
      <c r="AP41" s="27">
        <f t="shared" si="5"/>
        <v>24.169028093999998</v>
      </c>
      <c r="AQ41" s="37">
        <f t="shared" si="6"/>
        <v>-12.620028093999998</v>
      </c>
      <c r="AR41" s="116" t="str">
        <f t="shared" si="7"/>
        <v>Menores Compras</v>
      </c>
      <c r="AS41" s="16"/>
    </row>
    <row r="42" spans="2:45" hidden="1" x14ac:dyDescent="0.25">
      <c r="B42" s="2">
        <v>39</v>
      </c>
      <c r="C42" s="2" t="s">
        <v>155</v>
      </c>
      <c r="D42" s="111">
        <v>45356</v>
      </c>
      <c r="E42" s="101" t="s">
        <v>149</v>
      </c>
      <c r="F42" s="2">
        <v>8108</v>
      </c>
      <c r="G42" s="2" t="s">
        <v>47</v>
      </c>
      <c r="H42" s="2">
        <v>140</v>
      </c>
      <c r="I42" s="156" t="s">
        <v>156</v>
      </c>
      <c r="J42" s="16" t="s">
        <v>68</v>
      </c>
      <c r="K42" s="16" t="s">
        <v>50</v>
      </c>
      <c r="L42" s="2" t="s">
        <v>51</v>
      </c>
      <c r="M42" s="2" t="s">
        <v>51</v>
      </c>
      <c r="N42" s="2" t="s">
        <v>60</v>
      </c>
      <c r="O42" s="103" t="s">
        <v>303</v>
      </c>
      <c r="P42" s="104">
        <v>0.8125</v>
      </c>
      <c r="Q42" s="100">
        <v>45352</v>
      </c>
      <c r="R42" s="56">
        <v>28.645400000000002</v>
      </c>
      <c r="S42" s="52">
        <f t="shared" si="0"/>
        <v>21.93</v>
      </c>
      <c r="T42" s="36">
        <f t="shared" si="8"/>
        <v>6.7154000000000025</v>
      </c>
      <c r="U42" s="1">
        <f t="shared" si="9"/>
        <v>0.23443205540854734</v>
      </c>
      <c r="V42" s="20">
        <v>93</v>
      </c>
      <c r="W42" s="20">
        <v>46</v>
      </c>
      <c r="X42" s="20">
        <v>2</v>
      </c>
      <c r="Y42" s="20">
        <v>0</v>
      </c>
      <c r="Z42" s="20">
        <f t="shared" si="10"/>
        <v>141</v>
      </c>
      <c r="AA42" s="20">
        <v>9.2750000000000004</v>
      </c>
      <c r="AB42" s="20">
        <v>11.255000000000001</v>
      </c>
      <c r="AC42" s="20">
        <v>1.4</v>
      </c>
      <c r="AD42" s="20">
        <v>0</v>
      </c>
      <c r="AE42" s="20">
        <f t="shared" si="4"/>
        <v>21.93</v>
      </c>
      <c r="AF42" s="11">
        <v>2</v>
      </c>
      <c r="AG42" s="27">
        <v>0.40821196700000001</v>
      </c>
      <c r="AH42" s="11">
        <v>2</v>
      </c>
      <c r="AI42" s="27">
        <v>0.51091166700000001</v>
      </c>
      <c r="AJ42" s="11">
        <v>2</v>
      </c>
      <c r="AK42" s="27">
        <v>12.475958329999999</v>
      </c>
      <c r="AL42" s="11">
        <v>0</v>
      </c>
      <c r="AM42" s="27">
        <v>0</v>
      </c>
      <c r="AN42" s="11">
        <v>0</v>
      </c>
      <c r="AO42" s="27">
        <v>0</v>
      </c>
      <c r="AP42" s="27">
        <f t="shared" si="5"/>
        <v>13.395081963999999</v>
      </c>
      <c r="AQ42" s="37">
        <f t="shared" si="6"/>
        <v>-6.6796819639999967</v>
      </c>
      <c r="AR42" s="116" t="str">
        <f t="shared" si="7"/>
        <v>Menores Compras</v>
      </c>
      <c r="AS42" s="16"/>
    </row>
    <row r="43" spans="2:45" hidden="1" x14ac:dyDescent="0.25">
      <c r="B43" s="2">
        <v>40</v>
      </c>
      <c r="C43" s="2" t="s">
        <v>160</v>
      </c>
      <c r="D43" s="111">
        <v>45356</v>
      </c>
      <c r="E43" s="101" t="s">
        <v>158</v>
      </c>
      <c r="F43" s="2">
        <v>8128</v>
      </c>
      <c r="G43" s="2" t="s">
        <v>47</v>
      </c>
      <c r="H43" s="2">
        <v>200</v>
      </c>
      <c r="I43" s="156" t="s">
        <v>161</v>
      </c>
      <c r="J43" s="16" t="s">
        <v>68</v>
      </c>
      <c r="K43" s="16" t="s">
        <v>56</v>
      </c>
      <c r="L43" s="2" t="s">
        <v>51</v>
      </c>
      <c r="M43" s="2" t="s">
        <v>51</v>
      </c>
      <c r="N43" s="2" t="s">
        <v>51</v>
      </c>
      <c r="O43" s="103" t="s">
        <v>303</v>
      </c>
      <c r="P43" s="104">
        <v>0.82291666666666663</v>
      </c>
      <c r="Q43" s="100">
        <v>45352</v>
      </c>
      <c r="R43" s="56">
        <v>46.156000000000006</v>
      </c>
      <c r="S43" s="52">
        <f t="shared" si="0"/>
        <v>31.835000000000001</v>
      </c>
      <c r="T43" s="36">
        <f t="shared" si="8"/>
        <v>14.321000000000005</v>
      </c>
      <c r="U43" s="1">
        <f t="shared" si="9"/>
        <v>0.31027385388681866</v>
      </c>
      <c r="V43" s="20">
        <v>60</v>
      </c>
      <c r="W43" s="20">
        <v>83</v>
      </c>
      <c r="X43" s="20">
        <v>1</v>
      </c>
      <c r="Y43" s="20">
        <v>0</v>
      </c>
      <c r="Z43" s="20">
        <f t="shared" si="10"/>
        <v>144</v>
      </c>
      <c r="AA43" s="20">
        <v>10.821999999999999</v>
      </c>
      <c r="AB43" s="20">
        <v>21.013000000000002</v>
      </c>
      <c r="AC43" s="20">
        <v>0</v>
      </c>
      <c r="AD43" s="20">
        <v>0</v>
      </c>
      <c r="AE43" s="20">
        <f t="shared" si="4"/>
        <v>31.835000000000001</v>
      </c>
      <c r="AF43" s="11">
        <v>13</v>
      </c>
      <c r="AG43" s="27">
        <v>0.33364171399999998</v>
      </c>
      <c r="AH43" s="11">
        <v>0</v>
      </c>
      <c r="AI43" s="27">
        <v>0</v>
      </c>
      <c r="AJ43" s="11">
        <v>4</v>
      </c>
      <c r="AK43" s="27">
        <v>6.7529428569999999</v>
      </c>
      <c r="AL43" s="11">
        <v>5</v>
      </c>
      <c r="AM43" s="27">
        <v>7.7269801009999997</v>
      </c>
      <c r="AN43" s="11">
        <v>8</v>
      </c>
      <c r="AO43" s="27">
        <v>8.084626471</v>
      </c>
      <c r="AP43" s="27">
        <f t="shared" si="5"/>
        <v>22.898191142999998</v>
      </c>
      <c r="AQ43" s="37">
        <f t="shared" si="6"/>
        <v>-8.5771911429999932</v>
      </c>
      <c r="AR43" s="116" t="str">
        <f t="shared" si="7"/>
        <v>Menores Compras</v>
      </c>
      <c r="AS43" s="16"/>
    </row>
    <row r="44" spans="2:45" hidden="1" x14ac:dyDescent="0.25">
      <c r="B44" s="2">
        <v>41</v>
      </c>
      <c r="C44" s="2" t="s">
        <v>157</v>
      </c>
      <c r="D44" s="111">
        <v>45356</v>
      </c>
      <c r="E44" s="101" t="s">
        <v>158</v>
      </c>
      <c r="F44" s="2">
        <v>8124</v>
      </c>
      <c r="G44" s="2" t="s">
        <v>47</v>
      </c>
      <c r="H44" s="2">
        <v>400</v>
      </c>
      <c r="I44" s="156" t="s">
        <v>159</v>
      </c>
      <c r="J44" s="16" t="s">
        <v>68</v>
      </c>
      <c r="K44" s="16" t="s">
        <v>50</v>
      </c>
      <c r="L44" s="2" t="s">
        <v>51</v>
      </c>
      <c r="M44" s="2" t="s">
        <v>51</v>
      </c>
      <c r="N44" s="2" t="s">
        <v>51</v>
      </c>
      <c r="O44" s="103" t="s">
        <v>50</v>
      </c>
      <c r="P44" s="104">
        <v>0.83333333333333337</v>
      </c>
      <c r="Q44" s="100">
        <v>45352</v>
      </c>
      <c r="R44" s="56">
        <v>88.548000000000002</v>
      </c>
      <c r="S44" s="52">
        <f t="shared" si="0"/>
        <v>64.619</v>
      </c>
      <c r="T44" s="36">
        <f t="shared" si="8"/>
        <v>23.929000000000002</v>
      </c>
      <c r="U44" s="1">
        <f t="shared" si="9"/>
        <v>0.27023761123910195</v>
      </c>
      <c r="V44" s="20">
        <v>122</v>
      </c>
      <c r="W44" s="20">
        <v>83</v>
      </c>
      <c r="X44" s="20">
        <v>1</v>
      </c>
      <c r="Y44" s="20">
        <v>1</v>
      </c>
      <c r="Z44" s="20">
        <f t="shared" si="10"/>
        <v>207</v>
      </c>
      <c r="AA44" s="20">
        <v>7.8179999999999996</v>
      </c>
      <c r="AB44" s="20">
        <v>6.89</v>
      </c>
      <c r="AC44" s="20">
        <v>0.48</v>
      </c>
      <c r="AD44" s="20">
        <v>49.430999999999997</v>
      </c>
      <c r="AE44" s="20">
        <f t="shared" si="4"/>
        <v>64.619</v>
      </c>
      <c r="AF44" s="11">
        <v>3</v>
      </c>
      <c r="AG44" s="27">
        <v>5.6483610000000002E-3</v>
      </c>
      <c r="AH44" s="11">
        <v>1</v>
      </c>
      <c r="AI44" s="27">
        <v>12.975555</v>
      </c>
      <c r="AJ44" s="11">
        <v>1</v>
      </c>
      <c r="AK44" s="27">
        <v>24.01979167</v>
      </c>
      <c r="AL44" s="11">
        <v>0</v>
      </c>
      <c r="AM44" s="27">
        <v>0</v>
      </c>
      <c r="AN44" s="11">
        <v>0</v>
      </c>
      <c r="AO44" s="27">
        <v>0</v>
      </c>
      <c r="AP44" s="27">
        <f t="shared" si="5"/>
        <v>37.000995031000002</v>
      </c>
      <c r="AQ44" s="37">
        <f t="shared" si="6"/>
        <v>-13.071995031</v>
      </c>
      <c r="AR44" s="116" t="str">
        <f t="shared" si="7"/>
        <v>Menores Compras</v>
      </c>
      <c r="AS44" s="16"/>
    </row>
    <row r="45" spans="2:45" hidden="1" x14ac:dyDescent="0.25">
      <c r="B45" s="2">
        <v>42</v>
      </c>
      <c r="C45" s="2" t="s">
        <v>114</v>
      </c>
      <c r="D45" s="111">
        <v>45357</v>
      </c>
      <c r="E45" s="101" t="s">
        <v>93</v>
      </c>
      <c r="F45" s="2">
        <v>6844</v>
      </c>
      <c r="G45" s="2" t="s">
        <v>47</v>
      </c>
      <c r="H45" s="2">
        <v>100</v>
      </c>
      <c r="I45" s="156" t="s">
        <v>115</v>
      </c>
      <c r="J45" s="16" t="s">
        <v>49</v>
      </c>
      <c r="K45" s="16" t="s">
        <v>50</v>
      </c>
      <c r="L45" s="2" t="s">
        <v>51</v>
      </c>
      <c r="M45" s="2" t="s">
        <v>51</v>
      </c>
      <c r="N45" s="2" t="s">
        <v>60</v>
      </c>
      <c r="O45" s="103" t="s">
        <v>298</v>
      </c>
      <c r="P45" s="104">
        <v>0.83333333333333337</v>
      </c>
      <c r="Q45" s="100">
        <v>45352</v>
      </c>
      <c r="R45" s="56">
        <v>56.427999999999997</v>
      </c>
      <c r="S45" s="52">
        <f t="shared" si="0"/>
        <v>11.239000000000001</v>
      </c>
      <c r="T45" s="36">
        <f t="shared" si="8"/>
        <v>45.188999999999993</v>
      </c>
      <c r="U45" s="1">
        <f t="shared" si="9"/>
        <v>0.80082583114765715</v>
      </c>
      <c r="V45" s="20">
        <v>141</v>
      </c>
      <c r="W45" s="20">
        <v>16</v>
      </c>
      <c r="X45" s="20">
        <v>0</v>
      </c>
      <c r="Y45" s="20">
        <v>0</v>
      </c>
      <c r="Z45" s="20">
        <f t="shared" si="10"/>
        <v>157</v>
      </c>
      <c r="AA45" s="20">
        <v>9.7789999999999999</v>
      </c>
      <c r="AB45" s="20">
        <v>1.46</v>
      </c>
      <c r="AC45" s="20">
        <v>0</v>
      </c>
      <c r="AD45" s="20">
        <v>0</v>
      </c>
      <c r="AE45" s="20">
        <f t="shared" si="4"/>
        <v>11.239000000000001</v>
      </c>
      <c r="AF45" s="11">
        <v>3</v>
      </c>
      <c r="AG45" s="27">
        <v>0.61861440000000001</v>
      </c>
      <c r="AH45" s="11">
        <v>0</v>
      </c>
      <c r="AI45" s="27">
        <v>0</v>
      </c>
      <c r="AJ45" s="11">
        <v>10</v>
      </c>
      <c r="AK45" s="27">
        <v>5.8991163330000003</v>
      </c>
      <c r="AL45" s="11">
        <v>4</v>
      </c>
      <c r="AM45" s="27">
        <v>10.00066333</v>
      </c>
      <c r="AN45" s="11">
        <v>4</v>
      </c>
      <c r="AO45" s="27">
        <v>9.5386299999999995</v>
      </c>
      <c r="AP45" s="27">
        <f t="shared" si="5"/>
        <v>26.057024063</v>
      </c>
      <c r="AQ45" s="37">
        <f t="shared" si="6"/>
        <v>19.131975936999993</v>
      </c>
      <c r="AR45" s="116" t="str">
        <f t="shared" si="7"/>
        <v>Inspecciones</v>
      </c>
      <c r="AS45" s="16"/>
    </row>
    <row r="46" spans="2:45" hidden="1" x14ac:dyDescent="0.25">
      <c r="B46" s="2">
        <v>43</v>
      </c>
      <c r="C46" s="2" t="s">
        <v>92</v>
      </c>
      <c r="D46" s="111">
        <v>45357</v>
      </c>
      <c r="E46" s="101" t="s">
        <v>93</v>
      </c>
      <c r="F46" s="2">
        <v>6802</v>
      </c>
      <c r="G46" s="2" t="s">
        <v>47</v>
      </c>
      <c r="H46" s="2">
        <v>60</v>
      </c>
      <c r="I46" s="156" t="s">
        <v>212</v>
      </c>
      <c r="J46" s="16" t="s">
        <v>49</v>
      </c>
      <c r="K46" s="16" t="s">
        <v>50</v>
      </c>
      <c r="L46" s="2" t="s">
        <v>51</v>
      </c>
      <c r="M46" s="2" t="s">
        <v>51</v>
      </c>
      <c r="N46" s="2" t="s">
        <v>51</v>
      </c>
      <c r="O46" s="103" t="s">
        <v>303</v>
      </c>
      <c r="P46" s="104">
        <v>0.83333333333333337</v>
      </c>
      <c r="Q46" s="100">
        <v>45352</v>
      </c>
      <c r="R46" s="56">
        <v>30.4788</v>
      </c>
      <c r="S46" s="52">
        <f t="shared" si="0"/>
        <v>22.868000000000002</v>
      </c>
      <c r="T46" s="36">
        <f t="shared" si="8"/>
        <v>7.6107999999999976</v>
      </c>
      <c r="U46" s="1">
        <f t="shared" si="9"/>
        <v>0.24970799375303482</v>
      </c>
      <c r="V46" s="20">
        <v>253</v>
      </c>
      <c r="W46" s="20">
        <v>16</v>
      </c>
      <c r="X46" s="20">
        <v>0</v>
      </c>
      <c r="Y46" s="20">
        <v>0</v>
      </c>
      <c r="Z46" s="20">
        <f t="shared" si="10"/>
        <v>269</v>
      </c>
      <c r="AA46" s="20">
        <v>19.146000000000001</v>
      </c>
      <c r="AB46" s="20">
        <v>3.722</v>
      </c>
      <c r="AC46" s="20">
        <v>0</v>
      </c>
      <c r="AD46" s="20">
        <v>0</v>
      </c>
      <c r="AE46" s="20">
        <f t="shared" si="4"/>
        <v>22.868000000000002</v>
      </c>
      <c r="AF46" s="11">
        <v>10</v>
      </c>
      <c r="AG46" s="27">
        <v>0.16347610300000001</v>
      </c>
      <c r="AH46" s="11">
        <v>0</v>
      </c>
      <c r="AI46" s="27">
        <v>0</v>
      </c>
      <c r="AJ46" s="11">
        <v>1</v>
      </c>
      <c r="AK46" s="27">
        <v>7.8102</v>
      </c>
      <c r="AL46" s="11">
        <v>0</v>
      </c>
      <c r="AM46" s="27">
        <v>0</v>
      </c>
      <c r="AN46" s="11">
        <v>0</v>
      </c>
      <c r="AO46" s="27">
        <v>0</v>
      </c>
      <c r="AP46" s="27">
        <f t="shared" si="5"/>
        <v>7.9736761029999998</v>
      </c>
      <c r="AQ46" s="37">
        <f t="shared" si="6"/>
        <v>-0.36287610300000228</v>
      </c>
      <c r="AR46" s="116" t="str">
        <f t="shared" si="7"/>
        <v>Menores Compras</v>
      </c>
      <c r="AS46" s="16"/>
    </row>
    <row r="47" spans="2:45" hidden="1" x14ac:dyDescent="0.25">
      <c r="B47" s="2">
        <v>44</v>
      </c>
      <c r="C47" s="2" t="s">
        <v>153</v>
      </c>
      <c r="D47" s="111">
        <v>45357</v>
      </c>
      <c r="E47" s="101" t="s">
        <v>149</v>
      </c>
      <c r="F47" s="2">
        <v>8156</v>
      </c>
      <c r="G47" s="2" t="s">
        <v>47</v>
      </c>
      <c r="H47" s="2">
        <v>140</v>
      </c>
      <c r="I47" s="156" t="s">
        <v>154</v>
      </c>
      <c r="J47" s="16" t="s">
        <v>68</v>
      </c>
      <c r="K47" s="16" t="s">
        <v>56</v>
      </c>
      <c r="L47" s="2" t="s">
        <v>51</v>
      </c>
      <c r="M47" s="2" t="s">
        <v>51</v>
      </c>
      <c r="N47" s="2" t="s">
        <v>51</v>
      </c>
      <c r="O47" s="103" t="s">
        <v>303</v>
      </c>
      <c r="P47" s="104">
        <v>0.82291666666666663</v>
      </c>
      <c r="Q47" s="100">
        <v>45352</v>
      </c>
      <c r="R47" s="56">
        <v>40.458600000000004</v>
      </c>
      <c r="S47" s="52">
        <f t="shared" si="0"/>
        <v>32.347999999999999</v>
      </c>
      <c r="T47" s="36">
        <f t="shared" si="8"/>
        <v>8.1106000000000051</v>
      </c>
      <c r="U47" s="1">
        <f t="shared" si="9"/>
        <v>0.20046664985936252</v>
      </c>
      <c r="V47" s="20">
        <v>35</v>
      </c>
      <c r="W47" s="20">
        <v>53</v>
      </c>
      <c r="X47" s="20">
        <v>3</v>
      </c>
      <c r="Y47" s="20">
        <v>2</v>
      </c>
      <c r="Z47" s="20">
        <f t="shared" si="10"/>
        <v>93</v>
      </c>
      <c r="AA47" s="20">
        <v>5.3780000000000001</v>
      </c>
      <c r="AB47" s="20">
        <v>13.377000000000001</v>
      </c>
      <c r="AC47" s="20">
        <v>12.968</v>
      </c>
      <c r="AD47" s="20">
        <v>0.625</v>
      </c>
      <c r="AE47" s="20">
        <f t="shared" si="4"/>
        <v>32.347999999999999</v>
      </c>
      <c r="AF47" s="11">
        <v>1</v>
      </c>
      <c r="AG47" s="27">
        <v>0.13249630000000001</v>
      </c>
      <c r="AH47" s="11">
        <v>2</v>
      </c>
      <c r="AI47" s="27">
        <v>1.1231270330000001</v>
      </c>
      <c r="AJ47" s="11">
        <v>0</v>
      </c>
      <c r="AK47" s="27">
        <v>0</v>
      </c>
      <c r="AL47" s="11">
        <v>0</v>
      </c>
      <c r="AM47" s="27">
        <v>0</v>
      </c>
      <c r="AN47" s="11">
        <v>0</v>
      </c>
      <c r="AO47" s="27">
        <v>0</v>
      </c>
      <c r="AP47" s="27">
        <f t="shared" si="5"/>
        <v>1.255623333</v>
      </c>
      <c r="AQ47" s="37">
        <f t="shared" si="6"/>
        <v>6.8549766670000052</v>
      </c>
      <c r="AR47" s="116" t="str">
        <f t="shared" si="7"/>
        <v>Inspecciones</v>
      </c>
      <c r="AS47" s="16"/>
    </row>
    <row r="48" spans="2:45" hidden="1" x14ac:dyDescent="0.25">
      <c r="B48" s="2">
        <v>45</v>
      </c>
      <c r="C48" s="2" t="s">
        <v>148</v>
      </c>
      <c r="D48" s="111">
        <v>45357</v>
      </c>
      <c r="E48" s="101" t="s">
        <v>149</v>
      </c>
      <c r="F48" s="2">
        <v>8117</v>
      </c>
      <c r="G48" s="2" t="s">
        <v>47</v>
      </c>
      <c r="H48" s="2">
        <v>200</v>
      </c>
      <c r="I48" s="156" t="s">
        <v>150</v>
      </c>
      <c r="J48" s="16" t="s">
        <v>68</v>
      </c>
      <c r="K48" s="16" t="s">
        <v>56</v>
      </c>
      <c r="L48" s="2" t="s">
        <v>51</v>
      </c>
      <c r="M48" s="2" t="s">
        <v>51</v>
      </c>
      <c r="N48" s="2" t="s">
        <v>51</v>
      </c>
      <c r="O48" s="103" t="s">
        <v>303</v>
      </c>
      <c r="P48" s="104">
        <v>0.80208333333333337</v>
      </c>
      <c r="Q48" s="100">
        <v>45352</v>
      </c>
      <c r="R48" s="56">
        <v>20.866</v>
      </c>
      <c r="S48" s="52">
        <f t="shared" si="0"/>
        <v>21.577000000000002</v>
      </c>
      <c r="T48" s="36">
        <f t="shared" si="8"/>
        <v>-0.71100000000000207</v>
      </c>
      <c r="U48" s="1">
        <f t="shared" si="9"/>
        <v>-3.4074571072558325E-2</v>
      </c>
      <c r="V48" s="20">
        <v>21</v>
      </c>
      <c r="W48" s="20">
        <v>37</v>
      </c>
      <c r="X48" s="20">
        <v>1</v>
      </c>
      <c r="Y48" s="20">
        <v>0</v>
      </c>
      <c r="Z48" s="20">
        <f t="shared" si="10"/>
        <v>59</v>
      </c>
      <c r="AA48" s="20">
        <v>2.87</v>
      </c>
      <c r="AB48" s="20">
        <v>11.707000000000001</v>
      </c>
      <c r="AC48" s="20">
        <v>7</v>
      </c>
      <c r="AD48" s="20">
        <v>0</v>
      </c>
      <c r="AE48" s="20">
        <f t="shared" si="4"/>
        <v>21.577000000000002</v>
      </c>
      <c r="AF48" s="11">
        <v>6</v>
      </c>
      <c r="AG48" s="27">
        <v>0.12905939999999999</v>
      </c>
      <c r="AH48" s="11">
        <v>0</v>
      </c>
      <c r="AI48" s="27">
        <v>0</v>
      </c>
      <c r="AJ48" s="11">
        <v>2</v>
      </c>
      <c r="AK48" s="27">
        <v>4.1811166670000004</v>
      </c>
      <c r="AL48" s="11">
        <v>1</v>
      </c>
      <c r="AM48" s="27">
        <v>7.7868000000000004</v>
      </c>
      <c r="AN48" s="11">
        <v>1</v>
      </c>
      <c r="AO48" s="27">
        <v>3.307816667</v>
      </c>
      <c r="AP48" s="27">
        <f t="shared" si="5"/>
        <v>15.404792734000001</v>
      </c>
      <c r="AQ48" s="37">
        <f t="shared" si="6"/>
        <v>-16.115792734000003</v>
      </c>
      <c r="AR48" s="116" t="str">
        <f t="shared" si="7"/>
        <v>Menores Compras</v>
      </c>
      <c r="AS48" s="16"/>
    </row>
    <row r="49" spans="1:45" hidden="1" x14ac:dyDescent="0.25">
      <c r="B49" s="2">
        <v>46</v>
      </c>
      <c r="C49" s="2" t="s">
        <v>144</v>
      </c>
      <c r="D49" s="111">
        <v>45358</v>
      </c>
      <c r="E49" s="101" t="s">
        <v>54</v>
      </c>
      <c r="F49" s="2">
        <v>8107</v>
      </c>
      <c r="G49" s="2" t="s">
        <v>47</v>
      </c>
      <c r="H49" s="2">
        <v>100</v>
      </c>
      <c r="I49" s="156" t="s">
        <v>145</v>
      </c>
      <c r="J49" s="16" t="s">
        <v>68</v>
      </c>
      <c r="K49" s="16" t="s">
        <v>56</v>
      </c>
      <c r="L49" s="2" t="s">
        <v>51</v>
      </c>
      <c r="M49" s="2" t="s">
        <v>51</v>
      </c>
      <c r="N49" s="2" t="s">
        <v>51</v>
      </c>
      <c r="O49" s="103" t="s">
        <v>56</v>
      </c>
      <c r="P49" s="104">
        <v>0.67708333333333337</v>
      </c>
      <c r="Q49" s="100">
        <v>45352</v>
      </c>
      <c r="R49" s="56">
        <v>18.75</v>
      </c>
      <c r="S49" s="52">
        <f t="shared" si="0"/>
        <v>19.422999999999998</v>
      </c>
      <c r="T49" s="36">
        <f t="shared" si="8"/>
        <v>-0.67299999999999827</v>
      </c>
      <c r="U49" s="1">
        <f t="shared" si="9"/>
        <v>-3.5893333333333242E-2</v>
      </c>
      <c r="V49" s="20">
        <v>23</v>
      </c>
      <c r="W49" s="20">
        <v>44</v>
      </c>
      <c r="X49" s="20">
        <v>3</v>
      </c>
      <c r="Y49" s="20">
        <v>0</v>
      </c>
      <c r="Z49" s="20">
        <f t="shared" si="10"/>
        <v>70</v>
      </c>
      <c r="AA49" s="20">
        <v>3.9620000000000002</v>
      </c>
      <c r="AB49" s="20">
        <v>10.581</v>
      </c>
      <c r="AC49" s="20">
        <v>4.88</v>
      </c>
      <c r="AD49" s="20">
        <v>0</v>
      </c>
      <c r="AE49" s="20">
        <f t="shared" si="4"/>
        <v>19.422999999999998</v>
      </c>
      <c r="AF49" s="11">
        <v>2</v>
      </c>
      <c r="AG49" s="27">
        <v>6.4757060659999999</v>
      </c>
      <c r="AH49" s="11">
        <v>1</v>
      </c>
      <c r="AI49" s="27">
        <v>5.6561950000000003</v>
      </c>
      <c r="AJ49" s="11">
        <v>0</v>
      </c>
      <c r="AK49" s="27">
        <v>0</v>
      </c>
      <c r="AL49" s="11">
        <v>0</v>
      </c>
      <c r="AM49" s="27">
        <v>0</v>
      </c>
      <c r="AN49" s="11">
        <v>0</v>
      </c>
      <c r="AO49" s="27">
        <v>0</v>
      </c>
      <c r="AP49" s="27">
        <f t="shared" si="5"/>
        <v>12.131901066000001</v>
      </c>
      <c r="AQ49" s="37">
        <f t="shared" si="6"/>
        <v>-12.804901065999999</v>
      </c>
      <c r="AR49" s="116" t="str">
        <f t="shared" si="7"/>
        <v>Menores Compras</v>
      </c>
      <c r="AS49" s="16"/>
    </row>
    <row r="50" spans="1:45" hidden="1" x14ac:dyDescent="0.25">
      <c r="B50" s="2">
        <v>47</v>
      </c>
      <c r="C50" s="2" t="s">
        <v>87</v>
      </c>
      <c r="D50" s="111">
        <v>45358</v>
      </c>
      <c r="E50" s="101" t="s">
        <v>46</v>
      </c>
      <c r="F50" s="2">
        <v>6818</v>
      </c>
      <c r="G50" s="2" t="s">
        <v>47</v>
      </c>
      <c r="H50" s="2">
        <v>140</v>
      </c>
      <c r="I50" s="156" t="s">
        <v>213</v>
      </c>
      <c r="J50" s="16" t="s">
        <v>49</v>
      </c>
      <c r="K50" s="16" t="s">
        <v>50</v>
      </c>
      <c r="L50" s="2" t="s">
        <v>51</v>
      </c>
      <c r="M50" s="2" t="s">
        <v>51</v>
      </c>
      <c r="N50" s="2" t="s">
        <v>51</v>
      </c>
      <c r="O50" s="103" t="s">
        <v>52</v>
      </c>
      <c r="P50" s="104">
        <v>0.83333333333333337</v>
      </c>
      <c r="Q50" s="100">
        <v>45352</v>
      </c>
      <c r="R50" s="56">
        <v>133.23519999999999</v>
      </c>
      <c r="S50" s="52">
        <f t="shared" si="0"/>
        <v>109.6</v>
      </c>
      <c r="T50" s="36">
        <f t="shared" si="8"/>
        <v>23.635199999999998</v>
      </c>
      <c r="U50" s="1">
        <f t="shared" si="9"/>
        <v>0.17739456239792487</v>
      </c>
      <c r="V50" s="20">
        <v>323</v>
      </c>
      <c r="W50" s="20">
        <v>23</v>
      </c>
      <c r="X50" s="20">
        <v>0</v>
      </c>
      <c r="Y50" s="20">
        <v>0</v>
      </c>
      <c r="Z50" s="20">
        <f t="shared" si="10"/>
        <v>346</v>
      </c>
      <c r="AA50" s="20">
        <v>101.85899999999999</v>
      </c>
      <c r="AB50" s="20">
        <v>7.7409999999999997</v>
      </c>
      <c r="AC50" s="20">
        <v>0</v>
      </c>
      <c r="AD50" s="20">
        <v>0</v>
      </c>
      <c r="AE50" s="20">
        <f t="shared" si="4"/>
        <v>109.6</v>
      </c>
      <c r="AF50" s="11">
        <v>14</v>
      </c>
      <c r="AG50" s="27">
        <v>0.305561311</v>
      </c>
      <c r="AH50" s="11">
        <v>0</v>
      </c>
      <c r="AI50" s="27">
        <v>0</v>
      </c>
      <c r="AJ50" s="11">
        <v>2</v>
      </c>
      <c r="AK50" s="27">
        <v>4.9029499999999997</v>
      </c>
      <c r="AL50" s="11">
        <v>0</v>
      </c>
      <c r="AM50" s="27">
        <v>0</v>
      </c>
      <c r="AN50" s="11">
        <v>0</v>
      </c>
      <c r="AO50" s="27">
        <v>0</v>
      </c>
      <c r="AP50" s="27">
        <f t="shared" si="5"/>
        <v>5.2085113109999996</v>
      </c>
      <c r="AQ50" s="37">
        <f t="shared" si="6"/>
        <v>18.426688688999999</v>
      </c>
      <c r="AR50" s="116" t="str">
        <f t="shared" si="7"/>
        <v>Inspecciones</v>
      </c>
      <c r="AS50" s="16"/>
    </row>
    <row r="51" spans="1:45" hidden="1" x14ac:dyDescent="0.25">
      <c r="B51" s="2">
        <v>48</v>
      </c>
      <c r="C51" s="63" t="s">
        <v>166</v>
      </c>
      <c r="D51" s="112">
        <v>45358</v>
      </c>
      <c r="E51" s="63" t="s">
        <v>80</v>
      </c>
      <c r="F51" s="63">
        <v>8084</v>
      </c>
      <c r="G51" s="63" t="s">
        <v>47</v>
      </c>
      <c r="H51" s="63">
        <v>200</v>
      </c>
      <c r="I51" s="157" t="s">
        <v>167</v>
      </c>
      <c r="J51" s="63" t="s">
        <v>168</v>
      </c>
      <c r="K51" s="16"/>
      <c r="L51" s="16" t="s">
        <v>51</v>
      </c>
      <c r="M51" s="16" t="s">
        <v>51</v>
      </c>
      <c r="N51" s="16" t="s">
        <v>51</v>
      </c>
      <c r="O51" s="103" t="s">
        <v>298</v>
      </c>
      <c r="P51" s="104">
        <v>0.86458333333333337</v>
      </c>
      <c r="Q51" s="100">
        <v>45352</v>
      </c>
      <c r="R51" s="56">
        <v>87.708000000000013</v>
      </c>
      <c r="S51" s="52">
        <v>66.819999999999993</v>
      </c>
      <c r="T51" s="36">
        <f t="shared" si="8"/>
        <v>20.888000000000019</v>
      </c>
      <c r="U51" s="1">
        <f t="shared" si="9"/>
        <v>0.23815387421899958</v>
      </c>
      <c r="V51" s="20">
        <v>271</v>
      </c>
      <c r="W51" s="20">
        <v>44</v>
      </c>
      <c r="X51" s="20">
        <v>1</v>
      </c>
      <c r="Y51" s="20">
        <v>0</v>
      </c>
      <c r="Z51" s="20">
        <f t="shared" si="10"/>
        <v>316</v>
      </c>
      <c r="AA51" s="3"/>
      <c r="AB51" s="3"/>
      <c r="AC51" s="3"/>
      <c r="AD51" s="3"/>
      <c r="AE51" s="3"/>
      <c r="AF51" s="11"/>
      <c r="AG51" s="2"/>
      <c r="AH51" s="11"/>
      <c r="AI51" s="2"/>
      <c r="AJ51" s="11"/>
      <c r="AK51" s="2"/>
      <c r="AL51" s="11"/>
      <c r="AM51" s="2"/>
      <c r="AN51" s="11"/>
      <c r="AO51" s="2"/>
      <c r="AP51" s="2"/>
      <c r="AQ51" s="98"/>
      <c r="AR51" s="116"/>
      <c r="AS51" s="16"/>
    </row>
    <row r="52" spans="1:45" hidden="1" x14ac:dyDescent="0.25">
      <c r="B52" s="2">
        <v>49</v>
      </c>
      <c r="C52" s="2" t="s">
        <v>164</v>
      </c>
      <c r="D52" s="111">
        <v>45358</v>
      </c>
      <c r="E52" s="101" t="s">
        <v>66</v>
      </c>
      <c r="F52" s="2">
        <v>8147</v>
      </c>
      <c r="G52" s="2" t="s">
        <v>47</v>
      </c>
      <c r="H52" s="2">
        <v>140</v>
      </c>
      <c r="I52" s="156" t="s">
        <v>165</v>
      </c>
      <c r="J52" s="16" t="s">
        <v>68</v>
      </c>
      <c r="K52" s="16" t="s">
        <v>50</v>
      </c>
      <c r="L52" s="2" t="s">
        <v>51</v>
      </c>
      <c r="M52" s="2" t="s">
        <v>51</v>
      </c>
      <c r="N52" s="2" t="s">
        <v>51</v>
      </c>
      <c r="O52" s="103" t="s">
        <v>303</v>
      </c>
      <c r="P52" s="106">
        <v>0.8125</v>
      </c>
      <c r="Q52" s="100">
        <v>45352</v>
      </c>
      <c r="R52" s="56">
        <v>36.473849999999999</v>
      </c>
      <c r="S52" s="52">
        <f t="shared" ref="S52:S83" si="11">+AE52</f>
        <v>54.731000000000002</v>
      </c>
      <c r="T52" s="36">
        <f t="shared" si="8"/>
        <v>-18.257150000000003</v>
      </c>
      <c r="U52" s="1">
        <f t="shared" si="9"/>
        <v>-0.50055450685902381</v>
      </c>
      <c r="V52" s="20">
        <v>201</v>
      </c>
      <c r="W52" s="20">
        <v>25</v>
      </c>
      <c r="X52" s="20">
        <v>1</v>
      </c>
      <c r="Y52" s="20">
        <v>0</v>
      </c>
      <c r="Z52" s="20">
        <f t="shared" si="10"/>
        <v>227</v>
      </c>
      <c r="AA52" s="20">
        <v>22.596</v>
      </c>
      <c r="AB52" s="20">
        <v>3.6949999999999998</v>
      </c>
      <c r="AC52" s="20">
        <v>28.44</v>
      </c>
      <c r="AD52" s="20">
        <v>0</v>
      </c>
      <c r="AE52" s="20">
        <f t="shared" ref="AE52:AE88" si="12">+SUM(AA52:AD52)</f>
        <v>54.731000000000002</v>
      </c>
      <c r="AF52" s="11">
        <v>9</v>
      </c>
      <c r="AG52" s="27">
        <v>0.12574074299999999</v>
      </c>
      <c r="AH52" s="11">
        <v>0</v>
      </c>
      <c r="AI52" s="27">
        <v>0</v>
      </c>
      <c r="AJ52" s="11">
        <v>4</v>
      </c>
      <c r="AK52" s="27">
        <v>6.4100523809999999</v>
      </c>
      <c r="AL52" s="11">
        <v>3</v>
      </c>
      <c r="AM52" s="27">
        <v>9.9616000000000007</v>
      </c>
      <c r="AN52" s="11">
        <v>1</v>
      </c>
      <c r="AO52" s="27">
        <v>7.6581999999999999</v>
      </c>
      <c r="AP52" s="27">
        <f t="shared" ref="AP52:AP88" si="13">+AG52+AI52+AK52+AM52+AO52</f>
        <v>24.155593123999999</v>
      </c>
      <c r="AQ52" s="37">
        <f t="shared" ref="AQ52:AQ59" si="14">+IF(R52&lt;&gt;0,T52-AP52,"pend. Ene. Dist")</f>
        <v>-42.412743124000002</v>
      </c>
      <c r="AR52" s="116" t="str">
        <f t="shared" ref="AR52:AR59" si="15">+IF(R52&lt;&gt;0,IF(T52&lt;AP52,"Menores Compras","Inspecciones"),"Pendiente Ene. Dist")</f>
        <v>Menores Compras</v>
      </c>
      <c r="AS52" s="16"/>
    </row>
    <row r="53" spans="1:45" hidden="1" x14ac:dyDescent="0.25">
      <c r="B53" s="2">
        <v>50</v>
      </c>
      <c r="C53" s="2" t="s">
        <v>104</v>
      </c>
      <c r="D53" s="111">
        <v>45359</v>
      </c>
      <c r="E53" s="101" t="s">
        <v>54</v>
      </c>
      <c r="F53" s="2">
        <v>6847</v>
      </c>
      <c r="G53" s="2" t="s">
        <v>47</v>
      </c>
      <c r="H53" s="2">
        <v>60</v>
      </c>
      <c r="I53" s="156" t="s">
        <v>105</v>
      </c>
      <c r="J53" s="16" t="s">
        <v>49</v>
      </c>
      <c r="K53" s="16" t="s">
        <v>56</v>
      </c>
      <c r="L53" s="2" t="s">
        <v>51</v>
      </c>
      <c r="M53" s="2" t="s">
        <v>51</v>
      </c>
      <c r="N53" s="2" t="s">
        <v>51</v>
      </c>
      <c r="O53" s="103" t="s">
        <v>298</v>
      </c>
      <c r="P53" s="104">
        <v>0.66666666666666663</v>
      </c>
      <c r="Q53" s="100">
        <v>45352</v>
      </c>
      <c r="R53" s="56">
        <v>31.867799999999999</v>
      </c>
      <c r="S53" s="52">
        <f t="shared" si="11"/>
        <v>8.61</v>
      </c>
      <c r="T53" s="36">
        <f t="shared" si="8"/>
        <v>23.2578</v>
      </c>
      <c r="U53" s="1">
        <f t="shared" si="9"/>
        <v>0.72982132434620528</v>
      </c>
      <c r="V53" s="20">
        <v>7</v>
      </c>
      <c r="W53" s="20">
        <v>12</v>
      </c>
      <c r="X53" s="20">
        <v>3</v>
      </c>
      <c r="Y53" s="20">
        <v>1</v>
      </c>
      <c r="Z53" s="20">
        <f t="shared" si="10"/>
        <v>23</v>
      </c>
      <c r="AA53" s="20">
        <v>2.0870000000000002</v>
      </c>
      <c r="AB53" s="20">
        <v>3.6429999999999998</v>
      </c>
      <c r="AC53" s="20">
        <v>2.88</v>
      </c>
      <c r="AD53" s="20">
        <v>0</v>
      </c>
      <c r="AE53" s="20">
        <f t="shared" si="12"/>
        <v>8.61</v>
      </c>
      <c r="AF53" s="11">
        <v>0</v>
      </c>
      <c r="AG53" s="27">
        <v>0</v>
      </c>
      <c r="AH53" s="11">
        <v>1</v>
      </c>
      <c r="AI53" s="27">
        <v>72.433530570000002</v>
      </c>
      <c r="AJ53" s="11">
        <v>0</v>
      </c>
      <c r="AK53" s="27">
        <v>0</v>
      </c>
      <c r="AL53" s="11">
        <v>0</v>
      </c>
      <c r="AM53" s="27">
        <v>0</v>
      </c>
      <c r="AN53" s="11">
        <v>0</v>
      </c>
      <c r="AO53" s="27">
        <v>0</v>
      </c>
      <c r="AP53" s="27">
        <f t="shared" si="13"/>
        <v>72.433530570000002</v>
      </c>
      <c r="AQ53" s="37">
        <f t="shared" si="14"/>
        <v>-49.175730569999999</v>
      </c>
      <c r="AR53" s="116" t="str">
        <f t="shared" si="15"/>
        <v>Menores Compras</v>
      </c>
      <c r="AS53" s="16"/>
    </row>
    <row r="54" spans="1:45" hidden="1" x14ac:dyDescent="0.25">
      <c r="B54" s="2">
        <v>51</v>
      </c>
      <c r="C54" s="2" t="s">
        <v>162</v>
      </c>
      <c r="D54" s="111">
        <v>45359</v>
      </c>
      <c r="E54" s="101" t="s">
        <v>66</v>
      </c>
      <c r="F54" s="2">
        <v>8138</v>
      </c>
      <c r="G54" s="2" t="s">
        <v>47</v>
      </c>
      <c r="H54" s="2">
        <v>200</v>
      </c>
      <c r="I54" s="156" t="s">
        <v>163</v>
      </c>
      <c r="J54" s="16" t="s">
        <v>68</v>
      </c>
      <c r="K54" s="16" t="s">
        <v>56</v>
      </c>
      <c r="L54" s="2" t="s">
        <v>51</v>
      </c>
      <c r="M54" s="2" t="s">
        <v>51</v>
      </c>
      <c r="N54" s="2" t="s">
        <v>51</v>
      </c>
      <c r="O54" s="103" t="s">
        <v>50</v>
      </c>
      <c r="P54" s="104">
        <v>0.375</v>
      </c>
      <c r="Q54" s="100">
        <v>45352</v>
      </c>
      <c r="R54" s="56">
        <v>10.735999999999999</v>
      </c>
      <c r="S54" s="52">
        <f t="shared" si="11"/>
        <v>4.7350000000000003</v>
      </c>
      <c r="T54" s="36">
        <f t="shared" si="8"/>
        <v>6.0009999999999986</v>
      </c>
      <c r="U54" s="1">
        <f t="shared" si="9"/>
        <v>0.55896050670640829</v>
      </c>
      <c r="V54" s="20">
        <v>7</v>
      </c>
      <c r="W54" s="20">
        <v>8</v>
      </c>
      <c r="X54" s="20">
        <v>1</v>
      </c>
      <c r="Y54" s="20">
        <v>0</v>
      </c>
      <c r="Z54" s="20">
        <f t="shared" si="10"/>
        <v>16</v>
      </c>
      <c r="AA54" s="20">
        <v>0.98</v>
      </c>
      <c r="AB54" s="20">
        <v>1.9950000000000001</v>
      </c>
      <c r="AC54" s="20">
        <v>1.76</v>
      </c>
      <c r="AD54" s="20">
        <v>0</v>
      </c>
      <c r="AE54" s="20">
        <f t="shared" si="12"/>
        <v>4.7350000000000003</v>
      </c>
      <c r="AF54" s="11">
        <v>3</v>
      </c>
      <c r="AG54" s="27">
        <v>11.50147117</v>
      </c>
      <c r="AH54" s="11">
        <v>1</v>
      </c>
      <c r="AI54" s="27">
        <v>3.304943996</v>
      </c>
      <c r="AJ54" s="11">
        <v>0</v>
      </c>
      <c r="AK54" s="27">
        <v>0</v>
      </c>
      <c r="AL54" s="11">
        <v>5</v>
      </c>
      <c r="AM54" s="27">
        <v>15.09697778</v>
      </c>
      <c r="AN54" s="11">
        <v>0</v>
      </c>
      <c r="AO54" s="27">
        <v>0</v>
      </c>
      <c r="AP54" s="27">
        <f t="shared" si="13"/>
        <v>29.903392946</v>
      </c>
      <c r="AQ54" s="37">
        <f t="shared" si="14"/>
        <v>-23.902392946000003</v>
      </c>
      <c r="AR54" s="116" t="str">
        <f t="shared" si="15"/>
        <v>Menores Compras</v>
      </c>
      <c r="AS54" s="16"/>
    </row>
    <row r="55" spans="1:45" hidden="1" x14ac:dyDescent="0.25">
      <c r="B55" s="2">
        <v>52</v>
      </c>
      <c r="C55" s="2" t="s">
        <v>146</v>
      </c>
      <c r="D55" s="111">
        <v>45359</v>
      </c>
      <c r="E55" s="101" t="s">
        <v>66</v>
      </c>
      <c r="F55" s="2">
        <v>8144</v>
      </c>
      <c r="G55" s="2" t="s">
        <v>47</v>
      </c>
      <c r="H55" s="2">
        <v>140</v>
      </c>
      <c r="I55" s="156" t="s">
        <v>147</v>
      </c>
      <c r="J55" s="16" t="s">
        <v>68</v>
      </c>
      <c r="K55" s="16" t="s">
        <v>50</v>
      </c>
      <c r="L55" s="2" t="s">
        <v>51</v>
      </c>
      <c r="M55" s="2" t="s">
        <v>51</v>
      </c>
      <c r="N55" s="2" t="s">
        <v>51</v>
      </c>
      <c r="O55" s="103" t="s">
        <v>298</v>
      </c>
      <c r="P55" s="104">
        <v>0.84375</v>
      </c>
      <c r="Q55" s="100">
        <v>45352</v>
      </c>
      <c r="R55" s="56">
        <v>49.732200000000006</v>
      </c>
      <c r="S55" s="52">
        <f t="shared" si="11"/>
        <v>35.297999999999995</v>
      </c>
      <c r="T55" s="36">
        <f t="shared" si="8"/>
        <v>14.434200000000011</v>
      </c>
      <c r="U55" s="1">
        <f t="shared" si="9"/>
        <v>0.29023851749972873</v>
      </c>
      <c r="V55" s="20">
        <v>191</v>
      </c>
      <c r="W55" s="20">
        <v>87</v>
      </c>
      <c r="X55" s="20">
        <v>1</v>
      </c>
      <c r="Y55" s="20">
        <v>0</v>
      </c>
      <c r="Z55" s="20">
        <f t="shared" si="10"/>
        <v>279</v>
      </c>
      <c r="AA55" s="20">
        <v>19.710999999999999</v>
      </c>
      <c r="AB55" s="20">
        <v>14.927</v>
      </c>
      <c r="AC55" s="20">
        <v>0.66</v>
      </c>
      <c r="AD55" s="20">
        <v>0</v>
      </c>
      <c r="AE55" s="20">
        <f t="shared" si="12"/>
        <v>35.297999999999995</v>
      </c>
      <c r="AF55" s="11">
        <v>5</v>
      </c>
      <c r="AG55" s="27">
        <v>0.47243138299999998</v>
      </c>
      <c r="AH55" s="11">
        <v>0</v>
      </c>
      <c r="AI55" s="27">
        <v>0</v>
      </c>
      <c r="AJ55" s="11">
        <v>1</v>
      </c>
      <c r="AK55" s="27">
        <v>1.8854</v>
      </c>
      <c r="AL55" s="11">
        <v>4</v>
      </c>
      <c r="AM55" s="27">
        <v>5.0027499999999998</v>
      </c>
      <c r="AN55" s="11">
        <v>0</v>
      </c>
      <c r="AO55" s="27">
        <v>0</v>
      </c>
      <c r="AP55" s="27">
        <f t="shared" si="13"/>
        <v>7.3605813829999995</v>
      </c>
      <c r="AQ55" s="37">
        <f t="shared" si="14"/>
        <v>7.0736186170000117</v>
      </c>
      <c r="AR55" s="116" t="str">
        <f t="shared" si="15"/>
        <v>Inspecciones</v>
      </c>
      <c r="AS55" s="16"/>
    </row>
    <row r="56" spans="1:45" hidden="1" x14ac:dyDescent="0.25">
      <c r="B56" s="2">
        <v>53</v>
      </c>
      <c r="C56" s="2" t="s">
        <v>151</v>
      </c>
      <c r="D56" s="111">
        <v>45359</v>
      </c>
      <c r="E56" s="101" t="s">
        <v>54</v>
      </c>
      <c r="F56" s="2">
        <v>8092</v>
      </c>
      <c r="G56" s="2" t="s">
        <v>47</v>
      </c>
      <c r="H56" s="2">
        <v>300</v>
      </c>
      <c r="I56" s="156" t="s">
        <v>152</v>
      </c>
      <c r="J56" s="16" t="s">
        <v>68</v>
      </c>
      <c r="K56" s="16" t="s">
        <v>56</v>
      </c>
      <c r="L56" s="2" t="s">
        <v>51</v>
      </c>
      <c r="M56" s="2" t="s">
        <v>51</v>
      </c>
      <c r="N56" s="2" t="s">
        <v>51</v>
      </c>
      <c r="O56" s="103" t="s">
        <v>56</v>
      </c>
      <c r="P56" s="104">
        <v>0.61458333333333337</v>
      </c>
      <c r="Q56" s="100">
        <v>45352</v>
      </c>
      <c r="R56" s="56">
        <v>33.945</v>
      </c>
      <c r="S56" s="52">
        <f t="shared" si="11"/>
        <v>40.713000000000001</v>
      </c>
      <c r="T56" s="36">
        <f t="shared" si="8"/>
        <v>-6.7680000000000007</v>
      </c>
      <c r="U56" s="1">
        <f t="shared" si="9"/>
        <v>-0.19938135218736192</v>
      </c>
      <c r="V56" s="20">
        <v>21</v>
      </c>
      <c r="W56" s="20">
        <v>33</v>
      </c>
      <c r="X56" s="20">
        <v>3</v>
      </c>
      <c r="Y56" s="20">
        <v>1</v>
      </c>
      <c r="Z56" s="20">
        <f t="shared" si="10"/>
        <v>58</v>
      </c>
      <c r="AA56" s="20">
        <v>3.54</v>
      </c>
      <c r="AB56" s="20">
        <v>12.708</v>
      </c>
      <c r="AC56" s="20">
        <v>14.817</v>
      </c>
      <c r="AD56" s="20">
        <v>9.6479999999999997</v>
      </c>
      <c r="AE56" s="20">
        <f t="shared" si="12"/>
        <v>40.713000000000001</v>
      </c>
      <c r="AF56" s="11">
        <v>3</v>
      </c>
      <c r="AG56" s="27">
        <v>8.8817832170000006</v>
      </c>
      <c r="AH56" s="11">
        <v>1</v>
      </c>
      <c r="AI56" s="27">
        <v>9.5387629369999996</v>
      </c>
      <c r="AJ56" s="11">
        <v>3</v>
      </c>
      <c r="AK56" s="27">
        <v>0.93414166700000001</v>
      </c>
      <c r="AL56" s="11">
        <v>1</v>
      </c>
      <c r="AM56" s="27">
        <v>2.2974000000000001</v>
      </c>
      <c r="AN56" s="11">
        <v>0</v>
      </c>
      <c r="AO56" s="27">
        <v>0</v>
      </c>
      <c r="AP56" s="27">
        <f t="shared" si="13"/>
        <v>21.652087820999999</v>
      </c>
      <c r="AQ56" s="37">
        <f t="shared" si="14"/>
        <v>-28.420087820999999</v>
      </c>
      <c r="AR56" s="116" t="str">
        <f t="shared" si="15"/>
        <v>Menores Compras</v>
      </c>
      <c r="AS56" s="16"/>
    </row>
    <row r="57" spans="1:45" hidden="1" x14ac:dyDescent="0.25">
      <c r="B57" s="2">
        <v>54</v>
      </c>
      <c r="C57" s="59" t="s">
        <v>77</v>
      </c>
      <c r="D57" s="113">
        <v>45359</v>
      </c>
      <c r="E57" s="101" t="s">
        <v>54</v>
      </c>
      <c r="F57" s="2">
        <v>6827</v>
      </c>
      <c r="G57" s="2" t="s">
        <v>47</v>
      </c>
      <c r="H57" s="2">
        <v>300</v>
      </c>
      <c r="I57" s="156" t="s">
        <v>78</v>
      </c>
      <c r="J57" s="16" t="s">
        <v>49</v>
      </c>
      <c r="K57" s="16" t="s">
        <v>50</v>
      </c>
      <c r="L57" s="2" t="s">
        <v>51</v>
      </c>
      <c r="M57" s="2" t="s">
        <v>51</v>
      </c>
      <c r="N57" s="2" t="s">
        <v>60</v>
      </c>
      <c r="O57" s="103" t="s">
        <v>298</v>
      </c>
      <c r="P57" s="104">
        <v>0.70833333333333337</v>
      </c>
      <c r="Q57" s="100">
        <v>45352</v>
      </c>
      <c r="R57" s="56">
        <v>2.532</v>
      </c>
      <c r="S57" s="52">
        <f t="shared" si="11"/>
        <v>41.280999999999999</v>
      </c>
      <c r="T57" s="36">
        <f t="shared" si="8"/>
        <v>-38.748999999999995</v>
      </c>
      <c r="U57" s="1">
        <f t="shared" si="9"/>
        <v>-15.303712480252763</v>
      </c>
      <c r="V57" s="20">
        <v>45</v>
      </c>
      <c r="W57" s="20">
        <v>22</v>
      </c>
      <c r="X57" s="20">
        <v>7</v>
      </c>
      <c r="Y57" s="20">
        <v>0</v>
      </c>
      <c r="Z57" s="20">
        <f t="shared" si="10"/>
        <v>74</v>
      </c>
      <c r="AA57" s="20">
        <v>8.7360000000000007</v>
      </c>
      <c r="AB57" s="20">
        <v>16.704999999999998</v>
      </c>
      <c r="AC57" s="20">
        <v>15.84</v>
      </c>
      <c r="AD57" s="20">
        <v>0</v>
      </c>
      <c r="AE57" s="20">
        <f t="shared" si="12"/>
        <v>41.280999999999999</v>
      </c>
      <c r="AF57" s="11">
        <v>6</v>
      </c>
      <c r="AG57" s="27">
        <v>0.15386061100000001</v>
      </c>
      <c r="AH57" s="11">
        <v>5</v>
      </c>
      <c r="AI57" s="27">
        <v>2.655535661</v>
      </c>
      <c r="AJ57" s="11">
        <v>0</v>
      </c>
      <c r="AK57" s="27">
        <v>0</v>
      </c>
      <c r="AL57" s="11">
        <v>0</v>
      </c>
      <c r="AM57" s="27">
        <v>0</v>
      </c>
      <c r="AN57" s="11">
        <v>0</v>
      </c>
      <c r="AO57" s="27">
        <v>0</v>
      </c>
      <c r="AP57" s="27">
        <f t="shared" si="13"/>
        <v>2.8093962719999999</v>
      </c>
      <c r="AQ57" s="37">
        <f t="shared" si="14"/>
        <v>-41.558396271999996</v>
      </c>
      <c r="AR57" s="116" t="str">
        <f t="shared" si="15"/>
        <v>Menores Compras</v>
      </c>
      <c r="AS57" s="16"/>
    </row>
    <row r="58" spans="1:45" hidden="1" x14ac:dyDescent="0.25">
      <c r="B58" s="2">
        <v>55</v>
      </c>
      <c r="C58" s="50" t="s">
        <v>63</v>
      </c>
      <c r="D58" s="114">
        <v>45360</v>
      </c>
      <c r="E58" s="102" t="s">
        <v>54</v>
      </c>
      <c r="F58" s="2">
        <v>8186</v>
      </c>
      <c r="G58" s="2" t="s">
        <v>47</v>
      </c>
      <c r="H58" s="2">
        <v>60</v>
      </c>
      <c r="I58" s="156" t="s">
        <v>64</v>
      </c>
      <c r="J58" s="107" t="s">
        <v>49</v>
      </c>
      <c r="K58" s="107" t="s">
        <v>50</v>
      </c>
      <c r="L58" s="59" t="s">
        <v>51</v>
      </c>
      <c r="M58" s="59" t="s">
        <v>51</v>
      </c>
      <c r="N58" s="59" t="s">
        <v>51</v>
      </c>
      <c r="O58" s="108" t="s">
        <v>52</v>
      </c>
      <c r="P58" s="106">
        <v>0.83333333333333337</v>
      </c>
      <c r="Q58" s="105">
        <v>45352</v>
      </c>
      <c r="R58" s="56">
        <v>32.611463999999998</v>
      </c>
      <c r="S58" s="82">
        <f t="shared" si="11"/>
        <v>21.236000000000001</v>
      </c>
      <c r="T58" s="83">
        <f t="shared" si="8"/>
        <v>11.375463999999997</v>
      </c>
      <c r="U58" s="84">
        <f t="shared" si="9"/>
        <v>0.34881794941803279</v>
      </c>
      <c r="V58" s="85">
        <v>88</v>
      </c>
      <c r="W58" s="85">
        <v>15</v>
      </c>
      <c r="X58" s="85">
        <v>1</v>
      </c>
      <c r="Y58" s="85">
        <v>0</v>
      </c>
      <c r="Z58" s="85">
        <f t="shared" si="10"/>
        <v>104</v>
      </c>
      <c r="AA58" s="85">
        <v>14.964</v>
      </c>
      <c r="AB58" s="85">
        <v>6.2720000000000002</v>
      </c>
      <c r="AC58" s="85">
        <v>0</v>
      </c>
      <c r="AD58" s="85">
        <v>0</v>
      </c>
      <c r="AE58" s="85">
        <f t="shared" si="12"/>
        <v>21.236000000000001</v>
      </c>
      <c r="AF58" s="86">
        <v>2</v>
      </c>
      <c r="AG58" s="87">
        <v>1.6035152829999999</v>
      </c>
      <c r="AH58" s="86">
        <v>0</v>
      </c>
      <c r="AI58" s="87">
        <v>0</v>
      </c>
      <c r="AJ58" s="86">
        <v>1</v>
      </c>
      <c r="AK58" s="87">
        <v>8.1259499999999996</v>
      </c>
      <c r="AL58" s="86">
        <v>0</v>
      </c>
      <c r="AM58" s="87">
        <v>0</v>
      </c>
      <c r="AN58" s="86">
        <v>0</v>
      </c>
      <c r="AO58" s="87">
        <v>0</v>
      </c>
      <c r="AP58" s="87">
        <f t="shared" si="13"/>
        <v>9.7294652829999997</v>
      </c>
      <c r="AQ58" s="88">
        <f t="shared" si="14"/>
        <v>1.6459987169999977</v>
      </c>
      <c r="AR58" s="117" t="str">
        <f t="shared" si="15"/>
        <v>Inspecciones</v>
      </c>
      <c r="AS58" s="107"/>
    </row>
    <row r="59" spans="1:45" hidden="1" x14ac:dyDescent="0.25">
      <c r="B59" s="2">
        <v>56</v>
      </c>
      <c r="C59" s="91" t="s">
        <v>136</v>
      </c>
      <c r="D59" s="115">
        <v>45360</v>
      </c>
      <c r="E59" s="102" t="s">
        <v>54</v>
      </c>
      <c r="F59" s="91">
        <v>6846</v>
      </c>
      <c r="G59" s="91" t="s">
        <v>47</v>
      </c>
      <c r="H59" s="91">
        <v>100</v>
      </c>
      <c r="I59" s="158" t="s">
        <v>137</v>
      </c>
      <c r="J59" s="90" t="s">
        <v>49</v>
      </c>
      <c r="K59" s="90" t="s">
        <v>50</v>
      </c>
      <c r="L59" s="50" t="s">
        <v>51</v>
      </c>
      <c r="M59" s="50" t="s">
        <v>51</v>
      </c>
      <c r="N59" s="50" t="s">
        <v>51</v>
      </c>
      <c r="O59" s="50" t="s">
        <v>50</v>
      </c>
      <c r="P59" s="106">
        <v>0.375</v>
      </c>
      <c r="Q59" s="105">
        <v>45352</v>
      </c>
      <c r="R59" s="56">
        <v>46.727780000000003</v>
      </c>
      <c r="S59" s="92">
        <f t="shared" si="11"/>
        <v>46.803000000000004</v>
      </c>
      <c r="T59" s="92">
        <f t="shared" si="8"/>
        <v>-7.5220000000001619E-2</v>
      </c>
      <c r="U59" s="93">
        <f t="shared" si="9"/>
        <v>-1.6097490614790948E-3</v>
      </c>
      <c r="V59" s="94">
        <v>270</v>
      </c>
      <c r="W59" s="94">
        <v>20</v>
      </c>
      <c r="X59" s="94">
        <v>1</v>
      </c>
      <c r="Y59" s="94">
        <v>1</v>
      </c>
      <c r="Z59" s="94">
        <f t="shared" si="10"/>
        <v>292</v>
      </c>
      <c r="AA59" s="94">
        <v>25.631</v>
      </c>
      <c r="AB59" s="94">
        <v>3.8210000000000002</v>
      </c>
      <c r="AC59" s="94">
        <v>4.68</v>
      </c>
      <c r="AD59" s="94">
        <v>12.670999999999999</v>
      </c>
      <c r="AE59" s="94">
        <f t="shared" si="12"/>
        <v>46.803000000000004</v>
      </c>
      <c r="AF59" s="73">
        <v>5</v>
      </c>
      <c r="AG59" s="97">
        <v>0.24568120600000001</v>
      </c>
      <c r="AH59" s="73">
        <v>0</v>
      </c>
      <c r="AI59" s="97">
        <v>0</v>
      </c>
      <c r="AJ59" s="73">
        <v>0</v>
      </c>
      <c r="AK59" s="97">
        <v>0</v>
      </c>
      <c r="AL59" s="73">
        <v>0</v>
      </c>
      <c r="AM59" s="97">
        <v>0</v>
      </c>
      <c r="AN59" s="73">
        <v>0</v>
      </c>
      <c r="AO59" s="97">
        <v>0</v>
      </c>
      <c r="AP59" s="97">
        <f t="shared" si="13"/>
        <v>0.24568120600000001</v>
      </c>
      <c r="AQ59" s="97">
        <f t="shared" si="14"/>
        <v>-0.3209012060000016</v>
      </c>
      <c r="AR59" s="90" t="str">
        <f t="shared" si="15"/>
        <v>Menores Compras</v>
      </c>
      <c r="AS59" s="90"/>
    </row>
    <row r="60" spans="1:45" hidden="1" x14ac:dyDescent="0.25">
      <c r="A60" s="168"/>
      <c r="B60" s="2">
        <v>57</v>
      </c>
      <c r="C60" s="67" t="s">
        <v>169</v>
      </c>
      <c r="D60" s="135">
        <v>45362</v>
      </c>
      <c r="E60" s="67" t="s">
        <v>54</v>
      </c>
      <c r="F60" s="67">
        <v>6795</v>
      </c>
      <c r="G60" s="67" t="s">
        <v>47</v>
      </c>
      <c r="H60" s="67">
        <v>100</v>
      </c>
      <c r="I60" s="159" t="s">
        <v>170</v>
      </c>
      <c r="J60" s="71" t="s">
        <v>49</v>
      </c>
      <c r="K60" s="90"/>
      <c r="L60" s="50" t="s">
        <v>51</v>
      </c>
      <c r="M60" s="90" t="s">
        <v>51</v>
      </c>
      <c r="N60" s="90" t="s">
        <v>51</v>
      </c>
      <c r="O60" s="103" t="s">
        <v>298</v>
      </c>
      <c r="P60" s="106">
        <v>0.86458333333333337</v>
      </c>
      <c r="Q60" s="141">
        <v>45352</v>
      </c>
      <c r="R60" s="56">
        <v>56.14</v>
      </c>
      <c r="S60" s="92">
        <f t="shared" si="11"/>
        <v>40</v>
      </c>
      <c r="T60" s="92">
        <f t="shared" si="8"/>
        <v>16.14</v>
      </c>
      <c r="U60" s="93">
        <f t="shared" si="9"/>
        <v>0.28749554684716783</v>
      </c>
      <c r="V60" s="139">
        <v>173</v>
      </c>
      <c r="W60" s="139">
        <v>39</v>
      </c>
      <c r="X60" s="139">
        <v>0</v>
      </c>
      <c r="Y60" s="139">
        <v>0</v>
      </c>
      <c r="Z60" s="94">
        <f t="shared" si="10"/>
        <v>212</v>
      </c>
      <c r="AA60" s="139">
        <v>29</v>
      </c>
      <c r="AB60" s="139">
        <v>11</v>
      </c>
      <c r="AC60" s="139">
        <v>0</v>
      </c>
      <c r="AD60" s="139">
        <v>0</v>
      </c>
      <c r="AE60" s="94">
        <f t="shared" si="12"/>
        <v>40</v>
      </c>
      <c r="AF60" s="73"/>
      <c r="AG60" s="50"/>
      <c r="AH60" s="73"/>
      <c r="AI60" s="50"/>
      <c r="AJ60" s="73"/>
      <c r="AK60" s="50"/>
      <c r="AL60" s="73"/>
      <c r="AM60" s="50"/>
      <c r="AN60" s="73"/>
      <c r="AO60" s="50"/>
      <c r="AP60" s="97">
        <f t="shared" si="13"/>
        <v>0</v>
      </c>
      <c r="AQ60" s="97"/>
      <c r="AR60" s="90"/>
      <c r="AS60" s="90"/>
    </row>
    <row r="61" spans="1:45" hidden="1" x14ac:dyDescent="0.25">
      <c r="A61" s="168"/>
      <c r="B61" s="2">
        <v>58</v>
      </c>
      <c r="C61" s="67" t="s">
        <v>171</v>
      </c>
      <c r="D61" s="135">
        <v>45362</v>
      </c>
      <c r="E61" s="67" t="s">
        <v>66</v>
      </c>
      <c r="F61" s="67">
        <v>8109</v>
      </c>
      <c r="G61" s="67" t="s">
        <v>47</v>
      </c>
      <c r="H61" s="67">
        <v>140</v>
      </c>
      <c r="I61" s="159" t="s">
        <v>172</v>
      </c>
      <c r="J61" s="71" t="s">
        <v>68</v>
      </c>
      <c r="K61" s="90"/>
      <c r="L61" s="50" t="s">
        <v>51</v>
      </c>
      <c r="M61" s="90" t="s">
        <v>51</v>
      </c>
      <c r="N61" s="90" t="s">
        <v>51</v>
      </c>
      <c r="O61" s="144" t="s">
        <v>56</v>
      </c>
      <c r="P61" s="106">
        <v>0.35416666666666669</v>
      </c>
      <c r="Q61" s="142">
        <v>45352</v>
      </c>
      <c r="R61" s="56">
        <v>26.73</v>
      </c>
      <c r="S61" s="92">
        <f t="shared" si="11"/>
        <v>31</v>
      </c>
      <c r="T61" s="92">
        <f t="shared" si="8"/>
        <v>-4.2699999999999996</v>
      </c>
      <c r="U61" s="93">
        <f t="shared" si="9"/>
        <v>-0.15974560419004863</v>
      </c>
      <c r="V61" s="139">
        <v>5</v>
      </c>
      <c r="W61" s="139">
        <v>34</v>
      </c>
      <c r="X61" s="139">
        <v>6</v>
      </c>
      <c r="Y61" s="139">
        <v>0</v>
      </c>
      <c r="Z61" s="94">
        <f t="shared" si="10"/>
        <v>45</v>
      </c>
      <c r="AA61" s="139">
        <v>1</v>
      </c>
      <c r="AB61" s="139">
        <v>10</v>
      </c>
      <c r="AC61" s="139">
        <v>20</v>
      </c>
      <c r="AD61" s="139">
        <v>0</v>
      </c>
      <c r="AE61" s="94">
        <f t="shared" si="12"/>
        <v>31</v>
      </c>
      <c r="AF61" s="73"/>
      <c r="AG61" s="50"/>
      <c r="AH61" s="73"/>
      <c r="AI61" s="50"/>
      <c r="AJ61" s="73"/>
      <c r="AK61" s="50"/>
      <c r="AL61" s="73"/>
      <c r="AM61" s="50"/>
      <c r="AN61" s="73"/>
      <c r="AO61" s="50"/>
      <c r="AP61" s="97">
        <f t="shared" si="13"/>
        <v>0</v>
      </c>
      <c r="AQ61" s="97"/>
      <c r="AR61" s="90"/>
      <c r="AS61" s="90"/>
    </row>
    <row r="62" spans="1:45" hidden="1" x14ac:dyDescent="0.25">
      <c r="A62" s="168"/>
      <c r="B62" s="2">
        <v>59</v>
      </c>
      <c r="C62" s="67" t="s">
        <v>173</v>
      </c>
      <c r="D62" s="135">
        <v>45362</v>
      </c>
      <c r="E62" s="67" t="s">
        <v>66</v>
      </c>
      <c r="F62" s="67">
        <v>8113</v>
      </c>
      <c r="G62" s="67" t="s">
        <v>47</v>
      </c>
      <c r="H62" s="67">
        <v>100</v>
      </c>
      <c r="I62" s="159" t="s">
        <v>174</v>
      </c>
      <c r="J62" s="71" t="s">
        <v>68</v>
      </c>
      <c r="K62" s="90"/>
      <c r="L62" s="50" t="s">
        <v>51</v>
      </c>
      <c r="M62" s="90" t="s">
        <v>51</v>
      </c>
      <c r="N62" s="90" t="s">
        <v>51</v>
      </c>
      <c r="O62" s="144" t="s">
        <v>56</v>
      </c>
      <c r="P62" s="106">
        <v>0.42708333333333331</v>
      </c>
      <c r="Q62" s="142">
        <v>45352</v>
      </c>
      <c r="R62" s="56">
        <v>13.19</v>
      </c>
      <c r="S62" s="92">
        <f t="shared" si="11"/>
        <v>13</v>
      </c>
      <c r="T62" s="92">
        <f t="shared" si="8"/>
        <v>0.1899999999999995</v>
      </c>
      <c r="U62" s="93">
        <f t="shared" si="9"/>
        <v>1.4404852160727786E-2</v>
      </c>
      <c r="V62" s="139">
        <v>13</v>
      </c>
      <c r="W62" s="139">
        <v>29</v>
      </c>
      <c r="X62" s="139">
        <v>3</v>
      </c>
      <c r="Y62" s="139">
        <v>0</v>
      </c>
      <c r="Z62" s="94">
        <f t="shared" si="10"/>
        <v>45</v>
      </c>
      <c r="AA62" s="139">
        <v>2</v>
      </c>
      <c r="AB62" s="139">
        <v>10</v>
      </c>
      <c r="AC62" s="139">
        <v>1</v>
      </c>
      <c r="AD62" s="139">
        <v>0</v>
      </c>
      <c r="AE62" s="94">
        <f t="shared" si="12"/>
        <v>13</v>
      </c>
      <c r="AF62" s="73"/>
      <c r="AG62" s="50"/>
      <c r="AH62" s="73"/>
      <c r="AI62" s="50"/>
      <c r="AJ62" s="73"/>
      <c r="AK62" s="50"/>
      <c r="AL62" s="73"/>
      <c r="AM62" s="50"/>
      <c r="AN62" s="73"/>
      <c r="AO62" s="50"/>
      <c r="AP62" s="97">
        <f t="shared" si="13"/>
        <v>0</v>
      </c>
      <c r="AQ62" s="97"/>
      <c r="AR62" s="90"/>
      <c r="AS62" s="90"/>
    </row>
    <row r="63" spans="1:45" hidden="1" x14ac:dyDescent="0.25">
      <c r="A63" s="168"/>
      <c r="B63" s="2">
        <v>60</v>
      </c>
      <c r="C63" s="67" t="s">
        <v>175</v>
      </c>
      <c r="D63" s="135">
        <v>45362</v>
      </c>
      <c r="E63" s="67" t="s">
        <v>54</v>
      </c>
      <c r="F63" s="67">
        <v>6797</v>
      </c>
      <c r="G63" s="67" t="s">
        <v>47</v>
      </c>
      <c r="H63" s="67">
        <v>100</v>
      </c>
      <c r="I63" s="159" t="s">
        <v>214</v>
      </c>
      <c r="J63" s="71" t="s">
        <v>49</v>
      </c>
      <c r="K63" s="90"/>
      <c r="L63" s="50" t="s">
        <v>51</v>
      </c>
      <c r="M63" s="90" t="s">
        <v>51</v>
      </c>
      <c r="N63" s="90" t="s">
        <v>60</v>
      </c>
      <c r="O63" s="144" t="s">
        <v>56</v>
      </c>
      <c r="P63" s="106">
        <v>0.61458333333333337</v>
      </c>
      <c r="Q63" s="142">
        <v>45352</v>
      </c>
      <c r="R63" s="56">
        <v>100.29</v>
      </c>
      <c r="S63" s="92">
        <f t="shared" si="11"/>
        <v>25</v>
      </c>
      <c r="T63" s="92">
        <f t="shared" si="8"/>
        <v>75.290000000000006</v>
      </c>
      <c r="U63" s="93">
        <f t="shared" si="9"/>
        <v>0.75072290357961913</v>
      </c>
      <c r="V63" s="139">
        <v>37</v>
      </c>
      <c r="W63" s="139">
        <v>17</v>
      </c>
      <c r="X63" s="139">
        <v>4</v>
      </c>
      <c r="Y63" s="139">
        <v>0</v>
      </c>
      <c r="Z63" s="94">
        <f t="shared" si="10"/>
        <v>58</v>
      </c>
      <c r="AA63" s="139">
        <v>7</v>
      </c>
      <c r="AB63" s="139">
        <v>4</v>
      </c>
      <c r="AC63" s="139">
        <v>14</v>
      </c>
      <c r="AD63" s="139">
        <v>0</v>
      </c>
      <c r="AE63" s="94">
        <f t="shared" si="12"/>
        <v>25</v>
      </c>
      <c r="AF63" s="73"/>
      <c r="AG63" s="50"/>
      <c r="AH63" s="73"/>
      <c r="AI63" s="50"/>
      <c r="AJ63" s="73"/>
      <c r="AK63" s="50"/>
      <c r="AL63" s="73"/>
      <c r="AM63" s="50"/>
      <c r="AN63" s="73"/>
      <c r="AO63" s="50"/>
      <c r="AP63" s="97">
        <f t="shared" si="13"/>
        <v>0</v>
      </c>
      <c r="AQ63" s="97"/>
      <c r="AR63" s="90"/>
      <c r="AS63" s="90"/>
    </row>
    <row r="64" spans="1:45" hidden="1" x14ac:dyDescent="0.25">
      <c r="A64" s="168"/>
      <c r="B64" s="2">
        <v>61</v>
      </c>
      <c r="C64" s="67" t="s">
        <v>176</v>
      </c>
      <c r="D64" s="135">
        <v>45362</v>
      </c>
      <c r="E64" s="67" t="s">
        <v>66</v>
      </c>
      <c r="F64" s="67">
        <v>8094</v>
      </c>
      <c r="G64" s="67" t="s">
        <v>47</v>
      </c>
      <c r="H64" s="67">
        <v>400</v>
      </c>
      <c r="I64" s="159" t="s">
        <v>177</v>
      </c>
      <c r="J64" s="71" t="s">
        <v>68</v>
      </c>
      <c r="K64" s="90"/>
      <c r="L64" s="50" t="s">
        <v>51</v>
      </c>
      <c r="M64" s="90" t="s">
        <v>51</v>
      </c>
      <c r="N64" s="90" t="s">
        <v>51</v>
      </c>
      <c r="O64" s="144" t="s">
        <v>56</v>
      </c>
      <c r="P64" s="106">
        <v>0.61458333333333337</v>
      </c>
      <c r="Q64" s="142">
        <v>45352</v>
      </c>
      <c r="R64" s="56">
        <v>51.67</v>
      </c>
      <c r="S64" s="92">
        <f t="shared" si="11"/>
        <v>55</v>
      </c>
      <c r="T64" s="92">
        <f t="shared" si="8"/>
        <v>-3.3299999999999983</v>
      </c>
      <c r="U64" s="93">
        <f t="shared" si="9"/>
        <v>-6.4447455002902998E-2</v>
      </c>
      <c r="V64" s="139">
        <v>14</v>
      </c>
      <c r="W64" s="139">
        <v>12</v>
      </c>
      <c r="X64" s="139">
        <v>1</v>
      </c>
      <c r="Y64" s="139">
        <v>1</v>
      </c>
      <c r="Z64" s="94">
        <f t="shared" si="10"/>
        <v>28</v>
      </c>
      <c r="AA64" s="139">
        <v>2</v>
      </c>
      <c r="AB64" s="139">
        <v>12</v>
      </c>
      <c r="AC64" s="139">
        <v>26</v>
      </c>
      <c r="AD64" s="139">
        <v>15</v>
      </c>
      <c r="AE64" s="94">
        <f t="shared" si="12"/>
        <v>55</v>
      </c>
      <c r="AF64" s="73"/>
      <c r="AG64" s="50"/>
      <c r="AH64" s="73"/>
      <c r="AI64" s="50"/>
      <c r="AJ64" s="73"/>
      <c r="AK64" s="50"/>
      <c r="AL64" s="73"/>
      <c r="AM64" s="50"/>
      <c r="AN64" s="73"/>
      <c r="AO64" s="50"/>
      <c r="AP64" s="97">
        <f t="shared" si="13"/>
        <v>0</v>
      </c>
      <c r="AQ64" s="97"/>
      <c r="AR64" s="90"/>
      <c r="AS64" s="90"/>
    </row>
    <row r="65" spans="1:45" hidden="1" x14ac:dyDescent="0.25">
      <c r="A65" s="168"/>
      <c r="B65" s="2">
        <v>62</v>
      </c>
      <c r="C65" s="67" t="s">
        <v>178</v>
      </c>
      <c r="D65" s="135">
        <v>45363</v>
      </c>
      <c r="E65" s="67" t="s">
        <v>46</v>
      </c>
      <c r="F65" s="67">
        <v>6817</v>
      </c>
      <c r="G65" s="67" t="s">
        <v>47</v>
      </c>
      <c r="H65" s="67">
        <v>100</v>
      </c>
      <c r="I65" s="159" t="s">
        <v>215</v>
      </c>
      <c r="J65" s="71" t="s">
        <v>49</v>
      </c>
      <c r="K65" s="90"/>
      <c r="L65" s="50" t="s">
        <v>51</v>
      </c>
      <c r="M65" s="90" t="s">
        <v>51</v>
      </c>
      <c r="N65" s="90" t="s">
        <v>51</v>
      </c>
      <c r="O65" s="103" t="s">
        <v>298</v>
      </c>
      <c r="P65" s="106">
        <v>0.86458333333333337</v>
      </c>
      <c r="Q65" s="142">
        <v>45352</v>
      </c>
      <c r="R65" s="56">
        <v>62.84</v>
      </c>
      <c r="S65" s="92">
        <f t="shared" si="11"/>
        <v>54</v>
      </c>
      <c r="T65" s="92">
        <f t="shared" si="8"/>
        <v>8.8400000000000034</v>
      </c>
      <c r="U65" s="93">
        <f t="shared" si="9"/>
        <v>0.14067472947167414</v>
      </c>
      <c r="V65" s="139">
        <v>151</v>
      </c>
      <c r="W65" s="139">
        <v>59</v>
      </c>
      <c r="X65" s="139">
        <v>4</v>
      </c>
      <c r="Y65" s="139">
        <v>0</v>
      </c>
      <c r="Z65" s="94">
        <f t="shared" si="10"/>
        <v>214</v>
      </c>
      <c r="AA65" s="139">
        <v>31</v>
      </c>
      <c r="AB65" s="139">
        <v>20</v>
      </c>
      <c r="AC65" s="139">
        <v>3</v>
      </c>
      <c r="AD65" s="139">
        <v>0</v>
      </c>
      <c r="AE65" s="94">
        <f t="shared" si="12"/>
        <v>54</v>
      </c>
      <c r="AF65" s="73"/>
      <c r="AG65" s="50"/>
      <c r="AH65" s="73"/>
      <c r="AI65" s="50"/>
      <c r="AJ65" s="73"/>
      <c r="AK65" s="50"/>
      <c r="AL65" s="73"/>
      <c r="AM65" s="50"/>
      <c r="AN65" s="73"/>
      <c r="AO65" s="50"/>
      <c r="AP65" s="97">
        <f t="shared" si="13"/>
        <v>0</v>
      </c>
      <c r="AQ65" s="97"/>
      <c r="AR65" s="90"/>
      <c r="AS65" s="90"/>
    </row>
    <row r="66" spans="1:45" hidden="1" x14ac:dyDescent="0.25">
      <c r="A66" s="168"/>
      <c r="B66" s="2">
        <v>63</v>
      </c>
      <c r="C66" s="67" t="s">
        <v>179</v>
      </c>
      <c r="D66" s="135">
        <v>45363</v>
      </c>
      <c r="E66" s="67" t="s">
        <v>66</v>
      </c>
      <c r="F66" s="67">
        <v>8126</v>
      </c>
      <c r="G66" s="67" t="s">
        <v>47</v>
      </c>
      <c r="H66" s="67">
        <v>400</v>
      </c>
      <c r="I66" s="159" t="s">
        <v>180</v>
      </c>
      <c r="J66" s="71" t="s">
        <v>68</v>
      </c>
      <c r="K66" s="90"/>
      <c r="L66" s="50" t="s">
        <v>51</v>
      </c>
      <c r="M66" s="90" t="s">
        <v>51</v>
      </c>
      <c r="N66" s="90" t="s">
        <v>51</v>
      </c>
      <c r="O66" s="103" t="s">
        <v>298</v>
      </c>
      <c r="P66" s="106">
        <v>0.85416666666666663</v>
      </c>
      <c r="Q66" s="142">
        <v>45352</v>
      </c>
      <c r="R66" s="56">
        <v>112.56</v>
      </c>
      <c r="S66" s="92">
        <f t="shared" si="11"/>
        <v>76</v>
      </c>
      <c r="T66" s="92">
        <f t="shared" si="8"/>
        <v>36.56</v>
      </c>
      <c r="U66" s="93">
        <f t="shared" si="9"/>
        <v>0.32480454868514569</v>
      </c>
      <c r="V66" s="139">
        <v>285</v>
      </c>
      <c r="W66" s="139">
        <v>12</v>
      </c>
      <c r="X66" s="139">
        <v>1</v>
      </c>
      <c r="Y66" s="139">
        <v>0</v>
      </c>
      <c r="Z66" s="94">
        <f t="shared" si="10"/>
        <v>298</v>
      </c>
      <c r="AA66" s="139">
        <v>70</v>
      </c>
      <c r="AB66" s="139">
        <v>6</v>
      </c>
      <c r="AC66" s="139">
        <v>0</v>
      </c>
      <c r="AD66" s="139">
        <v>0</v>
      </c>
      <c r="AE66" s="94">
        <f t="shared" si="12"/>
        <v>76</v>
      </c>
      <c r="AF66" s="73"/>
      <c r="AG66" s="50"/>
      <c r="AH66" s="73"/>
      <c r="AI66" s="50"/>
      <c r="AJ66" s="73"/>
      <c r="AK66" s="50"/>
      <c r="AL66" s="73"/>
      <c r="AM66" s="50"/>
      <c r="AN66" s="73"/>
      <c r="AO66" s="50"/>
      <c r="AP66" s="97">
        <f t="shared" si="13"/>
        <v>0</v>
      </c>
      <c r="AQ66" s="97"/>
      <c r="AR66" s="90"/>
      <c r="AS66" s="90"/>
    </row>
    <row r="67" spans="1:45" hidden="1" x14ac:dyDescent="0.25">
      <c r="A67" s="168"/>
      <c r="B67" s="2">
        <v>64</v>
      </c>
      <c r="C67" s="67" t="s">
        <v>181</v>
      </c>
      <c r="D67" s="135">
        <v>45363</v>
      </c>
      <c r="E67" s="67" t="s">
        <v>73</v>
      </c>
      <c r="F67" s="67">
        <v>6809</v>
      </c>
      <c r="G67" s="67" t="s">
        <v>47</v>
      </c>
      <c r="H67" s="67">
        <v>300</v>
      </c>
      <c r="I67" s="159" t="s">
        <v>216</v>
      </c>
      <c r="J67" s="71" t="s">
        <v>49</v>
      </c>
      <c r="K67" s="90"/>
      <c r="L67" s="50" t="s">
        <v>51</v>
      </c>
      <c r="M67" s="90" t="s">
        <v>51</v>
      </c>
      <c r="N67" s="90" t="s">
        <v>51</v>
      </c>
      <c r="O67" s="103" t="s">
        <v>298</v>
      </c>
      <c r="P67" s="106">
        <v>0.82291666666666663</v>
      </c>
      <c r="Q67" s="142">
        <v>45352</v>
      </c>
      <c r="R67" s="56">
        <v>127.14</v>
      </c>
      <c r="S67" s="92">
        <f t="shared" si="11"/>
        <v>116</v>
      </c>
      <c r="T67" s="92">
        <f t="shared" si="8"/>
        <v>11.14</v>
      </c>
      <c r="U67" s="93">
        <f t="shared" si="9"/>
        <v>8.7619946515652039E-2</v>
      </c>
      <c r="V67" s="139">
        <v>210</v>
      </c>
      <c r="W67" s="139">
        <v>37</v>
      </c>
      <c r="X67" s="139">
        <v>1</v>
      </c>
      <c r="Y67" s="139">
        <v>1</v>
      </c>
      <c r="Z67" s="94">
        <f t="shared" si="10"/>
        <v>249</v>
      </c>
      <c r="AA67" s="139">
        <v>68</v>
      </c>
      <c r="AB67" s="139">
        <v>28</v>
      </c>
      <c r="AC67" s="139">
        <v>12</v>
      </c>
      <c r="AD67" s="139">
        <v>8</v>
      </c>
      <c r="AE67" s="94">
        <f t="shared" si="12"/>
        <v>116</v>
      </c>
      <c r="AF67" s="73"/>
      <c r="AG67" s="50"/>
      <c r="AH67" s="73"/>
      <c r="AI67" s="50"/>
      <c r="AJ67" s="73"/>
      <c r="AK67" s="50"/>
      <c r="AL67" s="73"/>
      <c r="AM67" s="50"/>
      <c r="AN67" s="73"/>
      <c r="AO67" s="50"/>
      <c r="AP67" s="97">
        <f t="shared" si="13"/>
        <v>0</v>
      </c>
      <c r="AQ67" s="97"/>
      <c r="AR67" s="90"/>
      <c r="AS67" s="90"/>
    </row>
    <row r="68" spans="1:45" hidden="1" x14ac:dyDescent="0.25">
      <c r="A68" s="168"/>
      <c r="B68" s="2">
        <v>65</v>
      </c>
      <c r="C68" s="67" t="s">
        <v>182</v>
      </c>
      <c r="D68" s="135">
        <v>45363</v>
      </c>
      <c r="E68" s="67" t="s">
        <v>66</v>
      </c>
      <c r="F68" s="67">
        <v>8103</v>
      </c>
      <c r="G68" s="67" t="s">
        <v>47</v>
      </c>
      <c r="H68" s="67">
        <v>400</v>
      </c>
      <c r="I68" s="159" t="s">
        <v>183</v>
      </c>
      <c r="J68" s="71" t="s">
        <v>68</v>
      </c>
      <c r="K68" s="90"/>
      <c r="L68" s="50" t="s">
        <v>51</v>
      </c>
      <c r="M68" s="90" t="s">
        <v>51</v>
      </c>
      <c r="N68" s="90" t="s">
        <v>51</v>
      </c>
      <c r="O68" s="103" t="s">
        <v>298</v>
      </c>
      <c r="P68" s="106">
        <v>0.82291666666666663</v>
      </c>
      <c r="Q68" s="142">
        <v>45352</v>
      </c>
      <c r="R68" s="56">
        <v>135.29</v>
      </c>
      <c r="S68" s="92">
        <f t="shared" si="11"/>
        <v>110</v>
      </c>
      <c r="T68" s="92">
        <f t="shared" ref="T68:T99" si="16">R68-S68</f>
        <v>25.289999999999992</v>
      </c>
      <c r="U68" s="93">
        <f t="shared" ref="U68:U99" si="17">IFERROR(T68/R68,"")</f>
        <v>0.18693177618449253</v>
      </c>
      <c r="V68" s="139">
        <v>317</v>
      </c>
      <c r="W68" s="139">
        <v>26</v>
      </c>
      <c r="X68" s="139">
        <v>0</v>
      </c>
      <c r="Y68" s="139">
        <v>2</v>
      </c>
      <c r="Z68" s="94">
        <f t="shared" ref="Z68:Z88" si="18">+SUM(V68:Y68)</f>
        <v>345</v>
      </c>
      <c r="AA68" s="139">
        <v>79</v>
      </c>
      <c r="AB68" s="139">
        <v>19</v>
      </c>
      <c r="AC68" s="139">
        <v>0</v>
      </c>
      <c r="AD68" s="139">
        <v>12</v>
      </c>
      <c r="AE68" s="94">
        <f t="shared" si="12"/>
        <v>110</v>
      </c>
      <c r="AF68" s="73"/>
      <c r="AG68" s="50"/>
      <c r="AH68" s="73"/>
      <c r="AI68" s="50"/>
      <c r="AJ68" s="73"/>
      <c r="AK68" s="50"/>
      <c r="AL68" s="73"/>
      <c r="AM68" s="50"/>
      <c r="AN68" s="73"/>
      <c r="AO68" s="50"/>
      <c r="AP68" s="97">
        <f t="shared" si="13"/>
        <v>0</v>
      </c>
      <c r="AQ68" s="97"/>
      <c r="AR68" s="90"/>
      <c r="AS68" s="90"/>
    </row>
    <row r="69" spans="1:45" hidden="1" x14ac:dyDescent="0.25">
      <c r="A69" s="168"/>
      <c r="B69" s="2">
        <v>66</v>
      </c>
      <c r="C69" s="67" t="s">
        <v>184</v>
      </c>
      <c r="D69" s="135">
        <v>45364</v>
      </c>
      <c r="E69" s="67" t="s">
        <v>54</v>
      </c>
      <c r="F69" s="67">
        <v>6810</v>
      </c>
      <c r="G69" s="67" t="s">
        <v>47</v>
      </c>
      <c r="H69" s="67">
        <v>60</v>
      </c>
      <c r="I69" s="159" t="s">
        <v>217</v>
      </c>
      <c r="J69" s="71" t="s">
        <v>49</v>
      </c>
      <c r="K69" s="90"/>
      <c r="L69" s="50" t="s">
        <v>51</v>
      </c>
      <c r="M69" s="90" t="s">
        <v>51</v>
      </c>
      <c r="N69" s="90" t="s">
        <v>51</v>
      </c>
      <c r="O69" s="144" t="s">
        <v>56</v>
      </c>
      <c r="P69" s="106">
        <v>0.61458333333333337</v>
      </c>
      <c r="Q69" s="142">
        <v>45352</v>
      </c>
      <c r="R69" s="56">
        <v>3.88</v>
      </c>
      <c r="S69" s="92">
        <f t="shared" si="11"/>
        <v>1</v>
      </c>
      <c r="T69" s="92">
        <f t="shared" si="16"/>
        <v>2.88</v>
      </c>
      <c r="U69" s="93">
        <f t="shared" si="17"/>
        <v>0.74226804123711343</v>
      </c>
      <c r="V69" s="139">
        <v>2</v>
      </c>
      <c r="W69" s="139">
        <v>2</v>
      </c>
      <c r="X69" s="139">
        <v>0</v>
      </c>
      <c r="Y69" s="139">
        <v>0</v>
      </c>
      <c r="Z69" s="94">
        <f t="shared" si="18"/>
        <v>4</v>
      </c>
      <c r="AA69" s="139">
        <v>0</v>
      </c>
      <c r="AB69" s="139">
        <v>1</v>
      </c>
      <c r="AC69" s="139">
        <v>0</v>
      </c>
      <c r="AD69" s="139">
        <v>0</v>
      </c>
      <c r="AE69" s="94">
        <f t="shared" si="12"/>
        <v>1</v>
      </c>
      <c r="AF69" s="73"/>
      <c r="AG69" s="50"/>
      <c r="AH69" s="73"/>
      <c r="AI69" s="50"/>
      <c r="AJ69" s="73"/>
      <c r="AK69" s="50"/>
      <c r="AL69" s="73"/>
      <c r="AM69" s="50"/>
      <c r="AN69" s="73"/>
      <c r="AO69" s="50"/>
      <c r="AP69" s="97">
        <f t="shared" si="13"/>
        <v>0</v>
      </c>
      <c r="AQ69" s="97"/>
      <c r="AR69" s="90"/>
      <c r="AS69" s="90"/>
    </row>
    <row r="70" spans="1:45" hidden="1" x14ac:dyDescent="0.25">
      <c r="A70" s="168"/>
      <c r="B70" s="2">
        <v>67</v>
      </c>
      <c r="C70" s="67" t="s">
        <v>185</v>
      </c>
      <c r="D70" s="135">
        <v>45364</v>
      </c>
      <c r="E70" s="67" t="s">
        <v>66</v>
      </c>
      <c r="F70" s="67">
        <v>8159</v>
      </c>
      <c r="G70" s="67" t="s">
        <v>47</v>
      </c>
      <c r="H70" s="67">
        <v>100</v>
      </c>
      <c r="I70" s="159" t="s">
        <v>186</v>
      </c>
      <c r="J70" s="71" t="s">
        <v>68</v>
      </c>
      <c r="K70" s="90"/>
      <c r="L70" s="50" t="s">
        <v>51</v>
      </c>
      <c r="M70" s="90" t="s">
        <v>51</v>
      </c>
      <c r="N70" s="90" t="s">
        <v>51</v>
      </c>
      <c r="O70" s="103" t="s">
        <v>303</v>
      </c>
      <c r="P70" s="106">
        <v>0.8125</v>
      </c>
      <c r="Q70" s="142">
        <v>45352</v>
      </c>
      <c r="R70" s="56">
        <v>38.51</v>
      </c>
      <c r="S70" s="92">
        <f t="shared" si="11"/>
        <v>29</v>
      </c>
      <c r="T70" s="92">
        <f t="shared" si="16"/>
        <v>9.509999999999998</v>
      </c>
      <c r="U70" s="93">
        <f t="shared" si="17"/>
        <v>0.24694884445598542</v>
      </c>
      <c r="V70" s="139">
        <v>166</v>
      </c>
      <c r="W70" s="139">
        <v>70</v>
      </c>
      <c r="X70" s="139">
        <v>1</v>
      </c>
      <c r="Y70" s="139">
        <v>0</v>
      </c>
      <c r="Z70" s="94">
        <f t="shared" si="18"/>
        <v>237</v>
      </c>
      <c r="AA70" s="139">
        <v>16</v>
      </c>
      <c r="AB70" s="139">
        <v>13</v>
      </c>
      <c r="AC70" s="139">
        <v>0</v>
      </c>
      <c r="AD70" s="139">
        <v>0</v>
      </c>
      <c r="AE70" s="94">
        <f t="shared" si="12"/>
        <v>29</v>
      </c>
      <c r="AF70" s="73"/>
      <c r="AG70" s="50"/>
      <c r="AH70" s="73"/>
      <c r="AI70" s="50"/>
      <c r="AJ70" s="73"/>
      <c r="AK70" s="50"/>
      <c r="AL70" s="73"/>
      <c r="AM70" s="50"/>
      <c r="AN70" s="73"/>
      <c r="AO70" s="50"/>
      <c r="AP70" s="97">
        <f t="shared" si="13"/>
        <v>0</v>
      </c>
      <c r="AQ70" s="97"/>
      <c r="AR70" s="90"/>
      <c r="AS70" s="90"/>
    </row>
    <row r="71" spans="1:45" hidden="1" x14ac:dyDescent="0.25">
      <c r="A71" s="168"/>
      <c r="B71" s="59">
        <v>68</v>
      </c>
      <c r="C71" s="127" t="s">
        <v>187</v>
      </c>
      <c r="D71" s="136">
        <v>45364</v>
      </c>
      <c r="E71" s="127" t="s">
        <v>54</v>
      </c>
      <c r="F71" s="67">
        <v>6832</v>
      </c>
      <c r="G71" s="67" t="s">
        <v>47</v>
      </c>
      <c r="H71" s="67">
        <v>60</v>
      </c>
      <c r="I71" s="159" t="s">
        <v>218</v>
      </c>
      <c r="J71" s="71" t="s">
        <v>49</v>
      </c>
      <c r="K71" s="90"/>
      <c r="L71" s="50" t="s">
        <v>51</v>
      </c>
      <c r="M71" s="90" t="s">
        <v>51</v>
      </c>
      <c r="N71" s="90" t="s">
        <v>60</v>
      </c>
      <c r="O71" s="145" t="s">
        <v>219</v>
      </c>
      <c r="P71" s="106" t="s">
        <v>219</v>
      </c>
      <c r="Q71" s="143" t="s">
        <v>219</v>
      </c>
      <c r="R71" s="56" t="s">
        <v>219</v>
      </c>
      <c r="S71" s="92">
        <f t="shared" si="11"/>
        <v>3</v>
      </c>
      <c r="T71" s="92" t="e">
        <f t="shared" si="16"/>
        <v>#VALUE!</v>
      </c>
      <c r="U71" s="93" t="str">
        <f t="shared" si="17"/>
        <v/>
      </c>
      <c r="V71" s="139">
        <v>2</v>
      </c>
      <c r="W71" s="139">
        <v>6</v>
      </c>
      <c r="X71" s="139">
        <v>1</v>
      </c>
      <c r="Y71" s="139">
        <v>0</v>
      </c>
      <c r="Z71" s="94">
        <f t="shared" si="18"/>
        <v>9</v>
      </c>
      <c r="AA71" s="139">
        <v>0</v>
      </c>
      <c r="AB71" s="139">
        <v>1</v>
      </c>
      <c r="AC71" s="139">
        <v>2</v>
      </c>
      <c r="AD71" s="139">
        <v>0</v>
      </c>
      <c r="AE71" s="94">
        <f t="shared" si="12"/>
        <v>3</v>
      </c>
      <c r="AF71" s="73"/>
      <c r="AG71" s="50"/>
      <c r="AH71" s="73"/>
      <c r="AI71" s="50"/>
      <c r="AJ71" s="73"/>
      <c r="AK71" s="50"/>
      <c r="AL71" s="73"/>
      <c r="AM71" s="50"/>
      <c r="AN71" s="73"/>
      <c r="AO71" s="50"/>
      <c r="AP71" s="97">
        <f t="shared" si="13"/>
        <v>0</v>
      </c>
      <c r="AQ71" s="97"/>
      <c r="AR71" s="90"/>
      <c r="AS71" s="90"/>
    </row>
    <row r="72" spans="1:45" hidden="1" x14ac:dyDescent="0.25">
      <c r="A72" s="168"/>
      <c r="B72" s="50">
        <v>69</v>
      </c>
      <c r="C72" s="71" t="s">
        <v>188</v>
      </c>
      <c r="D72" s="137">
        <v>45364</v>
      </c>
      <c r="E72" s="71" t="s">
        <v>66</v>
      </c>
      <c r="F72" s="127">
        <v>8143</v>
      </c>
      <c r="G72" s="127" t="s">
        <v>47</v>
      </c>
      <c r="H72" s="127">
        <v>140</v>
      </c>
      <c r="I72" s="160" t="s">
        <v>186</v>
      </c>
      <c r="J72" s="131" t="s">
        <v>68</v>
      </c>
      <c r="K72" s="129"/>
      <c r="L72" s="132" t="s">
        <v>51</v>
      </c>
      <c r="M72" s="129" t="s">
        <v>51</v>
      </c>
      <c r="N72" s="129" t="s">
        <v>51</v>
      </c>
      <c r="O72" s="103" t="s">
        <v>303</v>
      </c>
      <c r="P72" s="106">
        <v>0.83333333333333337</v>
      </c>
      <c r="Q72" s="142">
        <v>45352</v>
      </c>
      <c r="R72" s="56">
        <v>20.58</v>
      </c>
      <c r="S72" s="92">
        <f t="shared" si="11"/>
        <v>14</v>
      </c>
      <c r="T72" s="92">
        <f t="shared" si="16"/>
        <v>6.5799999999999983</v>
      </c>
      <c r="U72" s="93">
        <f t="shared" si="17"/>
        <v>0.31972789115646255</v>
      </c>
      <c r="V72" s="140">
        <v>105</v>
      </c>
      <c r="W72" s="140">
        <v>30</v>
      </c>
      <c r="X72" s="140">
        <v>0</v>
      </c>
      <c r="Y72" s="140">
        <v>0</v>
      </c>
      <c r="Z72" s="94">
        <f t="shared" si="18"/>
        <v>135</v>
      </c>
      <c r="AA72" s="140">
        <v>10</v>
      </c>
      <c r="AB72" s="140">
        <v>4</v>
      </c>
      <c r="AC72" s="140">
        <v>0</v>
      </c>
      <c r="AD72" s="140">
        <v>0</v>
      </c>
      <c r="AE72" s="94">
        <f t="shared" si="12"/>
        <v>14</v>
      </c>
      <c r="AF72" s="133"/>
      <c r="AG72" s="132"/>
      <c r="AH72" s="133"/>
      <c r="AI72" s="132"/>
      <c r="AJ72" s="133"/>
      <c r="AK72" s="132"/>
      <c r="AL72" s="133"/>
      <c r="AM72" s="132"/>
      <c r="AN72" s="133"/>
      <c r="AO72" s="132"/>
      <c r="AP72" s="97">
        <f t="shared" si="13"/>
        <v>0</v>
      </c>
      <c r="AQ72" s="97"/>
      <c r="AR72" s="90"/>
      <c r="AS72" s="129"/>
    </row>
    <row r="73" spans="1:45" hidden="1" x14ac:dyDescent="0.25">
      <c r="A73" s="4"/>
      <c r="B73" s="50">
        <v>70</v>
      </c>
      <c r="C73" s="50" t="s">
        <v>220</v>
      </c>
      <c r="D73" s="138">
        <v>45365.371527777781</v>
      </c>
      <c r="E73" s="130" t="s">
        <v>54</v>
      </c>
      <c r="F73" s="50">
        <v>8162</v>
      </c>
      <c r="G73" s="50" t="s">
        <v>47</v>
      </c>
      <c r="H73" s="50">
        <v>60</v>
      </c>
      <c r="I73" s="161" t="s">
        <v>221</v>
      </c>
      <c r="J73" s="90" t="s">
        <v>49</v>
      </c>
      <c r="K73" s="90"/>
      <c r="L73" s="132" t="s">
        <v>51</v>
      </c>
      <c r="M73" s="90" t="s">
        <v>51</v>
      </c>
      <c r="N73" s="50" t="s">
        <v>51</v>
      </c>
      <c r="O73" s="144" t="s">
        <v>56</v>
      </c>
      <c r="P73" s="106">
        <v>0.66666666666666663</v>
      </c>
      <c r="Q73" s="142">
        <v>45352</v>
      </c>
      <c r="R73" s="56">
        <v>41.759085859999999</v>
      </c>
      <c r="S73" s="92">
        <f t="shared" si="11"/>
        <v>24</v>
      </c>
      <c r="T73" s="92">
        <f t="shared" si="16"/>
        <v>17.759085859999999</v>
      </c>
      <c r="U73" s="93">
        <f t="shared" si="17"/>
        <v>0.42527477539950154</v>
      </c>
      <c r="V73" s="90">
        <v>75</v>
      </c>
      <c r="W73" s="90">
        <v>35</v>
      </c>
      <c r="X73" s="90">
        <v>2</v>
      </c>
      <c r="Y73" s="90">
        <v>0</v>
      </c>
      <c r="Z73" s="94">
        <f t="shared" si="18"/>
        <v>112</v>
      </c>
      <c r="AA73" s="90">
        <v>13</v>
      </c>
      <c r="AB73" s="90">
        <v>9</v>
      </c>
      <c r="AC73" s="90">
        <v>2</v>
      </c>
      <c r="AD73" s="90">
        <v>0</v>
      </c>
      <c r="AE73" s="94">
        <f t="shared" si="12"/>
        <v>24</v>
      </c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97">
        <f t="shared" si="13"/>
        <v>0</v>
      </c>
      <c r="AQ73" s="97"/>
      <c r="AR73" s="90"/>
      <c r="AS73" s="90"/>
    </row>
    <row r="74" spans="1:45" hidden="1" x14ac:dyDescent="0.25">
      <c r="A74" s="4"/>
      <c r="B74" s="50">
        <v>71</v>
      </c>
      <c r="C74" s="50" t="s">
        <v>222</v>
      </c>
      <c r="D74" s="138">
        <v>45365.372916666667</v>
      </c>
      <c r="E74" s="130" t="s">
        <v>66</v>
      </c>
      <c r="F74" s="50">
        <v>8173</v>
      </c>
      <c r="G74" s="50" t="s">
        <v>47</v>
      </c>
      <c r="H74" s="50">
        <v>140</v>
      </c>
      <c r="I74" s="161" t="s">
        <v>223</v>
      </c>
      <c r="J74" s="90" t="s">
        <v>68</v>
      </c>
      <c r="K74" s="90"/>
      <c r="L74" s="132" t="s">
        <v>51</v>
      </c>
      <c r="M74" s="90" t="s">
        <v>51</v>
      </c>
      <c r="N74" s="50" t="s">
        <v>51</v>
      </c>
      <c r="O74" s="144" t="s">
        <v>56</v>
      </c>
      <c r="P74" s="106">
        <v>0.42708333333333331</v>
      </c>
      <c r="Q74" s="142">
        <v>45352</v>
      </c>
      <c r="R74" s="56">
        <v>9.0794815</v>
      </c>
      <c r="S74" s="92">
        <f t="shared" si="11"/>
        <v>8</v>
      </c>
      <c r="T74" s="92">
        <f t="shared" si="16"/>
        <v>1.0794815</v>
      </c>
      <c r="U74" s="93">
        <f t="shared" si="17"/>
        <v>0.11889241692931474</v>
      </c>
      <c r="V74" s="90">
        <v>10</v>
      </c>
      <c r="W74" s="90">
        <v>15</v>
      </c>
      <c r="X74" s="90">
        <v>3</v>
      </c>
      <c r="Y74" s="90">
        <v>0</v>
      </c>
      <c r="Z74" s="94">
        <f t="shared" si="18"/>
        <v>28</v>
      </c>
      <c r="AA74" s="90">
        <v>1</v>
      </c>
      <c r="AB74" s="90">
        <v>4</v>
      </c>
      <c r="AC74" s="90">
        <v>3</v>
      </c>
      <c r="AD74" s="90">
        <v>0</v>
      </c>
      <c r="AE74" s="94">
        <f t="shared" si="12"/>
        <v>8</v>
      </c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97">
        <f t="shared" si="13"/>
        <v>0</v>
      </c>
      <c r="AQ74" s="97"/>
      <c r="AR74" s="90"/>
      <c r="AS74" s="90"/>
    </row>
    <row r="75" spans="1:45" hidden="1" x14ac:dyDescent="0.25">
      <c r="A75" s="4"/>
      <c r="B75" s="50">
        <v>72</v>
      </c>
      <c r="C75" s="50" t="s">
        <v>224</v>
      </c>
      <c r="D75" s="138">
        <v>45365.447916666664</v>
      </c>
      <c r="E75" s="130" t="s">
        <v>66</v>
      </c>
      <c r="F75" s="50">
        <v>8104</v>
      </c>
      <c r="G75" s="50" t="s">
        <v>47</v>
      </c>
      <c r="H75" s="50">
        <v>100</v>
      </c>
      <c r="I75" s="161" t="s">
        <v>225</v>
      </c>
      <c r="J75" s="90" t="s">
        <v>68</v>
      </c>
      <c r="K75" s="90"/>
      <c r="L75" s="132" t="s">
        <v>51</v>
      </c>
      <c r="M75" s="90" t="s">
        <v>51</v>
      </c>
      <c r="N75" s="50" t="s">
        <v>51</v>
      </c>
      <c r="O75" s="144" t="s">
        <v>56</v>
      </c>
      <c r="P75" s="106">
        <v>0.65625</v>
      </c>
      <c r="Q75" s="142">
        <v>45352</v>
      </c>
      <c r="R75" s="56">
        <v>24.74561714</v>
      </c>
      <c r="S75" s="92">
        <f t="shared" si="11"/>
        <v>49</v>
      </c>
      <c r="T75" s="92">
        <f t="shared" si="16"/>
        <v>-24.25438286</v>
      </c>
      <c r="U75" s="93">
        <f t="shared" si="17"/>
        <v>-0.98014863491903192</v>
      </c>
      <c r="V75" s="90">
        <v>93</v>
      </c>
      <c r="W75" s="90">
        <v>77</v>
      </c>
      <c r="X75" s="90">
        <v>2</v>
      </c>
      <c r="Y75" s="90">
        <v>1</v>
      </c>
      <c r="Z75" s="94">
        <f t="shared" si="18"/>
        <v>173</v>
      </c>
      <c r="AA75" s="90">
        <v>16</v>
      </c>
      <c r="AB75" s="90">
        <v>29</v>
      </c>
      <c r="AC75" s="90">
        <v>0</v>
      </c>
      <c r="AD75" s="90">
        <v>4</v>
      </c>
      <c r="AE75" s="94">
        <f t="shared" si="12"/>
        <v>49</v>
      </c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97">
        <f t="shared" si="13"/>
        <v>0</v>
      </c>
      <c r="AQ75" s="97"/>
      <c r="AR75" s="90"/>
      <c r="AS75" s="90"/>
    </row>
    <row r="76" spans="1:45" hidden="1" x14ac:dyDescent="0.25">
      <c r="A76" s="4"/>
      <c r="B76" s="50">
        <v>73</v>
      </c>
      <c r="C76" s="50" t="s">
        <v>226</v>
      </c>
      <c r="D76" s="138">
        <v>45365.505555555559</v>
      </c>
      <c r="E76" s="130" t="s">
        <v>54</v>
      </c>
      <c r="F76" s="50">
        <v>6813</v>
      </c>
      <c r="G76" s="50" t="s">
        <v>47</v>
      </c>
      <c r="H76" s="50">
        <v>60</v>
      </c>
      <c r="I76" s="161" t="s">
        <v>227</v>
      </c>
      <c r="J76" s="90" t="s">
        <v>49</v>
      </c>
      <c r="K76" s="90"/>
      <c r="L76" s="132" t="s">
        <v>51</v>
      </c>
      <c r="M76" s="90" t="s">
        <v>51</v>
      </c>
      <c r="N76" s="50" t="s">
        <v>51</v>
      </c>
      <c r="O76" s="103" t="s">
        <v>298</v>
      </c>
      <c r="P76" s="106">
        <v>0.84375</v>
      </c>
      <c r="Q76" s="142">
        <v>45352</v>
      </c>
      <c r="R76" s="56">
        <v>28.027144289999999</v>
      </c>
      <c r="S76" s="92">
        <f t="shared" si="11"/>
        <v>32</v>
      </c>
      <c r="T76" s="92">
        <f t="shared" si="16"/>
        <v>-3.972855710000001</v>
      </c>
      <c r="U76" s="93">
        <f t="shared" si="17"/>
        <v>-0.14175028568349377</v>
      </c>
      <c r="V76" s="90">
        <v>87</v>
      </c>
      <c r="W76" s="90">
        <v>24</v>
      </c>
      <c r="X76" s="90">
        <v>0</v>
      </c>
      <c r="Y76" s="90">
        <v>0</v>
      </c>
      <c r="Z76" s="94">
        <f t="shared" si="18"/>
        <v>111</v>
      </c>
      <c r="AA76" s="90">
        <v>24</v>
      </c>
      <c r="AB76" s="90">
        <v>8</v>
      </c>
      <c r="AC76" s="90">
        <v>0</v>
      </c>
      <c r="AD76" s="90">
        <v>0</v>
      </c>
      <c r="AE76" s="94">
        <f t="shared" si="12"/>
        <v>32</v>
      </c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97">
        <f t="shared" si="13"/>
        <v>0</v>
      </c>
      <c r="AQ76" s="97"/>
      <c r="AR76" s="90"/>
      <c r="AS76" s="90"/>
    </row>
    <row r="77" spans="1:45" hidden="1" x14ac:dyDescent="0.25">
      <c r="A77" s="4"/>
      <c r="B77" s="50">
        <v>74</v>
      </c>
      <c r="C77" s="50" t="s">
        <v>228</v>
      </c>
      <c r="D77" s="138">
        <v>45365.61041666667</v>
      </c>
      <c r="E77" s="130" t="s">
        <v>66</v>
      </c>
      <c r="F77" s="50">
        <v>8121</v>
      </c>
      <c r="G77" s="50" t="s">
        <v>47</v>
      </c>
      <c r="H77" s="50">
        <v>60</v>
      </c>
      <c r="I77" s="161" t="s">
        <v>229</v>
      </c>
      <c r="J77" s="90" t="s">
        <v>68</v>
      </c>
      <c r="K77" s="90"/>
      <c r="L77" s="132" t="s">
        <v>51</v>
      </c>
      <c r="M77" s="90" t="s">
        <v>51</v>
      </c>
      <c r="N77" s="50" t="s">
        <v>51</v>
      </c>
      <c r="O77" s="103" t="s">
        <v>303</v>
      </c>
      <c r="P77" s="106">
        <v>0.84375</v>
      </c>
      <c r="Q77" s="142">
        <v>45352</v>
      </c>
      <c r="R77" s="56">
        <v>22.099510290000001</v>
      </c>
      <c r="S77" s="92">
        <f t="shared" si="11"/>
        <v>10</v>
      </c>
      <c r="T77" s="92">
        <f t="shared" si="16"/>
        <v>12.099510290000001</v>
      </c>
      <c r="U77" s="93">
        <f t="shared" si="17"/>
        <v>0.54750128537803</v>
      </c>
      <c r="V77" s="90">
        <v>37</v>
      </c>
      <c r="W77" s="90">
        <v>50</v>
      </c>
      <c r="X77" s="90">
        <v>1</v>
      </c>
      <c r="Y77" s="90">
        <v>0</v>
      </c>
      <c r="Z77" s="94">
        <f t="shared" si="18"/>
        <v>88</v>
      </c>
      <c r="AA77" s="90">
        <v>3</v>
      </c>
      <c r="AB77" s="90">
        <v>7</v>
      </c>
      <c r="AC77" s="90">
        <v>0</v>
      </c>
      <c r="AD77" s="90">
        <v>0</v>
      </c>
      <c r="AE77" s="94">
        <f t="shared" si="12"/>
        <v>10</v>
      </c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97">
        <f t="shared" si="13"/>
        <v>0</v>
      </c>
      <c r="AQ77" s="97"/>
      <c r="AR77" s="90"/>
      <c r="AS77" s="90"/>
    </row>
    <row r="78" spans="1:45" hidden="1" x14ac:dyDescent="0.25">
      <c r="A78" s="4"/>
      <c r="B78" s="50">
        <v>75</v>
      </c>
      <c r="C78" s="50" t="s">
        <v>230</v>
      </c>
      <c r="D78" s="138">
        <v>45366.322916666664</v>
      </c>
      <c r="E78" s="130" t="s">
        <v>54</v>
      </c>
      <c r="F78" s="50">
        <v>6837</v>
      </c>
      <c r="G78" s="50" t="s">
        <v>47</v>
      </c>
      <c r="H78" s="50">
        <v>60</v>
      </c>
      <c r="I78" s="161" t="s">
        <v>231</v>
      </c>
      <c r="J78" s="90" t="s">
        <v>49</v>
      </c>
      <c r="K78" s="90"/>
      <c r="L78" s="132" t="s">
        <v>51</v>
      </c>
      <c r="M78" s="90" t="s">
        <v>51</v>
      </c>
      <c r="N78" s="50" t="s">
        <v>60</v>
      </c>
      <c r="O78" s="144" t="s">
        <v>50</v>
      </c>
      <c r="P78" s="106">
        <v>0.51041666666666663</v>
      </c>
      <c r="Q78" s="142">
        <v>45352</v>
      </c>
      <c r="R78" s="56">
        <v>34.764516</v>
      </c>
      <c r="S78" s="92">
        <f t="shared" si="11"/>
        <v>31</v>
      </c>
      <c r="T78" s="92">
        <f t="shared" si="16"/>
        <v>3.7645160000000004</v>
      </c>
      <c r="U78" s="93">
        <f t="shared" si="17"/>
        <v>0.10828616167128575</v>
      </c>
      <c r="V78" s="90">
        <v>49</v>
      </c>
      <c r="W78" s="90">
        <v>51</v>
      </c>
      <c r="X78" s="90">
        <v>0</v>
      </c>
      <c r="Y78" s="90">
        <v>0</v>
      </c>
      <c r="Z78" s="94">
        <f t="shared" si="18"/>
        <v>100</v>
      </c>
      <c r="AA78" s="90">
        <v>11</v>
      </c>
      <c r="AB78" s="90">
        <v>20</v>
      </c>
      <c r="AC78" s="90">
        <v>0</v>
      </c>
      <c r="AD78" s="90">
        <v>0</v>
      </c>
      <c r="AE78" s="94">
        <f t="shared" si="12"/>
        <v>31</v>
      </c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97">
        <f t="shared" si="13"/>
        <v>0</v>
      </c>
      <c r="AQ78" s="97"/>
      <c r="AR78" s="90"/>
      <c r="AS78" s="90"/>
    </row>
    <row r="79" spans="1:45" hidden="1" x14ac:dyDescent="0.25">
      <c r="A79" s="4"/>
      <c r="B79" s="50">
        <v>76</v>
      </c>
      <c r="C79" s="50" t="s">
        <v>232</v>
      </c>
      <c r="D79" s="138">
        <v>45366.377083333333</v>
      </c>
      <c r="E79" s="130" t="s">
        <v>66</v>
      </c>
      <c r="F79" s="50">
        <v>8125</v>
      </c>
      <c r="G79" s="50" t="s">
        <v>47</v>
      </c>
      <c r="H79" s="50">
        <v>100</v>
      </c>
      <c r="I79" s="161" t="s">
        <v>233</v>
      </c>
      <c r="J79" s="90" t="s">
        <v>68</v>
      </c>
      <c r="K79" s="90"/>
      <c r="L79" s="132" t="s">
        <v>51</v>
      </c>
      <c r="M79" s="90" t="s">
        <v>51</v>
      </c>
      <c r="N79" s="50" t="s">
        <v>51</v>
      </c>
      <c r="O79" s="144" t="s">
        <v>50</v>
      </c>
      <c r="P79" s="106">
        <v>0.69791666666666663</v>
      </c>
      <c r="Q79" s="142">
        <v>45352</v>
      </c>
      <c r="R79" s="56">
        <v>35.915227139999999</v>
      </c>
      <c r="S79" s="92">
        <f t="shared" si="11"/>
        <v>18</v>
      </c>
      <c r="T79" s="92">
        <f t="shared" si="16"/>
        <v>17.915227139999999</v>
      </c>
      <c r="U79" s="93">
        <f t="shared" si="17"/>
        <v>0.49881982007701703</v>
      </c>
      <c r="V79" s="90">
        <v>61</v>
      </c>
      <c r="W79" s="90">
        <v>57</v>
      </c>
      <c r="X79" s="90">
        <v>1</v>
      </c>
      <c r="Y79" s="90">
        <v>0</v>
      </c>
      <c r="Z79" s="94">
        <f t="shared" si="18"/>
        <v>119</v>
      </c>
      <c r="AA79" s="90">
        <v>4</v>
      </c>
      <c r="AB79" s="90">
        <v>12</v>
      </c>
      <c r="AC79" s="90">
        <v>2</v>
      </c>
      <c r="AD79" s="90">
        <v>0</v>
      </c>
      <c r="AE79" s="94">
        <f t="shared" si="12"/>
        <v>18</v>
      </c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97">
        <f t="shared" si="13"/>
        <v>0</v>
      </c>
      <c r="AQ79" s="97"/>
      <c r="AR79" s="90"/>
      <c r="AS79" s="90"/>
    </row>
    <row r="80" spans="1:45" hidden="1" x14ac:dyDescent="0.25">
      <c r="A80" s="4"/>
      <c r="B80" s="50">
        <v>77</v>
      </c>
      <c r="C80" s="50" t="s">
        <v>234</v>
      </c>
      <c r="D80" s="138">
        <v>45366.40347222222</v>
      </c>
      <c r="E80" s="130" t="s">
        <v>54</v>
      </c>
      <c r="F80" s="50">
        <v>6836</v>
      </c>
      <c r="G80" s="50" t="s">
        <v>47</v>
      </c>
      <c r="H80" s="50">
        <v>100</v>
      </c>
      <c r="I80" s="161" t="s">
        <v>235</v>
      </c>
      <c r="J80" s="90" t="s">
        <v>49</v>
      </c>
      <c r="K80" s="90"/>
      <c r="L80" s="132" t="s">
        <v>51</v>
      </c>
      <c r="M80" s="90" t="s">
        <v>51</v>
      </c>
      <c r="N80" s="50" t="s">
        <v>60</v>
      </c>
      <c r="O80" s="103" t="s">
        <v>298</v>
      </c>
      <c r="P80" s="106">
        <v>0.83333333333333337</v>
      </c>
      <c r="Q80" s="142">
        <v>45352</v>
      </c>
      <c r="R80" s="56">
        <v>31.597580359999998</v>
      </c>
      <c r="S80" s="92">
        <f t="shared" si="11"/>
        <v>36</v>
      </c>
      <c r="T80" s="92">
        <f t="shared" si="16"/>
        <v>-4.4024196400000015</v>
      </c>
      <c r="U80" s="93">
        <f t="shared" si="17"/>
        <v>-0.13932774566413039</v>
      </c>
      <c r="V80" s="90">
        <v>98</v>
      </c>
      <c r="W80" s="90">
        <v>75</v>
      </c>
      <c r="X80" s="90">
        <v>0</v>
      </c>
      <c r="Y80" s="90">
        <v>1</v>
      </c>
      <c r="Z80" s="94">
        <f t="shared" si="18"/>
        <v>174</v>
      </c>
      <c r="AA80" s="90">
        <v>14</v>
      </c>
      <c r="AB80" s="90">
        <v>13</v>
      </c>
      <c r="AC80" s="90">
        <v>0</v>
      </c>
      <c r="AD80" s="90">
        <v>9</v>
      </c>
      <c r="AE80" s="94">
        <f t="shared" si="12"/>
        <v>36</v>
      </c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97">
        <f t="shared" si="13"/>
        <v>0</v>
      </c>
      <c r="AQ80" s="97"/>
      <c r="AR80" s="90"/>
      <c r="AS80" s="90"/>
    </row>
    <row r="81" spans="1:45" hidden="1" x14ac:dyDescent="0.25">
      <c r="A81" s="4"/>
      <c r="B81" s="50">
        <v>78</v>
      </c>
      <c r="C81" s="50" t="s">
        <v>236</v>
      </c>
      <c r="D81" s="138">
        <v>45366.438194444447</v>
      </c>
      <c r="E81" s="128" t="s">
        <v>237</v>
      </c>
      <c r="F81" s="50">
        <v>8167</v>
      </c>
      <c r="G81" s="50" t="s">
        <v>47</v>
      </c>
      <c r="H81" s="50">
        <v>200</v>
      </c>
      <c r="I81" s="161" t="s">
        <v>238</v>
      </c>
      <c r="J81" s="90" t="s">
        <v>239</v>
      </c>
      <c r="K81" s="90"/>
      <c r="L81" s="132" t="s">
        <v>51</v>
      </c>
      <c r="M81" s="50" t="s">
        <v>60</v>
      </c>
      <c r="N81" s="50" t="s">
        <v>60</v>
      </c>
      <c r="O81" s="103" t="s">
        <v>298</v>
      </c>
      <c r="P81" s="106">
        <v>0.78125</v>
      </c>
      <c r="Q81" s="142">
        <v>45352</v>
      </c>
      <c r="R81" s="56">
        <v>202.88081750000001</v>
      </c>
      <c r="S81" s="92">
        <f t="shared" si="11"/>
        <v>89</v>
      </c>
      <c r="T81" s="92">
        <f t="shared" si="16"/>
        <v>113.88081750000001</v>
      </c>
      <c r="U81" s="93">
        <f t="shared" si="17"/>
        <v>0.56131880235547649</v>
      </c>
      <c r="V81" s="90">
        <v>229</v>
      </c>
      <c r="W81" s="90">
        <v>17</v>
      </c>
      <c r="X81" s="90">
        <v>0</v>
      </c>
      <c r="Y81" s="90">
        <v>1</v>
      </c>
      <c r="Z81" s="94">
        <f t="shared" si="18"/>
        <v>247</v>
      </c>
      <c r="AA81" s="90">
        <v>57</v>
      </c>
      <c r="AB81" s="90">
        <v>5</v>
      </c>
      <c r="AC81" s="90">
        <v>0</v>
      </c>
      <c r="AD81" s="90">
        <v>27</v>
      </c>
      <c r="AE81" s="94">
        <f t="shared" si="12"/>
        <v>89</v>
      </c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97">
        <f t="shared" si="13"/>
        <v>0</v>
      </c>
      <c r="AQ81" s="97"/>
      <c r="AR81" s="90"/>
      <c r="AS81" s="90"/>
    </row>
    <row r="82" spans="1:45" hidden="1" x14ac:dyDescent="0.25">
      <c r="A82" s="4"/>
      <c r="B82" s="50">
        <v>79</v>
      </c>
      <c r="C82" s="50" t="s">
        <v>240</v>
      </c>
      <c r="D82" s="138">
        <v>45366.506249999999</v>
      </c>
      <c r="E82" s="130" t="s">
        <v>66</v>
      </c>
      <c r="F82" s="50">
        <v>8123</v>
      </c>
      <c r="G82" s="50" t="s">
        <v>47</v>
      </c>
      <c r="H82" s="50">
        <v>140</v>
      </c>
      <c r="I82" s="161" t="s">
        <v>241</v>
      </c>
      <c r="J82" s="90" t="s">
        <v>68</v>
      </c>
      <c r="K82" s="90"/>
      <c r="L82" s="132" t="s">
        <v>51</v>
      </c>
      <c r="M82" s="90" t="s">
        <v>51</v>
      </c>
      <c r="N82" s="50" t="s">
        <v>51</v>
      </c>
      <c r="O82" s="103" t="s">
        <v>298</v>
      </c>
      <c r="P82" s="106">
        <v>0.80208333333333337</v>
      </c>
      <c r="Q82" s="142">
        <v>45352</v>
      </c>
      <c r="R82" s="56">
        <v>64.429469999999995</v>
      </c>
      <c r="S82" s="92">
        <f t="shared" si="11"/>
        <v>55</v>
      </c>
      <c r="T82" s="92">
        <f t="shared" si="16"/>
        <v>9.4294699999999949</v>
      </c>
      <c r="U82" s="93">
        <f t="shared" si="17"/>
        <v>0.14635336904059579</v>
      </c>
      <c r="V82" s="90">
        <v>164</v>
      </c>
      <c r="W82" s="90">
        <v>77</v>
      </c>
      <c r="X82" s="90">
        <v>3</v>
      </c>
      <c r="Y82" s="90">
        <v>0</v>
      </c>
      <c r="Z82" s="94">
        <f t="shared" si="18"/>
        <v>244</v>
      </c>
      <c r="AA82" s="90">
        <v>24</v>
      </c>
      <c r="AB82" s="90">
        <v>28</v>
      </c>
      <c r="AC82" s="90">
        <v>3</v>
      </c>
      <c r="AD82" s="90">
        <v>0</v>
      </c>
      <c r="AE82" s="94">
        <f t="shared" si="12"/>
        <v>55</v>
      </c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97">
        <f t="shared" si="13"/>
        <v>0</v>
      </c>
      <c r="AQ82" s="97"/>
      <c r="AR82" s="90"/>
      <c r="AS82" s="90"/>
    </row>
    <row r="83" spans="1:45" hidden="1" x14ac:dyDescent="0.25">
      <c r="A83" s="4"/>
      <c r="B83" s="50">
        <v>80</v>
      </c>
      <c r="C83" s="50" t="s">
        <v>242</v>
      </c>
      <c r="D83" s="138">
        <v>45367.349305555559</v>
      </c>
      <c r="E83" s="130" t="s">
        <v>54</v>
      </c>
      <c r="F83" s="50">
        <v>6816</v>
      </c>
      <c r="G83" s="50" t="s">
        <v>47</v>
      </c>
      <c r="H83" s="50">
        <v>100</v>
      </c>
      <c r="I83" s="161" t="s">
        <v>243</v>
      </c>
      <c r="J83" s="90" t="s">
        <v>49</v>
      </c>
      <c r="K83" s="90"/>
      <c r="L83" s="132" t="s">
        <v>51</v>
      </c>
      <c r="M83" s="90" t="s">
        <v>51</v>
      </c>
      <c r="N83" s="50" t="s">
        <v>51</v>
      </c>
      <c r="O83" s="103" t="s">
        <v>303</v>
      </c>
      <c r="P83" s="106">
        <v>0.41666666666666669</v>
      </c>
      <c r="Q83" s="142">
        <v>45352</v>
      </c>
      <c r="R83" s="56">
        <v>16.615760000000002</v>
      </c>
      <c r="S83" s="92">
        <f t="shared" si="11"/>
        <v>7</v>
      </c>
      <c r="T83" s="92">
        <f t="shared" si="16"/>
        <v>9.6157600000000016</v>
      </c>
      <c r="U83" s="93">
        <f t="shared" si="17"/>
        <v>0.57871322166425132</v>
      </c>
      <c r="V83" s="90">
        <v>21</v>
      </c>
      <c r="W83" s="90">
        <v>12</v>
      </c>
      <c r="X83" s="90">
        <v>1</v>
      </c>
      <c r="Y83" s="90">
        <v>0</v>
      </c>
      <c r="Z83" s="94">
        <f t="shared" si="18"/>
        <v>34</v>
      </c>
      <c r="AA83" s="90">
        <v>4</v>
      </c>
      <c r="AB83" s="90">
        <v>2</v>
      </c>
      <c r="AC83" s="90">
        <v>1</v>
      </c>
      <c r="AD83" s="90">
        <v>0</v>
      </c>
      <c r="AE83" s="94">
        <f t="shared" si="12"/>
        <v>7</v>
      </c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97">
        <f t="shared" si="13"/>
        <v>0</v>
      </c>
      <c r="AQ83" s="97"/>
      <c r="AR83" s="90"/>
      <c r="AS83" s="90"/>
    </row>
    <row r="84" spans="1:45" hidden="1" x14ac:dyDescent="0.25">
      <c r="A84" s="4"/>
      <c r="B84" s="50">
        <v>81</v>
      </c>
      <c r="C84" s="50" t="s">
        <v>244</v>
      </c>
      <c r="D84" s="138">
        <v>45367.4375</v>
      </c>
      <c r="E84" s="130" t="s">
        <v>54</v>
      </c>
      <c r="F84" s="50">
        <v>6815</v>
      </c>
      <c r="G84" s="50" t="s">
        <v>47</v>
      </c>
      <c r="H84" s="50">
        <v>60</v>
      </c>
      <c r="I84" s="161" t="s">
        <v>245</v>
      </c>
      <c r="J84" s="90" t="s">
        <v>49</v>
      </c>
      <c r="K84" s="90"/>
      <c r="L84" s="132" t="s">
        <v>51</v>
      </c>
      <c r="M84" s="90" t="s">
        <v>51</v>
      </c>
      <c r="N84" s="50" t="s">
        <v>51</v>
      </c>
      <c r="O84" s="50" t="s">
        <v>56</v>
      </c>
      <c r="P84" s="106">
        <v>0.82291666666666663</v>
      </c>
      <c r="Q84" s="142">
        <v>45352</v>
      </c>
      <c r="R84" s="56">
        <v>29.640509999999999</v>
      </c>
      <c r="S84" s="92">
        <f t="shared" ref="S84:S116" si="19">+AE84</f>
        <v>18</v>
      </c>
      <c r="T84" s="92">
        <f t="shared" si="16"/>
        <v>11.640509999999999</v>
      </c>
      <c r="U84" s="93">
        <f t="shared" si="17"/>
        <v>0.39272299970547064</v>
      </c>
      <c r="V84" s="90">
        <v>138</v>
      </c>
      <c r="W84" s="90">
        <v>9</v>
      </c>
      <c r="X84" s="90">
        <v>0</v>
      </c>
      <c r="Y84" s="90">
        <v>0</v>
      </c>
      <c r="Z84" s="94">
        <f t="shared" si="18"/>
        <v>147</v>
      </c>
      <c r="AA84" s="90">
        <v>16</v>
      </c>
      <c r="AB84" s="90">
        <v>2</v>
      </c>
      <c r="AC84" s="90">
        <v>0</v>
      </c>
      <c r="AD84" s="90">
        <v>0</v>
      </c>
      <c r="AE84" s="94">
        <f t="shared" si="12"/>
        <v>18</v>
      </c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97">
        <f t="shared" si="13"/>
        <v>0</v>
      </c>
      <c r="AQ84" s="97"/>
      <c r="AR84" s="90"/>
      <c r="AS84" s="90"/>
    </row>
    <row r="85" spans="1:45" hidden="1" x14ac:dyDescent="0.25">
      <c r="A85" s="168"/>
      <c r="B85" s="50">
        <v>82</v>
      </c>
      <c r="C85" s="50" t="s">
        <v>246</v>
      </c>
      <c r="D85" s="146">
        <v>45369.331250000003</v>
      </c>
      <c r="E85" s="130" t="s">
        <v>54</v>
      </c>
      <c r="F85" s="50">
        <v>6821</v>
      </c>
      <c r="G85" s="50" t="s">
        <v>47</v>
      </c>
      <c r="H85" s="50">
        <v>140</v>
      </c>
      <c r="I85" s="161" t="s">
        <v>247</v>
      </c>
      <c r="J85" s="90" t="s">
        <v>49</v>
      </c>
      <c r="K85" s="90"/>
      <c r="L85" s="132" t="s">
        <v>51</v>
      </c>
      <c r="M85" s="90" t="s">
        <v>51</v>
      </c>
      <c r="N85" s="50" t="s">
        <v>51</v>
      </c>
      <c r="O85" s="50" t="s">
        <v>50</v>
      </c>
      <c r="P85" s="106">
        <v>0.47916666666666669</v>
      </c>
      <c r="Q85" s="142">
        <v>45352</v>
      </c>
      <c r="R85" s="56">
        <v>39.496200999999999</v>
      </c>
      <c r="S85" s="92">
        <f t="shared" si="19"/>
        <v>40</v>
      </c>
      <c r="T85" s="92">
        <f t="shared" si="16"/>
        <v>-0.50379900000000077</v>
      </c>
      <c r="U85" s="93">
        <f t="shared" si="17"/>
        <v>-1.2755631864441869E-2</v>
      </c>
      <c r="V85" s="90">
        <v>61</v>
      </c>
      <c r="W85" s="90">
        <v>38</v>
      </c>
      <c r="X85" s="90">
        <v>0</v>
      </c>
      <c r="Y85" s="90">
        <v>1</v>
      </c>
      <c r="Z85" s="94">
        <f t="shared" si="18"/>
        <v>100</v>
      </c>
      <c r="AA85" s="90">
        <v>12</v>
      </c>
      <c r="AB85" s="90">
        <v>14</v>
      </c>
      <c r="AC85" s="90">
        <v>0</v>
      </c>
      <c r="AD85" s="90">
        <v>14</v>
      </c>
      <c r="AE85" s="94">
        <f t="shared" si="12"/>
        <v>40</v>
      </c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97">
        <f t="shared" si="13"/>
        <v>0</v>
      </c>
      <c r="AQ85" s="97"/>
      <c r="AR85" s="90"/>
      <c r="AS85" s="90"/>
    </row>
    <row r="86" spans="1:45" hidden="1" x14ac:dyDescent="0.25">
      <c r="A86" s="168"/>
      <c r="B86" s="50">
        <v>83</v>
      </c>
      <c r="C86" s="50" t="s">
        <v>248</v>
      </c>
      <c r="D86" s="146">
        <v>45369.45</v>
      </c>
      <c r="E86" s="130" t="s">
        <v>54</v>
      </c>
      <c r="F86" s="50">
        <v>6825</v>
      </c>
      <c r="G86" s="50" t="s">
        <v>47</v>
      </c>
      <c r="H86" s="50">
        <v>100</v>
      </c>
      <c r="I86" s="161" t="s">
        <v>249</v>
      </c>
      <c r="J86" s="90" t="s">
        <v>49</v>
      </c>
      <c r="K86" s="90"/>
      <c r="L86" s="132" t="s">
        <v>51</v>
      </c>
      <c r="M86" s="90" t="s">
        <v>51</v>
      </c>
      <c r="N86" s="50" t="s">
        <v>51</v>
      </c>
      <c r="O86" s="50" t="s">
        <v>56</v>
      </c>
      <c r="P86" s="106">
        <v>0.51041666666666663</v>
      </c>
      <c r="Q86" s="142">
        <v>45352</v>
      </c>
      <c r="R86" s="56">
        <v>11.530760000000001</v>
      </c>
      <c r="S86" s="92">
        <f t="shared" si="19"/>
        <v>9</v>
      </c>
      <c r="T86" s="92">
        <f t="shared" si="16"/>
        <v>2.5307600000000008</v>
      </c>
      <c r="U86" s="93">
        <f t="shared" si="17"/>
        <v>0.21947902826873517</v>
      </c>
      <c r="V86" s="90">
        <v>2</v>
      </c>
      <c r="W86" s="90">
        <v>10</v>
      </c>
      <c r="X86" s="90">
        <v>3</v>
      </c>
      <c r="Y86" s="90">
        <v>0</v>
      </c>
      <c r="Z86" s="94">
        <f t="shared" si="18"/>
        <v>15</v>
      </c>
      <c r="AA86" s="90">
        <v>0</v>
      </c>
      <c r="AB86" s="90">
        <v>3</v>
      </c>
      <c r="AC86" s="90">
        <v>6</v>
      </c>
      <c r="AD86" s="90">
        <v>0</v>
      </c>
      <c r="AE86" s="94">
        <f t="shared" si="12"/>
        <v>9</v>
      </c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97">
        <f t="shared" si="13"/>
        <v>0</v>
      </c>
      <c r="AQ86" s="97"/>
      <c r="AR86" s="90"/>
      <c r="AS86" s="90"/>
    </row>
    <row r="87" spans="1:45" hidden="1" x14ac:dyDescent="0.25">
      <c r="A87" s="168"/>
      <c r="B87" s="50">
        <v>84</v>
      </c>
      <c r="C87" s="50" t="s">
        <v>250</v>
      </c>
      <c r="D87" s="146">
        <v>45369.5</v>
      </c>
      <c r="E87" s="130" t="s">
        <v>66</v>
      </c>
      <c r="F87" s="50">
        <v>8140</v>
      </c>
      <c r="G87" s="50" t="s">
        <v>47</v>
      </c>
      <c r="H87" s="50">
        <v>100</v>
      </c>
      <c r="I87" s="161" t="s">
        <v>251</v>
      </c>
      <c r="J87" s="90" t="s">
        <v>68</v>
      </c>
      <c r="K87" s="90"/>
      <c r="L87" s="132" t="s">
        <v>51</v>
      </c>
      <c r="M87" s="90" t="s">
        <v>51</v>
      </c>
      <c r="N87" s="50" t="s">
        <v>51</v>
      </c>
      <c r="O87" s="50" t="s">
        <v>56</v>
      </c>
      <c r="P87" s="106">
        <v>0.41666666666666669</v>
      </c>
      <c r="Q87" s="142">
        <v>45352</v>
      </c>
      <c r="R87" s="56">
        <v>7.8469525000000004</v>
      </c>
      <c r="S87" s="92">
        <f t="shared" si="19"/>
        <v>7</v>
      </c>
      <c r="T87" s="92">
        <f t="shared" si="16"/>
        <v>0.84695250000000044</v>
      </c>
      <c r="U87" s="93">
        <f t="shared" si="17"/>
        <v>0.10793393995949388</v>
      </c>
      <c r="V87" s="90">
        <v>16</v>
      </c>
      <c r="W87" s="90">
        <v>17</v>
      </c>
      <c r="X87" s="90">
        <v>0</v>
      </c>
      <c r="Y87" s="90">
        <v>1</v>
      </c>
      <c r="Z87" s="94">
        <f t="shared" si="18"/>
        <v>34</v>
      </c>
      <c r="AA87" s="90">
        <v>2</v>
      </c>
      <c r="AB87" s="90">
        <v>5</v>
      </c>
      <c r="AC87" s="90">
        <v>0</v>
      </c>
      <c r="AD87" s="90">
        <v>0</v>
      </c>
      <c r="AE87" s="94">
        <f t="shared" si="12"/>
        <v>7</v>
      </c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97">
        <f t="shared" si="13"/>
        <v>0</v>
      </c>
      <c r="AQ87" s="97"/>
      <c r="AR87" s="90"/>
      <c r="AS87" s="90"/>
    </row>
    <row r="88" spans="1:45" hidden="1" x14ac:dyDescent="0.25">
      <c r="A88" s="168"/>
      <c r="B88" s="50">
        <v>85</v>
      </c>
      <c r="C88" s="50" t="s">
        <v>252</v>
      </c>
      <c r="D88" s="146">
        <v>45369.600694444445</v>
      </c>
      <c r="E88" s="149" t="s">
        <v>66</v>
      </c>
      <c r="F88" s="132">
        <v>8178</v>
      </c>
      <c r="G88" s="132" t="s">
        <v>47</v>
      </c>
      <c r="H88" s="132">
        <v>300</v>
      </c>
      <c r="I88" s="162" t="s">
        <v>253</v>
      </c>
      <c r="J88" s="129" t="s">
        <v>68</v>
      </c>
      <c r="K88" s="129"/>
      <c r="L88" s="132" t="s">
        <v>51</v>
      </c>
      <c r="M88" s="129" t="s">
        <v>51</v>
      </c>
      <c r="N88" s="132" t="s">
        <v>51</v>
      </c>
      <c r="O88" s="50" t="s">
        <v>56</v>
      </c>
      <c r="P88" s="106">
        <v>0.35416666666666669</v>
      </c>
      <c r="Q88" s="142">
        <v>45352</v>
      </c>
      <c r="R88" s="56">
        <v>62.169470359999998</v>
      </c>
      <c r="S88" s="81">
        <f t="shared" si="19"/>
        <v>50</v>
      </c>
      <c r="T88" s="81">
        <f t="shared" si="16"/>
        <v>12.169470359999998</v>
      </c>
      <c r="U88" s="150">
        <f t="shared" si="17"/>
        <v>0.19574672728480999</v>
      </c>
      <c r="V88" s="129">
        <v>26</v>
      </c>
      <c r="W88" s="129">
        <v>35</v>
      </c>
      <c r="X88" s="129">
        <v>7</v>
      </c>
      <c r="Y88" s="129">
        <v>0</v>
      </c>
      <c r="Z88" s="151">
        <f t="shared" si="18"/>
        <v>68</v>
      </c>
      <c r="AA88" s="129">
        <v>4</v>
      </c>
      <c r="AB88" s="129">
        <v>13</v>
      </c>
      <c r="AC88" s="129">
        <v>33</v>
      </c>
      <c r="AD88" s="129">
        <v>0</v>
      </c>
      <c r="AE88" s="151">
        <f t="shared" si="12"/>
        <v>50</v>
      </c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3">
        <f t="shared" si="13"/>
        <v>0</v>
      </c>
      <c r="AQ88" s="153"/>
      <c r="AR88" s="129"/>
      <c r="AS88" s="129"/>
    </row>
    <row r="89" spans="1:45" hidden="1" x14ac:dyDescent="0.25">
      <c r="A89" s="168"/>
      <c r="B89" s="50">
        <v>86</v>
      </c>
      <c r="C89" s="50" t="s">
        <v>254</v>
      </c>
      <c r="D89" s="148">
        <v>45370.348611111112</v>
      </c>
      <c r="E89" s="50" t="s">
        <v>93</v>
      </c>
      <c r="F89" s="50">
        <v>6820</v>
      </c>
      <c r="G89" s="50" t="s">
        <v>47</v>
      </c>
      <c r="H89" s="50">
        <v>60</v>
      </c>
      <c r="I89" s="161" t="s">
        <v>255</v>
      </c>
      <c r="J89" s="90" t="s">
        <v>49</v>
      </c>
      <c r="K89" s="90"/>
      <c r="L89" s="132" t="s">
        <v>51</v>
      </c>
      <c r="M89" s="50" t="s">
        <v>51</v>
      </c>
      <c r="N89" s="132" t="s">
        <v>51</v>
      </c>
      <c r="O89" s="50" t="s">
        <v>56</v>
      </c>
      <c r="P89" s="106">
        <v>0.4375</v>
      </c>
      <c r="Q89" s="142">
        <v>45352</v>
      </c>
      <c r="R89" s="56">
        <v>19.304182709999999</v>
      </c>
      <c r="S89" s="81">
        <f t="shared" si="19"/>
        <v>10</v>
      </c>
      <c r="T89" s="81">
        <f t="shared" si="16"/>
        <v>9.3041827099999992</v>
      </c>
      <c r="U89" s="150">
        <f t="shared" si="17"/>
        <v>0.48197755117497021</v>
      </c>
      <c r="V89" s="90">
        <v>48</v>
      </c>
      <c r="W89" s="90">
        <v>12</v>
      </c>
      <c r="X89" s="90">
        <v>0</v>
      </c>
      <c r="Y89" s="90">
        <v>1</v>
      </c>
      <c r="Z89" s="151">
        <f t="shared" ref="Z89:Z120" si="20">+SUM(V89:Y89)</f>
        <v>61</v>
      </c>
      <c r="AA89" s="90">
        <v>4</v>
      </c>
      <c r="AB89" s="90">
        <v>4</v>
      </c>
      <c r="AC89" s="90">
        <v>0</v>
      </c>
      <c r="AD89" s="90">
        <v>2</v>
      </c>
      <c r="AE89" s="151">
        <f t="shared" ref="AE89:AE120" si="21">+SUM(AA89:AD89)</f>
        <v>10</v>
      </c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90"/>
      <c r="AS89" s="90"/>
    </row>
    <row r="90" spans="1:45" hidden="1" x14ac:dyDescent="0.25">
      <c r="A90" s="168"/>
      <c r="B90" s="50">
        <v>87</v>
      </c>
      <c r="C90" s="50" t="s">
        <v>256</v>
      </c>
      <c r="D90" s="148">
        <v>45370.369444444441</v>
      </c>
      <c r="E90" s="50" t="s">
        <v>66</v>
      </c>
      <c r="F90" s="50">
        <v>8118</v>
      </c>
      <c r="G90" s="50" t="s">
        <v>47</v>
      </c>
      <c r="H90" s="50">
        <v>300</v>
      </c>
      <c r="I90" s="161" t="s">
        <v>257</v>
      </c>
      <c r="J90" s="90" t="s">
        <v>68</v>
      </c>
      <c r="K90" s="90"/>
      <c r="L90" s="132" t="s">
        <v>51</v>
      </c>
      <c r="M90" s="50" t="s">
        <v>51</v>
      </c>
      <c r="N90" s="132" t="s">
        <v>51</v>
      </c>
      <c r="O90" s="50" t="s">
        <v>56</v>
      </c>
      <c r="P90" s="106">
        <v>0.625</v>
      </c>
      <c r="Q90" s="142">
        <v>45352</v>
      </c>
      <c r="R90" s="56">
        <v>135.64275860000001</v>
      </c>
      <c r="S90" s="81">
        <f t="shared" si="19"/>
        <v>78</v>
      </c>
      <c r="T90" s="81">
        <f t="shared" si="16"/>
        <v>57.642758600000008</v>
      </c>
      <c r="U90" s="150">
        <f t="shared" si="17"/>
        <v>0.42496008776984578</v>
      </c>
      <c r="V90" s="90">
        <v>58</v>
      </c>
      <c r="W90" s="90">
        <v>9</v>
      </c>
      <c r="X90" s="90">
        <v>2</v>
      </c>
      <c r="Y90" s="90">
        <v>2</v>
      </c>
      <c r="Z90" s="151">
        <f t="shared" si="20"/>
        <v>71</v>
      </c>
      <c r="AA90" s="90">
        <v>6</v>
      </c>
      <c r="AB90" s="90">
        <v>3</v>
      </c>
      <c r="AC90" s="90">
        <v>1</v>
      </c>
      <c r="AD90" s="90">
        <v>68</v>
      </c>
      <c r="AE90" s="151">
        <f t="shared" si="21"/>
        <v>78</v>
      </c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90"/>
      <c r="AS90" s="90"/>
    </row>
    <row r="91" spans="1:45" hidden="1" x14ac:dyDescent="0.25">
      <c r="A91" s="168"/>
      <c r="B91" s="50">
        <v>88</v>
      </c>
      <c r="C91" s="50" t="s">
        <v>258</v>
      </c>
      <c r="D91" s="148">
        <v>45370.436805555553</v>
      </c>
      <c r="E91" s="50" t="s">
        <v>93</v>
      </c>
      <c r="F91" s="50">
        <v>6826</v>
      </c>
      <c r="G91" s="50" t="s">
        <v>47</v>
      </c>
      <c r="H91" s="50">
        <v>100</v>
      </c>
      <c r="I91" s="161" t="s">
        <v>259</v>
      </c>
      <c r="J91" s="90" t="s">
        <v>49</v>
      </c>
      <c r="K91" s="90"/>
      <c r="L91" s="132" t="s">
        <v>51</v>
      </c>
      <c r="M91" s="50" t="s">
        <v>51</v>
      </c>
      <c r="N91" s="132" t="s">
        <v>51</v>
      </c>
      <c r="O91" s="50" t="s">
        <v>56</v>
      </c>
      <c r="P91" s="106">
        <v>0.79166666666666663</v>
      </c>
      <c r="Q91" s="142">
        <v>45352</v>
      </c>
      <c r="R91" s="56">
        <v>34.842416790000001</v>
      </c>
      <c r="S91" s="81">
        <f t="shared" si="19"/>
        <v>19</v>
      </c>
      <c r="T91" s="81">
        <f t="shared" si="16"/>
        <v>15.842416790000001</v>
      </c>
      <c r="U91" s="150">
        <f t="shared" si="17"/>
        <v>0.45468765514988263</v>
      </c>
      <c r="V91" s="90">
        <v>53</v>
      </c>
      <c r="W91" s="90">
        <v>20</v>
      </c>
      <c r="X91" s="90">
        <v>0</v>
      </c>
      <c r="Y91" s="90">
        <v>1</v>
      </c>
      <c r="Z91" s="151">
        <f t="shared" si="20"/>
        <v>74</v>
      </c>
      <c r="AA91" s="90">
        <v>6</v>
      </c>
      <c r="AB91" s="90">
        <v>13</v>
      </c>
      <c r="AC91" s="90">
        <v>0</v>
      </c>
      <c r="AD91" s="90">
        <v>0</v>
      </c>
      <c r="AE91" s="151">
        <f t="shared" si="21"/>
        <v>19</v>
      </c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90"/>
      <c r="AS91" s="90"/>
    </row>
    <row r="92" spans="1:45" hidden="1" x14ac:dyDescent="0.25">
      <c r="A92" s="168"/>
      <c r="B92" s="50">
        <v>89</v>
      </c>
      <c r="C92" s="50" t="s">
        <v>260</v>
      </c>
      <c r="D92" s="148">
        <v>45370.486111111109</v>
      </c>
      <c r="E92" s="50" t="s">
        <v>54</v>
      </c>
      <c r="F92" s="50">
        <v>8141</v>
      </c>
      <c r="G92" s="50" t="s">
        <v>47</v>
      </c>
      <c r="H92" s="50">
        <v>200</v>
      </c>
      <c r="I92" s="161" t="s">
        <v>261</v>
      </c>
      <c r="J92" s="90" t="s">
        <v>68</v>
      </c>
      <c r="K92" s="90"/>
      <c r="L92" s="132" t="s">
        <v>51</v>
      </c>
      <c r="M92" s="50" t="s">
        <v>51</v>
      </c>
      <c r="N92" s="132" t="s">
        <v>51</v>
      </c>
      <c r="O92" s="50" t="s">
        <v>56</v>
      </c>
      <c r="P92" s="106">
        <v>0.6875</v>
      </c>
      <c r="Q92" s="142">
        <v>45352</v>
      </c>
      <c r="R92" s="56">
        <v>45.802389290000001</v>
      </c>
      <c r="S92" s="81">
        <f t="shared" si="19"/>
        <v>21</v>
      </c>
      <c r="T92" s="81">
        <f t="shared" si="16"/>
        <v>24.802389290000001</v>
      </c>
      <c r="U92" s="150">
        <f t="shared" si="17"/>
        <v>0.54150863469070354</v>
      </c>
      <c r="V92" s="90">
        <v>4</v>
      </c>
      <c r="W92" s="90">
        <v>8</v>
      </c>
      <c r="X92" s="90">
        <v>3</v>
      </c>
      <c r="Y92" s="90">
        <v>0</v>
      </c>
      <c r="Z92" s="151">
        <f t="shared" si="20"/>
        <v>15</v>
      </c>
      <c r="AA92" s="90">
        <v>0</v>
      </c>
      <c r="AB92" s="90">
        <v>6</v>
      </c>
      <c r="AC92" s="90">
        <v>15</v>
      </c>
      <c r="AD92" s="90">
        <v>0</v>
      </c>
      <c r="AE92" s="151">
        <f t="shared" si="21"/>
        <v>21</v>
      </c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90"/>
      <c r="AS92" s="90"/>
    </row>
    <row r="93" spans="1:45" hidden="1" x14ac:dyDescent="0.25">
      <c r="A93" s="168"/>
      <c r="B93" s="50">
        <v>90</v>
      </c>
      <c r="C93" s="50" t="s">
        <v>262</v>
      </c>
      <c r="D93" s="148">
        <v>45370.629861111112</v>
      </c>
      <c r="E93" s="50" t="s">
        <v>66</v>
      </c>
      <c r="F93" s="50">
        <v>8142</v>
      </c>
      <c r="G93" s="50" t="s">
        <v>47</v>
      </c>
      <c r="H93" s="50">
        <v>100</v>
      </c>
      <c r="I93" s="161" t="s">
        <v>263</v>
      </c>
      <c r="J93" s="90" t="s">
        <v>68</v>
      </c>
      <c r="K93" s="90"/>
      <c r="L93" s="132" t="s">
        <v>51</v>
      </c>
      <c r="M93" s="50" t="s">
        <v>51</v>
      </c>
      <c r="N93" s="132" t="s">
        <v>51</v>
      </c>
      <c r="O93" s="50" t="s">
        <v>303</v>
      </c>
      <c r="P93" s="106">
        <v>0.82291666666666663</v>
      </c>
      <c r="Q93" s="142">
        <v>45352</v>
      </c>
      <c r="R93" s="56">
        <v>36.860749290000001</v>
      </c>
      <c r="S93" s="81">
        <f t="shared" si="19"/>
        <v>22</v>
      </c>
      <c r="T93" s="81">
        <f t="shared" si="16"/>
        <v>14.860749290000001</v>
      </c>
      <c r="U93" s="150">
        <f t="shared" si="17"/>
        <v>0.40315917544388041</v>
      </c>
      <c r="V93" s="90">
        <v>60</v>
      </c>
      <c r="W93" s="90">
        <v>36</v>
      </c>
      <c r="X93" s="90">
        <v>2</v>
      </c>
      <c r="Y93" s="90">
        <v>0</v>
      </c>
      <c r="Z93" s="151">
        <f t="shared" si="20"/>
        <v>98</v>
      </c>
      <c r="AA93" s="90">
        <v>5</v>
      </c>
      <c r="AB93" s="90">
        <v>14</v>
      </c>
      <c r="AC93" s="90">
        <v>3</v>
      </c>
      <c r="AD93" s="90">
        <v>0</v>
      </c>
      <c r="AE93" s="151">
        <f t="shared" si="21"/>
        <v>22</v>
      </c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90"/>
      <c r="AS93" s="90"/>
    </row>
    <row r="94" spans="1:45" hidden="1" x14ac:dyDescent="0.25">
      <c r="A94" s="168"/>
      <c r="B94" s="50">
        <v>91</v>
      </c>
      <c r="C94" s="50" t="s">
        <v>264</v>
      </c>
      <c r="D94" s="148">
        <v>45371.34375</v>
      </c>
      <c r="E94" s="50" t="s">
        <v>54</v>
      </c>
      <c r="F94" s="50">
        <v>6823</v>
      </c>
      <c r="G94" s="50" t="s">
        <v>47</v>
      </c>
      <c r="H94" s="50">
        <v>100</v>
      </c>
      <c r="I94" s="161" t="s">
        <v>265</v>
      </c>
      <c r="J94" s="90" t="s">
        <v>49</v>
      </c>
      <c r="K94" s="90"/>
      <c r="L94" s="132" t="s">
        <v>51</v>
      </c>
      <c r="M94" s="50" t="s">
        <v>51</v>
      </c>
      <c r="N94" s="132" t="s">
        <v>51</v>
      </c>
      <c r="O94" s="50" t="s">
        <v>298</v>
      </c>
      <c r="P94" s="106">
        <v>0.82291666666666663</v>
      </c>
      <c r="Q94" s="142">
        <v>45352</v>
      </c>
      <c r="R94" s="56">
        <v>47.696035360000003</v>
      </c>
      <c r="S94" s="81">
        <f t="shared" si="19"/>
        <v>36</v>
      </c>
      <c r="T94" s="81">
        <f t="shared" si="16"/>
        <v>11.696035360000003</v>
      </c>
      <c r="U94" s="150">
        <f t="shared" si="17"/>
        <v>0.2452202844894906</v>
      </c>
      <c r="V94" s="90">
        <v>147</v>
      </c>
      <c r="W94" s="90">
        <v>35</v>
      </c>
      <c r="X94" s="90">
        <v>0</v>
      </c>
      <c r="Y94" s="90">
        <v>0</v>
      </c>
      <c r="Z94" s="151">
        <f t="shared" si="20"/>
        <v>182</v>
      </c>
      <c r="AA94" s="90">
        <v>23</v>
      </c>
      <c r="AB94" s="90">
        <v>13</v>
      </c>
      <c r="AC94" s="90">
        <v>0</v>
      </c>
      <c r="AD94" s="90">
        <v>0</v>
      </c>
      <c r="AE94" s="151">
        <f t="shared" si="21"/>
        <v>36</v>
      </c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90"/>
      <c r="AS94" s="90"/>
    </row>
    <row r="95" spans="1:45" hidden="1" x14ac:dyDescent="0.25">
      <c r="A95" s="168"/>
      <c r="B95" s="50">
        <v>92</v>
      </c>
      <c r="C95" s="50" t="s">
        <v>266</v>
      </c>
      <c r="D95" s="148">
        <v>45371.368055555555</v>
      </c>
      <c r="E95" s="50" t="s">
        <v>66</v>
      </c>
      <c r="F95" s="50">
        <v>8130</v>
      </c>
      <c r="G95" s="50" t="s">
        <v>47</v>
      </c>
      <c r="H95" s="50">
        <v>140</v>
      </c>
      <c r="I95" s="161" t="s">
        <v>267</v>
      </c>
      <c r="J95" s="90" t="s">
        <v>68</v>
      </c>
      <c r="K95" s="90"/>
      <c r="L95" s="132" t="s">
        <v>51</v>
      </c>
      <c r="M95" s="50" t="s">
        <v>51</v>
      </c>
      <c r="N95" s="132" t="s">
        <v>51</v>
      </c>
      <c r="O95" s="50" t="s">
        <v>56</v>
      </c>
      <c r="P95" s="106">
        <v>0.64583333333333337</v>
      </c>
      <c r="Q95" s="142">
        <v>45352</v>
      </c>
      <c r="R95" s="56">
        <v>13.002826000000001</v>
      </c>
      <c r="S95" s="81">
        <f t="shared" si="19"/>
        <v>11</v>
      </c>
      <c r="T95" s="81">
        <f t="shared" si="16"/>
        <v>2.0028260000000007</v>
      </c>
      <c r="U95" s="150">
        <f t="shared" si="17"/>
        <v>0.15403005469734046</v>
      </c>
      <c r="V95" s="90">
        <v>7</v>
      </c>
      <c r="W95" s="90">
        <v>17</v>
      </c>
      <c r="X95" s="90">
        <v>0</v>
      </c>
      <c r="Y95" s="90">
        <v>0</v>
      </c>
      <c r="Z95" s="151">
        <f t="shared" si="20"/>
        <v>24</v>
      </c>
      <c r="AA95" s="90">
        <v>2</v>
      </c>
      <c r="AB95" s="90">
        <v>9</v>
      </c>
      <c r="AC95" s="90">
        <v>0</v>
      </c>
      <c r="AD95" s="90">
        <v>0</v>
      </c>
      <c r="AE95" s="151">
        <f t="shared" si="21"/>
        <v>11</v>
      </c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90"/>
      <c r="AS95" s="90"/>
    </row>
    <row r="96" spans="1:45" hidden="1" x14ac:dyDescent="0.25">
      <c r="A96" s="168"/>
      <c r="B96" s="50">
        <v>93</v>
      </c>
      <c r="C96" s="50" t="s">
        <v>268</v>
      </c>
      <c r="D96" s="148">
        <v>45371.4375</v>
      </c>
      <c r="E96" s="50" t="s">
        <v>54</v>
      </c>
      <c r="F96" s="50">
        <v>8191</v>
      </c>
      <c r="G96" s="50" t="s">
        <v>47</v>
      </c>
      <c r="H96" s="50">
        <v>60</v>
      </c>
      <c r="I96" s="161" t="s">
        <v>269</v>
      </c>
      <c r="J96" s="90" t="s">
        <v>49</v>
      </c>
      <c r="K96" s="90"/>
      <c r="L96" s="132" t="s">
        <v>51</v>
      </c>
      <c r="M96" s="50" t="s">
        <v>51</v>
      </c>
      <c r="N96" s="132" t="s">
        <v>51</v>
      </c>
      <c r="O96" s="50" t="s">
        <v>56</v>
      </c>
      <c r="P96" s="106">
        <v>0.53125</v>
      </c>
      <c r="Q96" s="142">
        <v>45352</v>
      </c>
      <c r="R96" s="56">
        <v>18.571336070000001</v>
      </c>
      <c r="S96" s="81">
        <f t="shared" si="19"/>
        <v>23</v>
      </c>
      <c r="T96" s="81">
        <f t="shared" si="16"/>
        <v>-4.428663929999999</v>
      </c>
      <c r="U96" s="150">
        <f t="shared" si="17"/>
        <v>-0.23846770707865386</v>
      </c>
      <c r="V96" s="90">
        <v>8</v>
      </c>
      <c r="W96" s="90">
        <v>14</v>
      </c>
      <c r="X96" s="90">
        <v>3</v>
      </c>
      <c r="Y96" s="90">
        <v>0</v>
      </c>
      <c r="Z96" s="151">
        <f t="shared" si="20"/>
        <v>25</v>
      </c>
      <c r="AA96" s="90">
        <v>1</v>
      </c>
      <c r="AB96" s="90">
        <v>16</v>
      </c>
      <c r="AC96" s="90">
        <v>6</v>
      </c>
      <c r="AD96" s="90">
        <v>0</v>
      </c>
      <c r="AE96" s="151">
        <f t="shared" si="21"/>
        <v>23</v>
      </c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90"/>
      <c r="AS96" s="90"/>
    </row>
    <row r="97" spans="1:45" hidden="1" x14ac:dyDescent="0.25">
      <c r="A97" s="4"/>
      <c r="B97" s="50">
        <v>94</v>
      </c>
      <c r="C97" s="50" t="s">
        <v>270</v>
      </c>
      <c r="D97" s="148">
        <v>45371.453472222223</v>
      </c>
      <c r="E97" s="50" t="s">
        <v>66</v>
      </c>
      <c r="F97" s="50">
        <v>8112</v>
      </c>
      <c r="G97" s="50" t="s">
        <v>47</v>
      </c>
      <c r="H97" s="50">
        <v>60</v>
      </c>
      <c r="I97" s="161" t="s">
        <v>271</v>
      </c>
      <c r="J97" s="90" t="s">
        <v>68</v>
      </c>
      <c r="K97" s="90"/>
      <c r="L97" s="132" t="s">
        <v>51</v>
      </c>
      <c r="M97" s="50" t="s">
        <v>51</v>
      </c>
      <c r="N97" s="132" t="s">
        <v>51</v>
      </c>
      <c r="O97" s="50" t="s">
        <v>303</v>
      </c>
      <c r="P97" s="106">
        <v>0.78125</v>
      </c>
      <c r="Q97" s="142">
        <v>45352</v>
      </c>
      <c r="R97" s="56">
        <v>18.841428000000001</v>
      </c>
      <c r="S97" s="81">
        <f t="shared" si="19"/>
        <v>11</v>
      </c>
      <c r="T97" s="81">
        <f t="shared" si="16"/>
        <v>7.8414280000000005</v>
      </c>
      <c r="U97" s="150">
        <f t="shared" si="17"/>
        <v>0.41618013241883789</v>
      </c>
      <c r="V97" s="90">
        <v>16</v>
      </c>
      <c r="W97" s="90">
        <v>45</v>
      </c>
      <c r="X97" s="90">
        <v>1</v>
      </c>
      <c r="Y97" s="90">
        <v>0</v>
      </c>
      <c r="Z97" s="151">
        <f t="shared" si="20"/>
        <v>62</v>
      </c>
      <c r="AA97" s="90">
        <v>1</v>
      </c>
      <c r="AB97" s="90">
        <v>7</v>
      </c>
      <c r="AC97" s="90">
        <v>3</v>
      </c>
      <c r="AD97" s="90">
        <v>0</v>
      </c>
      <c r="AE97" s="151">
        <f t="shared" si="21"/>
        <v>11</v>
      </c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90"/>
      <c r="AS97" s="90"/>
    </row>
    <row r="98" spans="1:45" hidden="1" x14ac:dyDescent="0.25">
      <c r="A98" s="4"/>
      <c r="B98" s="50">
        <v>95</v>
      </c>
      <c r="C98" s="50" t="s">
        <v>272</v>
      </c>
      <c r="D98" s="148">
        <v>45372.331250000003</v>
      </c>
      <c r="E98" s="50" t="s">
        <v>80</v>
      </c>
      <c r="F98" s="50">
        <v>6804</v>
      </c>
      <c r="G98" s="50" t="s">
        <v>47</v>
      </c>
      <c r="H98" s="50">
        <v>100</v>
      </c>
      <c r="I98" s="161" t="s">
        <v>273</v>
      </c>
      <c r="J98" s="90" t="s">
        <v>49</v>
      </c>
      <c r="K98" s="90"/>
      <c r="L98" s="132" t="s">
        <v>51</v>
      </c>
      <c r="M98" s="50" t="s">
        <v>51</v>
      </c>
      <c r="N98" s="132" t="s">
        <v>60</v>
      </c>
      <c r="O98" s="50" t="s">
        <v>303</v>
      </c>
      <c r="P98" s="106">
        <v>0.89583333333333337</v>
      </c>
      <c r="Q98" s="142">
        <v>45352</v>
      </c>
      <c r="R98" s="56">
        <v>43.343170360000002</v>
      </c>
      <c r="S98" s="81">
        <f t="shared" si="19"/>
        <v>48</v>
      </c>
      <c r="T98" s="81">
        <f t="shared" si="16"/>
        <v>-4.656829639999998</v>
      </c>
      <c r="U98" s="150">
        <f t="shared" si="17"/>
        <v>-0.10744090940559425</v>
      </c>
      <c r="V98" s="90">
        <v>120</v>
      </c>
      <c r="W98" s="90">
        <v>9</v>
      </c>
      <c r="X98" s="90">
        <v>0</v>
      </c>
      <c r="Y98" s="90">
        <v>1</v>
      </c>
      <c r="Z98" s="151">
        <f t="shared" si="20"/>
        <v>130</v>
      </c>
      <c r="AA98" s="90">
        <v>29</v>
      </c>
      <c r="AB98" s="90">
        <v>6</v>
      </c>
      <c r="AC98" s="90">
        <v>0</v>
      </c>
      <c r="AD98" s="90">
        <v>13</v>
      </c>
      <c r="AE98" s="151">
        <f t="shared" si="21"/>
        <v>48</v>
      </c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90"/>
      <c r="AS98" s="90"/>
    </row>
    <row r="99" spans="1:45" hidden="1" x14ac:dyDescent="0.25">
      <c r="A99" s="4"/>
      <c r="B99" s="50">
        <v>96</v>
      </c>
      <c r="C99" s="50" t="s">
        <v>274</v>
      </c>
      <c r="D99" s="148">
        <v>45372.373611111114</v>
      </c>
      <c r="E99" s="50" t="s">
        <v>66</v>
      </c>
      <c r="F99" s="50">
        <v>8100</v>
      </c>
      <c r="G99" s="50" t="s">
        <v>47</v>
      </c>
      <c r="H99" s="50">
        <v>60</v>
      </c>
      <c r="I99" s="161" t="s">
        <v>275</v>
      </c>
      <c r="J99" s="90" t="s">
        <v>68</v>
      </c>
      <c r="K99" s="90"/>
      <c r="L99" s="132" t="s">
        <v>51</v>
      </c>
      <c r="M99" s="50" t="s">
        <v>51</v>
      </c>
      <c r="N99" s="132" t="s">
        <v>51</v>
      </c>
      <c r="O99" s="50" t="s">
        <v>298</v>
      </c>
      <c r="P99" s="106">
        <v>0.83333333333333337</v>
      </c>
      <c r="Q99" s="142">
        <v>45352</v>
      </c>
      <c r="R99" s="56">
        <v>29.741698929999998</v>
      </c>
      <c r="S99" s="81">
        <f t="shared" si="19"/>
        <v>19</v>
      </c>
      <c r="T99" s="81">
        <f t="shared" si="16"/>
        <v>10.741698929999998</v>
      </c>
      <c r="U99" s="150">
        <f t="shared" si="17"/>
        <v>0.36116628560061881</v>
      </c>
      <c r="V99" s="90">
        <v>90</v>
      </c>
      <c r="W99" s="90">
        <v>26</v>
      </c>
      <c r="X99" s="90">
        <v>0</v>
      </c>
      <c r="Y99" s="90">
        <v>0</v>
      </c>
      <c r="Z99" s="151">
        <f t="shared" si="20"/>
        <v>116</v>
      </c>
      <c r="AA99" s="90">
        <v>14</v>
      </c>
      <c r="AB99" s="90">
        <v>5</v>
      </c>
      <c r="AC99" s="90">
        <v>0</v>
      </c>
      <c r="AD99" s="90">
        <v>0</v>
      </c>
      <c r="AE99" s="151">
        <f t="shared" si="21"/>
        <v>19</v>
      </c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90"/>
      <c r="AS99" s="90"/>
    </row>
    <row r="100" spans="1:45" hidden="1" x14ac:dyDescent="0.25">
      <c r="A100" s="4"/>
      <c r="B100" s="50">
        <v>97</v>
      </c>
      <c r="C100" s="50" t="s">
        <v>276</v>
      </c>
      <c r="D100" s="148">
        <v>45372.416666666664</v>
      </c>
      <c r="E100" s="50" t="s">
        <v>54</v>
      </c>
      <c r="F100" s="50">
        <v>6806</v>
      </c>
      <c r="G100" s="50" t="s">
        <v>47</v>
      </c>
      <c r="H100" s="50">
        <v>140</v>
      </c>
      <c r="I100" s="161" t="s">
        <v>277</v>
      </c>
      <c r="J100" s="90" t="s">
        <v>49</v>
      </c>
      <c r="K100" s="90"/>
      <c r="L100" s="132" t="s">
        <v>51</v>
      </c>
      <c r="M100" s="50" t="s">
        <v>51</v>
      </c>
      <c r="N100" s="132" t="s">
        <v>51</v>
      </c>
      <c r="O100" s="50" t="s">
        <v>56</v>
      </c>
      <c r="P100" s="106">
        <v>0.44791666666666669</v>
      </c>
      <c r="Q100" s="142">
        <v>45352</v>
      </c>
      <c r="R100" s="56">
        <v>52.436779000000001</v>
      </c>
      <c r="S100" s="81">
        <f t="shared" si="19"/>
        <v>58</v>
      </c>
      <c r="T100" s="81">
        <f t="shared" ref="T100:T108" si="22">R100-S100</f>
        <v>-5.5632209999999986</v>
      </c>
      <c r="U100" s="150">
        <f t="shared" ref="U100:U108" si="23">IFERROR(T100/R100,"")</f>
        <v>-0.10609387353864734</v>
      </c>
      <c r="V100" s="90">
        <v>15</v>
      </c>
      <c r="W100" s="90">
        <v>27</v>
      </c>
      <c r="X100" s="90">
        <v>4</v>
      </c>
      <c r="Y100" s="90">
        <v>0</v>
      </c>
      <c r="Z100" s="151">
        <f t="shared" si="20"/>
        <v>46</v>
      </c>
      <c r="AA100" s="90">
        <v>7</v>
      </c>
      <c r="AB100" s="90">
        <v>18</v>
      </c>
      <c r="AC100" s="90">
        <v>33</v>
      </c>
      <c r="AD100" s="90">
        <v>0</v>
      </c>
      <c r="AE100" s="151">
        <f t="shared" si="21"/>
        <v>58</v>
      </c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90"/>
      <c r="AS100" s="90"/>
    </row>
    <row r="101" spans="1:45" hidden="1" x14ac:dyDescent="0.25">
      <c r="A101" s="4"/>
      <c r="B101" s="50">
        <v>98</v>
      </c>
      <c r="C101" s="50" t="s">
        <v>278</v>
      </c>
      <c r="D101" s="148">
        <v>45372.46875</v>
      </c>
      <c r="E101" s="50" t="s">
        <v>66</v>
      </c>
      <c r="F101" s="50">
        <v>8116</v>
      </c>
      <c r="G101" s="50" t="s">
        <v>47</v>
      </c>
      <c r="H101" s="50">
        <v>100</v>
      </c>
      <c r="I101" s="161" t="s">
        <v>279</v>
      </c>
      <c r="J101" s="90" t="s">
        <v>68</v>
      </c>
      <c r="K101" s="90"/>
      <c r="L101" s="132" t="s">
        <v>51</v>
      </c>
      <c r="M101" s="50" t="s">
        <v>51</v>
      </c>
      <c r="N101" s="132" t="s">
        <v>51</v>
      </c>
      <c r="O101" s="50" t="s">
        <v>298</v>
      </c>
      <c r="P101" s="106">
        <v>0.83333333333333337</v>
      </c>
      <c r="Q101" s="142">
        <v>45352</v>
      </c>
      <c r="R101" s="56">
        <v>47.684299639999999</v>
      </c>
      <c r="S101" s="81">
        <f t="shared" si="19"/>
        <v>32</v>
      </c>
      <c r="T101" s="81">
        <f t="shared" si="22"/>
        <v>15.684299639999999</v>
      </c>
      <c r="U101" s="150">
        <f t="shared" si="23"/>
        <v>0.32891957643104852</v>
      </c>
      <c r="V101" s="90">
        <v>111</v>
      </c>
      <c r="W101" s="90">
        <v>37</v>
      </c>
      <c r="X101" s="90">
        <v>1</v>
      </c>
      <c r="Y101" s="90">
        <v>0</v>
      </c>
      <c r="Z101" s="151">
        <f t="shared" si="20"/>
        <v>149</v>
      </c>
      <c r="AA101" s="90">
        <v>23</v>
      </c>
      <c r="AB101" s="90">
        <v>7</v>
      </c>
      <c r="AC101" s="90">
        <v>2</v>
      </c>
      <c r="AD101" s="90">
        <v>0</v>
      </c>
      <c r="AE101" s="151">
        <f t="shared" si="21"/>
        <v>32</v>
      </c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90"/>
      <c r="AS101" s="90"/>
    </row>
    <row r="102" spans="1:45" hidden="1" x14ac:dyDescent="0.25">
      <c r="A102" s="4"/>
      <c r="B102" s="50">
        <v>99</v>
      </c>
      <c r="C102" s="50" t="s">
        <v>280</v>
      </c>
      <c r="D102" s="148">
        <v>45372.513888888891</v>
      </c>
      <c r="E102" s="50" t="s">
        <v>70</v>
      </c>
      <c r="F102" s="50">
        <v>6811</v>
      </c>
      <c r="G102" s="50" t="s">
        <v>47</v>
      </c>
      <c r="H102" s="50">
        <v>140</v>
      </c>
      <c r="I102" s="161" t="s">
        <v>281</v>
      </c>
      <c r="J102" s="90" t="s">
        <v>49</v>
      </c>
      <c r="K102" s="90"/>
      <c r="L102" s="132" t="s">
        <v>51</v>
      </c>
      <c r="M102" s="50" t="s">
        <v>51</v>
      </c>
      <c r="N102" s="132" t="s">
        <v>51</v>
      </c>
      <c r="O102" s="50" t="s">
        <v>298</v>
      </c>
      <c r="P102" s="106">
        <v>0.89583333333333337</v>
      </c>
      <c r="Q102" s="142">
        <v>45352</v>
      </c>
      <c r="R102" s="56">
        <v>98.271580999999998</v>
      </c>
      <c r="S102" s="81">
        <f t="shared" si="19"/>
        <v>94</v>
      </c>
      <c r="T102" s="81">
        <f t="shared" si="22"/>
        <v>4.2715809999999976</v>
      </c>
      <c r="U102" s="150">
        <f t="shared" si="23"/>
        <v>4.3467103678732896E-2</v>
      </c>
      <c r="V102" s="90">
        <v>276</v>
      </c>
      <c r="W102" s="90">
        <v>11</v>
      </c>
      <c r="X102" s="90">
        <v>0</v>
      </c>
      <c r="Y102" s="90">
        <v>0</v>
      </c>
      <c r="Z102" s="151">
        <f t="shared" si="20"/>
        <v>287</v>
      </c>
      <c r="AA102" s="90">
        <v>90</v>
      </c>
      <c r="AB102" s="90">
        <v>4</v>
      </c>
      <c r="AC102" s="90">
        <v>0</v>
      </c>
      <c r="AD102" s="90">
        <v>0</v>
      </c>
      <c r="AE102" s="151">
        <f t="shared" si="21"/>
        <v>94</v>
      </c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90"/>
      <c r="AS102" s="90"/>
    </row>
    <row r="103" spans="1:45" hidden="1" x14ac:dyDescent="0.25">
      <c r="A103" s="4"/>
      <c r="B103" s="50">
        <v>100</v>
      </c>
      <c r="C103" s="50" t="s">
        <v>282</v>
      </c>
      <c r="D103" s="148">
        <v>45373.347222222219</v>
      </c>
      <c r="E103" s="50" t="s">
        <v>58</v>
      </c>
      <c r="F103" s="50">
        <v>5520</v>
      </c>
      <c r="G103" s="50" t="s">
        <v>47</v>
      </c>
      <c r="H103" s="50">
        <v>60</v>
      </c>
      <c r="I103" s="161" t="s">
        <v>283</v>
      </c>
      <c r="J103" s="90" t="s">
        <v>49</v>
      </c>
      <c r="K103" s="90"/>
      <c r="L103" s="132" t="s">
        <v>51</v>
      </c>
      <c r="M103" s="50" t="s">
        <v>51</v>
      </c>
      <c r="N103" s="132" t="s">
        <v>51</v>
      </c>
      <c r="O103" s="50" t="s">
        <v>56</v>
      </c>
      <c r="P103" s="106">
        <v>0.64583333333333337</v>
      </c>
      <c r="Q103" s="142">
        <v>45352</v>
      </c>
      <c r="R103" s="56">
        <v>6.9776570999999996E-2</v>
      </c>
      <c r="S103" s="81">
        <f t="shared" si="19"/>
        <v>0</v>
      </c>
      <c r="T103" s="81">
        <f t="shared" si="22"/>
        <v>6.9776570999999996E-2</v>
      </c>
      <c r="U103" s="150">
        <f t="shared" si="23"/>
        <v>1</v>
      </c>
      <c r="V103" s="90">
        <v>2</v>
      </c>
      <c r="W103" s="90">
        <v>0</v>
      </c>
      <c r="X103" s="90">
        <v>0</v>
      </c>
      <c r="Y103" s="90">
        <v>0</v>
      </c>
      <c r="Z103" s="151">
        <f t="shared" si="20"/>
        <v>2</v>
      </c>
      <c r="AA103" s="90">
        <v>0</v>
      </c>
      <c r="AB103" s="90">
        <v>0</v>
      </c>
      <c r="AC103" s="90">
        <v>0</v>
      </c>
      <c r="AD103" s="90">
        <v>0</v>
      </c>
      <c r="AE103" s="151">
        <f t="shared" si="21"/>
        <v>0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90"/>
      <c r="AS103" s="90"/>
    </row>
    <row r="104" spans="1:45" hidden="1" x14ac:dyDescent="0.25">
      <c r="A104" s="4"/>
      <c r="B104" s="50">
        <v>101</v>
      </c>
      <c r="C104" s="50" t="s">
        <v>284</v>
      </c>
      <c r="D104" s="148">
        <v>45373.383333333331</v>
      </c>
      <c r="E104" s="50" t="s">
        <v>66</v>
      </c>
      <c r="F104" s="50">
        <v>8114</v>
      </c>
      <c r="G104" s="50" t="s">
        <v>47</v>
      </c>
      <c r="H104" s="50">
        <v>100</v>
      </c>
      <c r="I104" s="161" t="s">
        <v>285</v>
      </c>
      <c r="J104" s="90" t="s">
        <v>68</v>
      </c>
      <c r="K104" s="90"/>
      <c r="L104" s="132" t="s">
        <v>51</v>
      </c>
      <c r="M104" s="50" t="s">
        <v>51</v>
      </c>
      <c r="N104" s="132" t="s">
        <v>51</v>
      </c>
      <c r="O104" s="50" t="s">
        <v>52</v>
      </c>
      <c r="P104" s="106">
        <v>0.84375</v>
      </c>
      <c r="Q104" s="142">
        <v>45352</v>
      </c>
      <c r="R104" s="56">
        <v>81.226487860000006</v>
      </c>
      <c r="S104" s="81">
        <f t="shared" si="19"/>
        <v>75</v>
      </c>
      <c r="T104" s="81">
        <f t="shared" si="22"/>
        <v>6.226487860000006</v>
      </c>
      <c r="U104" s="150">
        <f t="shared" si="23"/>
        <v>7.6655879431003202E-2</v>
      </c>
      <c r="V104" s="90">
        <v>111</v>
      </c>
      <c r="W104" s="90">
        <v>66</v>
      </c>
      <c r="X104" s="90">
        <v>2</v>
      </c>
      <c r="Y104" s="90">
        <v>0</v>
      </c>
      <c r="Z104" s="151">
        <f t="shared" si="20"/>
        <v>179</v>
      </c>
      <c r="AA104" s="90">
        <v>23</v>
      </c>
      <c r="AB104" s="90">
        <v>38</v>
      </c>
      <c r="AC104" s="90">
        <v>14</v>
      </c>
      <c r="AD104" s="90">
        <v>0</v>
      </c>
      <c r="AE104" s="151">
        <f t="shared" si="21"/>
        <v>75</v>
      </c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90"/>
      <c r="AS104" s="90"/>
    </row>
    <row r="105" spans="1:45" hidden="1" x14ac:dyDescent="0.25">
      <c r="A105" s="4"/>
      <c r="B105" s="50">
        <v>102</v>
      </c>
      <c r="C105" s="50" t="s">
        <v>286</v>
      </c>
      <c r="D105" s="148">
        <v>45373.425694444442</v>
      </c>
      <c r="E105" s="50" t="s">
        <v>66</v>
      </c>
      <c r="F105" s="50">
        <v>5268</v>
      </c>
      <c r="G105" s="50" t="s">
        <v>47</v>
      </c>
      <c r="H105" s="50">
        <v>60</v>
      </c>
      <c r="I105" s="161" t="s">
        <v>287</v>
      </c>
      <c r="J105" s="90" t="s">
        <v>49</v>
      </c>
      <c r="K105" s="90"/>
      <c r="L105" s="132" t="s">
        <v>51</v>
      </c>
      <c r="M105" s="50" t="s">
        <v>51</v>
      </c>
      <c r="N105" s="132" t="s">
        <v>51</v>
      </c>
      <c r="O105" s="50" t="s">
        <v>303</v>
      </c>
      <c r="P105" s="106">
        <v>0.80208333333333337</v>
      </c>
      <c r="Q105" s="142">
        <v>45352</v>
      </c>
      <c r="R105" s="56">
        <v>19.637601</v>
      </c>
      <c r="S105" s="81">
        <f t="shared" si="19"/>
        <v>6</v>
      </c>
      <c r="T105" s="81">
        <f t="shared" si="22"/>
        <v>13.637601</v>
      </c>
      <c r="U105" s="150">
        <f t="shared" si="23"/>
        <v>0.69446369747506331</v>
      </c>
      <c r="V105" s="90">
        <v>20</v>
      </c>
      <c r="W105" s="90">
        <v>26</v>
      </c>
      <c r="X105" s="90">
        <v>1</v>
      </c>
      <c r="Y105" s="90">
        <v>0</v>
      </c>
      <c r="Z105" s="151">
        <f t="shared" si="20"/>
        <v>47</v>
      </c>
      <c r="AA105" s="90">
        <v>1</v>
      </c>
      <c r="AB105" s="90">
        <v>3</v>
      </c>
      <c r="AC105" s="90">
        <v>2</v>
      </c>
      <c r="AD105" s="90">
        <v>0</v>
      </c>
      <c r="AE105" s="151">
        <f t="shared" si="21"/>
        <v>6</v>
      </c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90"/>
      <c r="AS105" s="90"/>
    </row>
    <row r="106" spans="1:45" hidden="1" x14ac:dyDescent="0.25">
      <c r="A106" s="4"/>
      <c r="B106" s="50">
        <v>103</v>
      </c>
      <c r="C106" s="50" t="s">
        <v>288</v>
      </c>
      <c r="D106" s="148">
        <v>45373.436805555553</v>
      </c>
      <c r="E106" s="50" t="s">
        <v>66</v>
      </c>
      <c r="F106" s="50">
        <v>8110</v>
      </c>
      <c r="G106" s="50" t="s">
        <v>47</v>
      </c>
      <c r="H106" s="154">
        <v>60</v>
      </c>
      <c r="I106" s="161" t="s">
        <v>289</v>
      </c>
      <c r="J106" s="90" t="s">
        <v>68</v>
      </c>
      <c r="K106" s="90"/>
      <c r="L106" s="132" t="s">
        <v>51</v>
      </c>
      <c r="M106" s="50" t="s">
        <v>51</v>
      </c>
      <c r="N106" s="132" t="s">
        <v>51</v>
      </c>
      <c r="O106" s="50" t="s">
        <v>303</v>
      </c>
      <c r="P106" s="106">
        <v>0.85416666666666663</v>
      </c>
      <c r="Q106" s="142">
        <v>45352</v>
      </c>
      <c r="R106" s="56">
        <v>25.504957709999999</v>
      </c>
      <c r="S106" s="81">
        <f t="shared" si="19"/>
        <v>14</v>
      </c>
      <c r="T106" s="81">
        <f t="shared" si="22"/>
        <v>11.504957709999999</v>
      </c>
      <c r="U106" s="150">
        <f t="shared" si="23"/>
        <v>0.45108711180058647</v>
      </c>
      <c r="V106" s="90">
        <v>44</v>
      </c>
      <c r="W106" s="90">
        <v>37</v>
      </c>
      <c r="X106" s="90">
        <v>0</v>
      </c>
      <c r="Y106" s="90">
        <v>2</v>
      </c>
      <c r="Z106" s="151">
        <f t="shared" si="20"/>
        <v>83</v>
      </c>
      <c r="AA106" s="90">
        <v>6</v>
      </c>
      <c r="AB106" s="90">
        <v>5</v>
      </c>
      <c r="AC106" s="90">
        <v>0</v>
      </c>
      <c r="AD106" s="90">
        <v>3</v>
      </c>
      <c r="AE106" s="151">
        <f t="shared" si="21"/>
        <v>14</v>
      </c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90"/>
      <c r="AS106" s="90"/>
    </row>
    <row r="107" spans="1:45" hidden="1" x14ac:dyDescent="0.25">
      <c r="A107" s="4"/>
      <c r="B107" s="50">
        <v>104</v>
      </c>
      <c r="C107" s="50" t="s">
        <v>290</v>
      </c>
      <c r="D107" s="148">
        <v>45373.506249999999</v>
      </c>
      <c r="E107" s="50" t="s">
        <v>58</v>
      </c>
      <c r="F107" s="50">
        <v>6819</v>
      </c>
      <c r="G107" s="50" t="s">
        <v>47</v>
      </c>
      <c r="H107" s="50">
        <v>60</v>
      </c>
      <c r="I107" s="161" t="s">
        <v>291</v>
      </c>
      <c r="J107" s="90" t="s">
        <v>49</v>
      </c>
      <c r="K107" s="90"/>
      <c r="L107" s="132" t="s">
        <v>51</v>
      </c>
      <c r="M107" s="50" t="s">
        <v>51</v>
      </c>
      <c r="N107" s="132" t="s">
        <v>51</v>
      </c>
      <c r="O107" s="50" t="s">
        <v>303</v>
      </c>
      <c r="P107" s="106">
        <v>0.875</v>
      </c>
      <c r="Q107" s="142">
        <v>45352</v>
      </c>
      <c r="R107" s="56">
        <v>14.328749139999999</v>
      </c>
      <c r="S107" s="81">
        <f t="shared" si="19"/>
        <v>13</v>
      </c>
      <c r="T107" s="81">
        <f t="shared" si="22"/>
        <v>1.3287491399999993</v>
      </c>
      <c r="U107" s="150">
        <f t="shared" si="23"/>
        <v>9.2733086958070601E-2</v>
      </c>
      <c r="V107" s="90">
        <v>72</v>
      </c>
      <c r="W107" s="90">
        <v>8</v>
      </c>
      <c r="X107" s="90">
        <v>0</v>
      </c>
      <c r="Y107" s="90">
        <v>0</v>
      </c>
      <c r="Z107" s="151">
        <f t="shared" si="20"/>
        <v>80</v>
      </c>
      <c r="AA107" s="90">
        <v>7</v>
      </c>
      <c r="AB107" s="90">
        <v>6</v>
      </c>
      <c r="AC107" s="90">
        <v>0</v>
      </c>
      <c r="AD107" s="90">
        <v>0</v>
      </c>
      <c r="AE107" s="151">
        <f t="shared" si="21"/>
        <v>13</v>
      </c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90"/>
      <c r="AS107" s="90"/>
    </row>
    <row r="108" spans="1:45" hidden="1" x14ac:dyDescent="0.25">
      <c r="A108" s="4"/>
      <c r="B108" s="50">
        <v>105</v>
      </c>
      <c r="C108" s="132" t="s">
        <v>292</v>
      </c>
      <c r="D108" s="164">
        <v>45373.570833333331</v>
      </c>
      <c r="E108" s="132" t="s">
        <v>66</v>
      </c>
      <c r="F108" s="132">
        <v>8105</v>
      </c>
      <c r="G108" s="132" t="s">
        <v>47</v>
      </c>
      <c r="H108" s="132">
        <v>60</v>
      </c>
      <c r="I108" s="162" t="s">
        <v>293</v>
      </c>
      <c r="J108" s="129" t="s">
        <v>68</v>
      </c>
      <c r="K108" s="129"/>
      <c r="L108" s="132" t="s">
        <v>51</v>
      </c>
      <c r="M108" s="132" t="s">
        <v>51</v>
      </c>
      <c r="N108" s="132" t="s">
        <v>51</v>
      </c>
      <c r="O108" s="50" t="s">
        <v>303</v>
      </c>
      <c r="P108" s="106">
        <v>0.83333333333333337</v>
      </c>
      <c r="Q108" s="142">
        <v>45352</v>
      </c>
      <c r="R108" s="56">
        <v>21.739899210000001</v>
      </c>
      <c r="S108" s="81">
        <f t="shared" si="19"/>
        <v>17</v>
      </c>
      <c r="T108" s="81">
        <f t="shared" si="22"/>
        <v>4.7398992100000008</v>
      </c>
      <c r="U108" s="150">
        <f t="shared" si="23"/>
        <v>0.21802765340419444</v>
      </c>
      <c r="V108" s="129">
        <v>70</v>
      </c>
      <c r="W108" s="129">
        <v>44</v>
      </c>
      <c r="X108" s="129">
        <v>1</v>
      </c>
      <c r="Y108" s="166">
        <v>0</v>
      </c>
      <c r="Z108" s="151">
        <f t="shared" si="20"/>
        <v>115</v>
      </c>
      <c r="AA108" s="165">
        <v>7</v>
      </c>
      <c r="AB108" s="129">
        <v>8</v>
      </c>
      <c r="AC108" s="129">
        <v>2</v>
      </c>
      <c r="AD108" s="166">
        <v>0</v>
      </c>
      <c r="AE108" s="151">
        <f t="shared" si="21"/>
        <v>17</v>
      </c>
      <c r="AF108" s="167"/>
      <c r="AG108" s="152"/>
      <c r="AH108" s="152"/>
      <c r="AI108" s="152"/>
      <c r="AJ108" s="152"/>
      <c r="AK108" s="152"/>
      <c r="AL108" s="152"/>
      <c r="AM108" s="152"/>
      <c r="AN108" s="152"/>
      <c r="AO108" s="152"/>
      <c r="AP108" s="152"/>
      <c r="AQ108" s="152"/>
      <c r="AR108" s="129"/>
      <c r="AS108" s="129"/>
    </row>
    <row r="109" spans="1:45" x14ac:dyDescent="0.25">
      <c r="A109" s="170" t="s">
        <v>0</v>
      </c>
      <c r="B109" s="128">
        <v>106</v>
      </c>
      <c r="C109" s="50" t="s">
        <v>294</v>
      </c>
      <c r="D109" s="169">
        <v>45376.338888888888</v>
      </c>
      <c r="E109" s="50" t="s">
        <v>80</v>
      </c>
      <c r="F109" s="50">
        <v>6798</v>
      </c>
      <c r="G109" s="50" t="s">
        <v>47</v>
      </c>
      <c r="H109" s="50">
        <v>140</v>
      </c>
      <c r="I109" s="161" t="s">
        <v>295</v>
      </c>
      <c r="J109" s="90" t="s">
        <v>49</v>
      </c>
      <c r="K109" s="90"/>
      <c r="L109" s="132" t="s">
        <v>51</v>
      </c>
      <c r="M109" s="50" t="s">
        <v>51</v>
      </c>
      <c r="N109" s="50" t="s">
        <v>60</v>
      </c>
      <c r="O109" s="50" t="s">
        <v>56</v>
      </c>
      <c r="P109" s="106">
        <v>0.47916666666666669</v>
      </c>
      <c r="Q109" s="142">
        <v>45352</v>
      </c>
      <c r="R109" s="56">
        <v>12.873385499999999</v>
      </c>
      <c r="S109" s="81">
        <f t="shared" si="19"/>
        <v>31</v>
      </c>
      <c r="T109" s="81">
        <f t="shared" ref="T109:T120" si="24">R109-S109</f>
        <v>-18.126614500000002</v>
      </c>
      <c r="U109" s="150">
        <f t="shared" ref="U109:U120" si="25">IFERROR(T109/R109,"")</f>
        <v>-1.4080689574626661</v>
      </c>
      <c r="V109" s="90">
        <v>2</v>
      </c>
      <c r="W109" s="90">
        <v>15</v>
      </c>
      <c r="X109" s="90">
        <v>1</v>
      </c>
      <c r="Y109" s="90">
        <v>2</v>
      </c>
      <c r="Z109" s="151">
        <f t="shared" si="20"/>
        <v>20</v>
      </c>
      <c r="AA109" s="90">
        <v>1</v>
      </c>
      <c r="AB109" s="90">
        <v>21</v>
      </c>
      <c r="AC109" s="90">
        <v>0</v>
      </c>
      <c r="AD109" s="90">
        <v>9</v>
      </c>
      <c r="AE109" s="151">
        <f t="shared" si="21"/>
        <v>31</v>
      </c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90"/>
      <c r="AS109" s="90"/>
    </row>
    <row r="110" spans="1:45" x14ac:dyDescent="0.25">
      <c r="A110" s="170" t="s">
        <v>0</v>
      </c>
      <c r="B110" s="128">
        <v>107</v>
      </c>
      <c r="C110" s="50" t="s">
        <v>296</v>
      </c>
      <c r="D110" s="169">
        <v>45376.394444444442</v>
      </c>
      <c r="E110" s="50" t="s">
        <v>66</v>
      </c>
      <c r="F110" s="50">
        <v>8132</v>
      </c>
      <c r="G110" s="50" t="s">
        <v>47</v>
      </c>
      <c r="H110" s="50">
        <v>100</v>
      </c>
      <c r="I110" s="161" t="s">
        <v>297</v>
      </c>
      <c r="J110" s="90" t="s">
        <v>68</v>
      </c>
      <c r="K110" s="90"/>
      <c r="L110" s="132" t="s">
        <v>51</v>
      </c>
      <c r="M110" s="50" t="s">
        <v>51</v>
      </c>
      <c r="N110" s="50" t="s">
        <v>51</v>
      </c>
      <c r="O110" s="50" t="s">
        <v>298</v>
      </c>
      <c r="P110" s="106">
        <v>0.79166666666666663</v>
      </c>
      <c r="Q110" s="142">
        <v>45352</v>
      </c>
      <c r="R110" s="56">
        <v>49.482233209999997</v>
      </c>
      <c r="S110" s="81">
        <f t="shared" si="19"/>
        <v>38</v>
      </c>
      <c r="T110" s="81">
        <f t="shared" si="24"/>
        <v>11.482233209999997</v>
      </c>
      <c r="U110" s="150">
        <f t="shared" si="25"/>
        <v>0.23204759496747049</v>
      </c>
      <c r="V110" s="90">
        <v>208</v>
      </c>
      <c r="W110" s="90">
        <v>15</v>
      </c>
      <c r="X110" s="90">
        <v>0</v>
      </c>
      <c r="Y110" s="90">
        <v>0</v>
      </c>
      <c r="Z110" s="151">
        <f t="shared" si="20"/>
        <v>223</v>
      </c>
      <c r="AA110" s="90">
        <v>34</v>
      </c>
      <c r="AB110" s="90">
        <v>4</v>
      </c>
      <c r="AC110" s="90">
        <v>0</v>
      </c>
      <c r="AD110" s="90">
        <v>0</v>
      </c>
      <c r="AE110" s="151">
        <f t="shared" si="21"/>
        <v>38</v>
      </c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90"/>
      <c r="AS110" s="90"/>
    </row>
    <row r="111" spans="1:45" x14ac:dyDescent="0.25">
      <c r="A111" s="170" t="s">
        <v>0</v>
      </c>
      <c r="B111" s="128">
        <v>108</v>
      </c>
      <c r="C111" s="50" t="s">
        <v>299</v>
      </c>
      <c r="D111" s="169">
        <v>45376.461111111108</v>
      </c>
      <c r="E111" s="50" t="s">
        <v>70</v>
      </c>
      <c r="F111" s="50">
        <v>6835</v>
      </c>
      <c r="G111" s="50" t="s">
        <v>47</v>
      </c>
      <c r="H111" s="50">
        <v>200</v>
      </c>
      <c r="I111" s="161" t="s">
        <v>300</v>
      </c>
      <c r="J111" s="90" t="s">
        <v>49</v>
      </c>
      <c r="K111" s="90"/>
      <c r="L111" s="132" t="s">
        <v>51</v>
      </c>
      <c r="M111" s="50" t="s">
        <v>51</v>
      </c>
      <c r="N111" s="50" t="s">
        <v>51</v>
      </c>
      <c r="O111" s="50" t="s">
        <v>50</v>
      </c>
      <c r="P111" s="106">
        <v>0.625</v>
      </c>
      <c r="Q111" s="142">
        <v>45352</v>
      </c>
      <c r="R111" s="56">
        <v>27.69221143</v>
      </c>
      <c r="S111" s="81">
        <f t="shared" si="19"/>
        <v>35</v>
      </c>
      <c r="T111" s="81">
        <f t="shared" si="24"/>
        <v>-7.3077885699999996</v>
      </c>
      <c r="U111" s="150">
        <f t="shared" si="25"/>
        <v>-0.26389328235747905</v>
      </c>
      <c r="V111" s="90">
        <v>17</v>
      </c>
      <c r="W111" s="90">
        <v>25</v>
      </c>
      <c r="X111" s="90">
        <v>7</v>
      </c>
      <c r="Y111" s="90">
        <v>0</v>
      </c>
      <c r="Z111" s="151">
        <f t="shared" si="20"/>
        <v>49</v>
      </c>
      <c r="AA111" s="90">
        <v>2</v>
      </c>
      <c r="AB111" s="90">
        <v>24</v>
      </c>
      <c r="AC111" s="90">
        <v>9</v>
      </c>
      <c r="AD111" s="90">
        <v>0</v>
      </c>
      <c r="AE111" s="151">
        <f t="shared" si="21"/>
        <v>35</v>
      </c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90"/>
      <c r="AS111" s="90"/>
    </row>
    <row r="112" spans="1:45" x14ac:dyDescent="0.25">
      <c r="A112" s="170" t="s">
        <v>0</v>
      </c>
      <c r="B112" s="128">
        <v>109</v>
      </c>
      <c r="C112" s="50" t="s">
        <v>301</v>
      </c>
      <c r="D112" s="169">
        <v>45376.474305555559</v>
      </c>
      <c r="E112" s="50" t="s">
        <v>66</v>
      </c>
      <c r="F112" s="50">
        <v>8139</v>
      </c>
      <c r="G112" s="50" t="s">
        <v>47</v>
      </c>
      <c r="H112" s="50">
        <v>200</v>
      </c>
      <c r="I112" s="161" t="s">
        <v>302</v>
      </c>
      <c r="J112" s="90" t="s">
        <v>68</v>
      </c>
      <c r="K112" s="90"/>
      <c r="L112" s="132" t="s">
        <v>51</v>
      </c>
      <c r="M112" s="50" t="s">
        <v>51</v>
      </c>
      <c r="N112" s="50" t="s">
        <v>51</v>
      </c>
      <c r="O112" s="50" t="s">
        <v>303</v>
      </c>
      <c r="P112" s="106">
        <v>0.85416666666666663</v>
      </c>
      <c r="Q112" s="142">
        <v>45352</v>
      </c>
      <c r="R112" s="56">
        <v>51.622905000000003</v>
      </c>
      <c r="S112" s="81">
        <f t="shared" si="19"/>
        <v>45</v>
      </c>
      <c r="T112" s="81">
        <f t="shared" si="24"/>
        <v>6.6229050000000029</v>
      </c>
      <c r="U112" s="150">
        <f t="shared" si="25"/>
        <v>0.12829392301731185</v>
      </c>
      <c r="V112" s="90">
        <v>280</v>
      </c>
      <c r="W112" s="90">
        <v>24</v>
      </c>
      <c r="X112" s="90">
        <v>0</v>
      </c>
      <c r="Y112" s="90">
        <v>0</v>
      </c>
      <c r="Z112" s="151">
        <f t="shared" si="20"/>
        <v>304</v>
      </c>
      <c r="AA112" s="90">
        <v>35</v>
      </c>
      <c r="AB112" s="90">
        <v>10</v>
      </c>
      <c r="AC112" s="90">
        <v>0</v>
      </c>
      <c r="AD112" s="90">
        <v>0</v>
      </c>
      <c r="AE112" s="151">
        <f t="shared" si="21"/>
        <v>45</v>
      </c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90"/>
      <c r="AS112" s="90"/>
    </row>
    <row r="113" spans="1:45" x14ac:dyDescent="0.25">
      <c r="A113" s="170" t="s">
        <v>0</v>
      </c>
      <c r="B113" s="128">
        <v>110</v>
      </c>
      <c r="C113" s="50" t="s">
        <v>304</v>
      </c>
      <c r="D113" s="169">
        <v>45377.384722222225</v>
      </c>
      <c r="E113" s="50" t="s">
        <v>66</v>
      </c>
      <c r="F113" s="50">
        <v>8129</v>
      </c>
      <c r="G113" s="50" t="s">
        <v>47</v>
      </c>
      <c r="H113" s="50">
        <v>140</v>
      </c>
      <c r="I113" s="161" t="s">
        <v>305</v>
      </c>
      <c r="J113" s="90" t="s">
        <v>68</v>
      </c>
      <c r="K113" s="90"/>
      <c r="L113" s="132" t="s">
        <v>51</v>
      </c>
      <c r="M113" s="50" t="s">
        <v>51</v>
      </c>
      <c r="N113" s="50" t="s">
        <v>51</v>
      </c>
      <c r="O113" s="50" t="s">
        <v>298</v>
      </c>
      <c r="P113" s="106">
        <v>0.88541666666666663</v>
      </c>
      <c r="Q113" s="142">
        <v>45352</v>
      </c>
      <c r="R113" s="56">
        <v>53.193024000000001</v>
      </c>
      <c r="S113" s="81">
        <f t="shared" si="19"/>
        <v>30</v>
      </c>
      <c r="T113" s="81">
        <f t="shared" si="24"/>
        <v>23.193024000000001</v>
      </c>
      <c r="U113" s="150">
        <f t="shared" si="25"/>
        <v>0.43601627160734463</v>
      </c>
      <c r="V113" s="90">
        <v>206</v>
      </c>
      <c r="W113" s="90">
        <v>12</v>
      </c>
      <c r="X113" s="90">
        <v>0</v>
      </c>
      <c r="Y113" s="90">
        <v>0</v>
      </c>
      <c r="Z113" s="151">
        <f t="shared" si="20"/>
        <v>218</v>
      </c>
      <c r="AA113" s="90">
        <v>27</v>
      </c>
      <c r="AB113" s="90">
        <v>3</v>
      </c>
      <c r="AC113" s="90">
        <v>0</v>
      </c>
      <c r="AD113" s="90">
        <v>0</v>
      </c>
      <c r="AE113" s="151">
        <f t="shared" si="21"/>
        <v>30</v>
      </c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90"/>
      <c r="AS113" s="90"/>
    </row>
    <row r="114" spans="1:45" x14ac:dyDescent="0.25">
      <c r="A114" s="170" t="s">
        <v>0</v>
      </c>
      <c r="B114" s="128">
        <v>111</v>
      </c>
      <c r="C114" s="50" t="s">
        <v>306</v>
      </c>
      <c r="D114" s="169">
        <v>45377.402083333334</v>
      </c>
      <c r="E114" s="50" t="s">
        <v>80</v>
      </c>
      <c r="F114" s="50">
        <v>6829</v>
      </c>
      <c r="G114" s="50" t="s">
        <v>47</v>
      </c>
      <c r="H114" s="50">
        <v>100</v>
      </c>
      <c r="I114" s="161" t="s">
        <v>307</v>
      </c>
      <c r="J114" s="90" t="s">
        <v>49</v>
      </c>
      <c r="K114" s="90"/>
      <c r="L114" s="132" t="s">
        <v>51</v>
      </c>
      <c r="M114" s="50" t="s">
        <v>51</v>
      </c>
      <c r="N114" s="50" t="s">
        <v>60</v>
      </c>
      <c r="O114" s="50" t="s">
        <v>56</v>
      </c>
      <c r="P114" s="106">
        <v>0.46875</v>
      </c>
      <c r="Q114" s="142">
        <v>45352</v>
      </c>
      <c r="R114" s="56">
        <v>15.2229375</v>
      </c>
      <c r="S114" s="81">
        <f t="shared" si="19"/>
        <v>18</v>
      </c>
      <c r="T114" s="81">
        <f t="shared" si="24"/>
        <v>-2.7770624999999995</v>
      </c>
      <c r="U114" s="150">
        <f t="shared" si="25"/>
        <v>-0.18242619074012487</v>
      </c>
      <c r="V114" s="90">
        <v>2</v>
      </c>
      <c r="W114" s="90">
        <v>8</v>
      </c>
      <c r="X114" s="90">
        <v>4</v>
      </c>
      <c r="Y114" s="90">
        <v>0</v>
      </c>
      <c r="Z114" s="151">
        <f t="shared" si="20"/>
        <v>14</v>
      </c>
      <c r="AA114" s="90">
        <v>0</v>
      </c>
      <c r="AB114" s="90">
        <v>6</v>
      </c>
      <c r="AC114" s="90">
        <v>12</v>
      </c>
      <c r="AD114" s="90">
        <v>0</v>
      </c>
      <c r="AE114" s="151">
        <f t="shared" si="21"/>
        <v>18</v>
      </c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90"/>
      <c r="AS114" s="90"/>
    </row>
    <row r="115" spans="1:45" x14ac:dyDescent="0.25">
      <c r="A115" s="171" t="s">
        <v>1</v>
      </c>
      <c r="B115" s="128">
        <v>112</v>
      </c>
      <c r="C115" s="50" t="s">
        <v>308</v>
      </c>
      <c r="D115" s="169">
        <v>45377.493055555555</v>
      </c>
      <c r="E115" s="50" t="s">
        <v>66</v>
      </c>
      <c r="F115" s="50">
        <v>8135</v>
      </c>
      <c r="G115" s="50" t="s">
        <v>47</v>
      </c>
      <c r="H115" s="50">
        <v>100</v>
      </c>
      <c r="I115" s="161" t="s">
        <v>309</v>
      </c>
      <c r="J115" s="90" t="s">
        <v>68</v>
      </c>
      <c r="K115" s="90"/>
      <c r="L115" s="132" t="s">
        <v>51</v>
      </c>
      <c r="M115" s="50" t="s">
        <v>51</v>
      </c>
      <c r="N115" s="50" t="s">
        <v>51</v>
      </c>
      <c r="O115" s="50" t="s">
        <v>303</v>
      </c>
      <c r="P115" s="106">
        <v>0.875</v>
      </c>
      <c r="Q115" s="142">
        <v>45352</v>
      </c>
      <c r="R115" s="56">
        <v>45.416915359999997</v>
      </c>
      <c r="S115" s="81">
        <f t="shared" si="19"/>
        <v>44</v>
      </c>
      <c r="T115" s="81">
        <f t="shared" si="24"/>
        <v>1.4169153599999973</v>
      </c>
      <c r="U115" s="150">
        <f t="shared" si="25"/>
        <v>3.119796553263756E-2</v>
      </c>
      <c r="V115" s="147">
        <v>226</v>
      </c>
      <c r="W115" s="147">
        <v>83</v>
      </c>
      <c r="X115" s="147">
        <v>1</v>
      </c>
      <c r="Y115" s="147">
        <v>0</v>
      </c>
      <c r="Z115" s="151">
        <f t="shared" si="20"/>
        <v>310</v>
      </c>
      <c r="AA115" s="90">
        <v>26</v>
      </c>
      <c r="AB115" s="90">
        <v>12</v>
      </c>
      <c r="AC115" s="90">
        <v>6</v>
      </c>
      <c r="AD115" s="90">
        <v>0</v>
      </c>
      <c r="AE115" s="151">
        <f t="shared" si="21"/>
        <v>44</v>
      </c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90"/>
      <c r="AS115" s="90"/>
    </row>
    <row r="116" spans="1:45" x14ac:dyDescent="0.25">
      <c r="A116" s="171" t="s">
        <v>1</v>
      </c>
      <c r="B116" s="128">
        <v>113</v>
      </c>
      <c r="C116" s="50" t="s">
        <v>310</v>
      </c>
      <c r="D116" s="169">
        <v>45377.496527777781</v>
      </c>
      <c r="E116" s="50" t="s">
        <v>54</v>
      </c>
      <c r="F116" s="50">
        <v>8146</v>
      </c>
      <c r="G116" s="50" t="s">
        <v>47</v>
      </c>
      <c r="H116" s="50">
        <v>300</v>
      </c>
      <c r="I116" s="161" t="s">
        <v>311</v>
      </c>
      <c r="J116" s="90" t="s">
        <v>49</v>
      </c>
      <c r="K116" s="90"/>
      <c r="L116" s="132" t="s">
        <v>51</v>
      </c>
      <c r="M116" s="50" t="s">
        <v>51</v>
      </c>
      <c r="N116" s="50" t="s">
        <v>51</v>
      </c>
      <c r="O116" s="50" t="s">
        <v>56</v>
      </c>
      <c r="P116" s="106">
        <v>0.47916666666666669</v>
      </c>
      <c r="Q116" s="142">
        <v>45352</v>
      </c>
      <c r="R116" s="56">
        <v>37.066013570000003</v>
      </c>
      <c r="S116" s="81">
        <f t="shared" si="19"/>
        <v>55</v>
      </c>
      <c r="T116" s="81">
        <f t="shared" si="24"/>
        <v>-17.933986429999997</v>
      </c>
      <c r="U116" s="150">
        <f t="shared" si="25"/>
        <v>-0.4838390941645575</v>
      </c>
      <c r="V116" s="147">
        <v>1</v>
      </c>
      <c r="W116" s="147">
        <v>8</v>
      </c>
      <c r="X116" s="147">
        <v>6</v>
      </c>
      <c r="Y116" s="147">
        <v>2</v>
      </c>
      <c r="Z116" s="151">
        <f t="shared" si="20"/>
        <v>17</v>
      </c>
      <c r="AA116" s="90">
        <v>1</v>
      </c>
      <c r="AB116" s="90">
        <v>3</v>
      </c>
      <c r="AC116" s="90">
        <v>35</v>
      </c>
      <c r="AD116" s="90">
        <v>16</v>
      </c>
      <c r="AE116" s="151">
        <f t="shared" si="21"/>
        <v>55</v>
      </c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90"/>
      <c r="AS116" s="90"/>
    </row>
    <row r="117" spans="1:45" x14ac:dyDescent="0.25">
      <c r="A117" s="171" t="s">
        <v>1</v>
      </c>
      <c r="B117" s="128">
        <v>114</v>
      </c>
      <c r="C117" s="50" t="s">
        <v>312</v>
      </c>
      <c r="D117" s="169">
        <v>45378.350694444445</v>
      </c>
      <c r="E117" s="50" t="s">
        <v>80</v>
      </c>
      <c r="F117" s="50">
        <v>6824</v>
      </c>
      <c r="G117" s="50" t="s">
        <v>47</v>
      </c>
      <c r="H117" s="50">
        <v>60</v>
      </c>
      <c r="I117" s="161" t="s">
        <v>313</v>
      </c>
      <c r="J117" s="90" t="s">
        <v>49</v>
      </c>
      <c r="K117" s="90"/>
      <c r="L117" s="132" t="s">
        <v>51</v>
      </c>
      <c r="M117" s="50" t="s">
        <v>51</v>
      </c>
      <c r="N117" s="50" t="s">
        <v>51</v>
      </c>
      <c r="O117" s="50" t="s">
        <v>298</v>
      </c>
      <c r="P117" s="106">
        <v>0.82291666666666663</v>
      </c>
      <c r="Q117" s="142">
        <v>45352</v>
      </c>
      <c r="R117" s="56">
        <v>58.47256093</v>
      </c>
      <c r="S117" s="81">
        <f t="shared" ref="S117:S120" si="26">+AE117</f>
        <v>50</v>
      </c>
      <c r="T117" s="81">
        <f t="shared" si="24"/>
        <v>8.4725609300000002</v>
      </c>
      <c r="U117" s="150">
        <f t="shared" si="25"/>
        <v>0.14489806492557877</v>
      </c>
      <c r="V117" s="147">
        <v>144</v>
      </c>
      <c r="W117" s="147">
        <v>15</v>
      </c>
      <c r="X117" s="147">
        <v>0</v>
      </c>
      <c r="Y117" s="147">
        <v>0</v>
      </c>
      <c r="Z117" s="151">
        <f t="shared" si="20"/>
        <v>159</v>
      </c>
      <c r="AA117" s="90">
        <v>42</v>
      </c>
      <c r="AB117" s="90">
        <v>8</v>
      </c>
      <c r="AC117" s="90">
        <v>0</v>
      </c>
      <c r="AD117" s="90">
        <v>0</v>
      </c>
      <c r="AE117" s="151">
        <f t="shared" si="21"/>
        <v>50</v>
      </c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90"/>
      <c r="AS117" s="90"/>
    </row>
    <row r="118" spans="1:45" x14ac:dyDescent="0.25">
      <c r="A118" s="171" t="s">
        <v>1</v>
      </c>
      <c r="B118" s="128">
        <v>115</v>
      </c>
      <c r="C118" s="50" t="s">
        <v>314</v>
      </c>
      <c r="D118" s="169">
        <v>45378.393750000003</v>
      </c>
      <c r="E118" s="50" t="s">
        <v>66</v>
      </c>
      <c r="F118" s="50">
        <v>8115</v>
      </c>
      <c r="G118" s="50" t="s">
        <v>47</v>
      </c>
      <c r="H118" s="50">
        <v>100</v>
      </c>
      <c r="I118" s="161" t="s">
        <v>315</v>
      </c>
      <c r="J118" s="90" t="s">
        <v>68</v>
      </c>
      <c r="K118" s="90"/>
      <c r="L118" s="132" t="s">
        <v>51</v>
      </c>
      <c r="M118" s="50" t="s">
        <v>51</v>
      </c>
      <c r="N118" s="50" t="s">
        <v>51</v>
      </c>
      <c r="O118" s="50" t="s">
        <v>298</v>
      </c>
      <c r="P118" s="106">
        <v>0.8125</v>
      </c>
      <c r="Q118" s="142">
        <v>45352</v>
      </c>
      <c r="R118" s="56">
        <v>27.667455709999999</v>
      </c>
      <c r="S118" s="81">
        <f t="shared" si="26"/>
        <v>39</v>
      </c>
      <c r="T118" s="81">
        <f t="shared" si="24"/>
        <v>-11.332544290000001</v>
      </c>
      <c r="U118" s="150">
        <f t="shared" si="25"/>
        <v>-0.4095983529813339</v>
      </c>
      <c r="V118" s="147">
        <v>65</v>
      </c>
      <c r="W118" s="147">
        <v>28</v>
      </c>
      <c r="X118" s="147">
        <v>5</v>
      </c>
      <c r="Y118" s="147">
        <v>1</v>
      </c>
      <c r="Z118" s="151">
        <f t="shared" si="20"/>
        <v>99</v>
      </c>
      <c r="AA118" s="90">
        <v>8</v>
      </c>
      <c r="AB118" s="90">
        <v>11</v>
      </c>
      <c r="AC118" s="90">
        <v>19</v>
      </c>
      <c r="AD118" s="90">
        <v>1</v>
      </c>
      <c r="AE118" s="151">
        <f t="shared" si="21"/>
        <v>39</v>
      </c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90"/>
      <c r="AS118" s="90"/>
    </row>
    <row r="119" spans="1:45" x14ac:dyDescent="0.25">
      <c r="A119" s="171" t="s">
        <v>1</v>
      </c>
      <c r="B119" s="128">
        <v>116</v>
      </c>
      <c r="C119" s="50" t="s">
        <v>316</v>
      </c>
      <c r="D119" s="169">
        <v>45378.445138888892</v>
      </c>
      <c r="E119" s="50" t="s">
        <v>73</v>
      </c>
      <c r="F119" s="50">
        <v>6840</v>
      </c>
      <c r="G119" s="50" t="s">
        <v>47</v>
      </c>
      <c r="H119" s="50">
        <v>140</v>
      </c>
      <c r="I119" s="161" t="s">
        <v>317</v>
      </c>
      <c r="J119" s="90" t="s">
        <v>49</v>
      </c>
      <c r="K119" s="90"/>
      <c r="L119" s="132" t="s">
        <v>51</v>
      </c>
      <c r="M119" s="50" t="s">
        <v>51</v>
      </c>
      <c r="N119" s="50" t="s">
        <v>51</v>
      </c>
      <c r="O119" s="50" t="s">
        <v>298</v>
      </c>
      <c r="P119" s="106">
        <v>0.82291666666666663</v>
      </c>
      <c r="Q119" s="142">
        <v>45352</v>
      </c>
      <c r="R119" s="56">
        <v>82.420986499999998</v>
      </c>
      <c r="S119" s="81">
        <f t="shared" si="26"/>
        <v>76</v>
      </c>
      <c r="T119" s="81">
        <f t="shared" si="24"/>
        <v>6.4209864999999979</v>
      </c>
      <c r="U119" s="150">
        <f t="shared" si="25"/>
        <v>7.7904751843755213E-2</v>
      </c>
      <c r="V119" s="147">
        <v>169</v>
      </c>
      <c r="W119" s="147">
        <v>18</v>
      </c>
      <c r="X119" s="147">
        <v>0</v>
      </c>
      <c r="Y119" s="147">
        <v>0</v>
      </c>
      <c r="Z119" s="151">
        <f t="shared" si="20"/>
        <v>187</v>
      </c>
      <c r="AA119" s="90">
        <v>64</v>
      </c>
      <c r="AB119" s="90">
        <v>12</v>
      </c>
      <c r="AC119" s="90">
        <v>0</v>
      </c>
      <c r="AD119" s="90">
        <v>0</v>
      </c>
      <c r="AE119" s="151">
        <f t="shared" si="21"/>
        <v>76</v>
      </c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90"/>
      <c r="AS119" s="90"/>
    </row>
    <row r="120" spans="1:45" x14ac:dyDescent="0.25">
      <c r="A120" s="171" t="s">
        <v>1</v>
      </c>
      <c r="B120" s="128">
        <v>117</v>
      </c>
      <c r="C120" s="50" t="s">
        <v>318</v>
      </c>
      <c r="D120" s="169">
        <v>45378.48541666667</v>
      </c>
      <c r="E120" s="50" t="s">
        <v>66</v>
      </c>
      <c r="F120" s="50">
        <v>8127</v>
      </c>
      <c r="G120" s="50" t="s">
        <v>47</v>
      </c>
      <c r="H120" s="50">
        <v>140</v>
      </c>
      <c r="I120" s="161" t="s">
        <v>319</v>
      </c>
      <c r="J120" s="90" t="s">
        <v>68</v>
      </c>
      <c r="K120" s="172"/>
      <c r="L120" s="50" t="s">
        <v>51</v>
      </c>
      <c r="M120" s="173" t="s">
        <v>51</v>
      </c>
      <c r="N120" s="50" t="s">
        <v>51</v>
      </c>
      <c r="O120" s="50" t="s">
        <v>298</v>
      </c>
      <c r="P120" s="106">
        <v>0.8125</v>
      </c>
      <c r="Q120" s="142">
        <v>45352</v>
      </c>
      <c r="R120" s="56">
        <v>26.7795205</v>
      </c>
      <c r="S120" s="81">
        <f t="shared" si="26"/>
        <v>8</v>
      </c>
      <c r="T120" s="92">
        <f t="shared" si="24"/>
        <v>18.7795205</v>
      </c>
      <c r="U120" s="93">
        <f t="shared" si="25"/>
        <v>0.70126425527297997</v>
      </c>
      <c r="V120" s="147">
        <v>25</v>
      </c>
      <c r="W120" s="147">
        <v>10</v>
      </c>
      <c r="X120" s="147">
        <v>0</v>
      </c>
      <c r="Y120" s="147">
        <v>0</v>
      </c>
      <c r="Z120" s="94">
        <f t="shared" si="20"/>
        <v>35</v>
      </c>
      <c r="AA120" s="90">
        <v>4</v>
      </c>
      <c r="AB120" s="90">
        <v>4</v>
      </c>
      <c r="AC120" s="90">
        <v>0</v>
      </c>
      <c r="AD120" s="90">
        <v>0</v>
      </c>
      <c r="AE120" s="94">
        <f t="shared" si="21"/>
        <v>8</v>
      </c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90"/>
      <c r="AS120" s="90"/>
    </row>
  </sheetData>
  <autoFilter ref="C3:AS88" xr:uid="{14AD160B-C818-4F49-93FE-D73AB2FB388D}"/>
  <mergeCells count="8">
    <mergeCell ref="AF2:AQ2"/>
    <mergeCell ref="AR2:AS2"/>
    <mergeCell ref="B2:B3"/>
    <mergeCell ref="C2:K2"/>
    <mergeCell ref="L2:P2"/>
    <mergeCell ref="Q2:U2"/>
    <mergeCell ref="V2:Z2"/>
    <mergeCell ref="AA2:AE2"/>
  </mergeCells>
  <conditionalFormatting sqref="B2">
    <cfRule type="duplicateValues" dxfId="6" priority="5"/>
    <cfRule type="duplicateValues" dxfId="5" priority="6"/>
  </conditionalFormatting>
  <conditionalFormatting sqref="C1:C3">
    <cfRule type="duplicateValues" dxfId="4" priority="4"/>
  </conditionalFormatting>
  <conditionalFormatting sqref="C1:C1048576">
    <cfRule type="duplicateValues" dxfId="3" priority="1"/>
  </conditionalFormatting>
  <conditionalFormatting sqref="C4:C58">
    <cfRule type="duplicateValues" dxfId="2" priority="3"/>
  </conditionalFormatting>
  <conditionalFormatting sqref="C73:C108">
    <cfRule type="duplicateValues" dxfId="1" priority="2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11C5-A8C4-46AE-850A-0FC4B97C5FE2}">
  <dimension ref="A1"/>
  <sheetViews>
    <sheetView tabSelected="1" topLeftCell="A36" workbookViewId="0">
      <selection activeCell="K52" sqref="K5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4201C-25BE-4F28-9D0C-D0C2FA8821FD}">
  <dimension ref="B2:D10"/>
  <sheetViews>
    <sheetView showGridLines="0" workbookViewId="0">
      <selection activeCell="E7" sqref="E7"/>
    </sheetView>
  </sheetViews>
  <sheetFormatPr baseColWidth="10" defaultColWidth="9.140625" defaultRowHeight="15" x14ac:dyDescent="0.25"/>
  <cols>
    <col min="1" max="1" width="3.42578125" customWidth="1"/>
    <col min="2" max="2" width="17.5703125" style="4" customWidth="1"/>
    <col min="3" max="3" width="12.85546875" style="4" customWidth="1"/>
  </cols>
  <sheetData>
    <row r="2" spans="2:4" x14ac:dyDescent="0.25">
      <c r="B2" s="125" t="s">
        <v>11</v>
      </c>
      <c r="C2" s="126" t="s">
        <v>314</v>
      </c>
    </row>
    <row r="3" spans="2:4" x14ac:dyDescent="0.25">
      <c r="B3" s="118" t="s">
        <v>320</v>
      </c>
      <c r="C3" s="119">
        <f>VLOOKUP(C2,'Ord. Fecha'!C:Z,17,FALSE)</f>
        <v>39</v>
      </c>
    </row>
    <row r="4" spans="2:4" x14ac:dyDescent="0.25">
      <c r="B4" s="118" t="s">
        <v>321</v>
      </c>
      <c r="C4" s="119">
        <f>VLOOKUP(C2,'Ord. Fecha'!C:Z,16,FALSE)</f>
        <v>27.667455709999999</v>
      </c>
    </row>
    <row r="5" spans="2:4" x14ac:dyDescent="0.25">
      <c r="B5" s="118" t="s">
        <v>322</v>
      </c>
      <c r="C5" s="119">
        <f>VLOOKUP(C2,'Ord. Fecha'!C:Z,18,FALSE)</f>
        <v>-11.332544290000001</v>
      </c>
    </row>
    <row r="6" spans="2:4" x14ac:dyDescent="0.25">
      <c r="B6" s="118" t="s">
        <v>323</v>
      </c>
      <c r="C6" s="120">
        <f>VLOOKUP(C2,'Ord. Fecha'!C:Z,19,FALSE)</f>
        <v>-0.4095983529813339</v>
      </c>
    </row>
    <row r="7" spans="2:4" x14ac:dyDescent="0.25">
      <c r="B7" s="118" t="s">
        <v>324</v>
      </c>
      <c r="C7" s="121">
        <f>VLOOKUP(C2,'Ord. Fecha'!C:Z,24,FALSE)</f>
        <v>99</v>
      </c>
    </row>
    <row r="8" spans="2:4" x14ac:dyDescent="0.25">
      <c r="B8" s="118" t="s">
        <v>325</v>
      </c>
      <c r="C8" s="121">
        <f>VLOOKUP(C2,'Ord. Fecha'!C:Z,23,FALSE)</f>
        <v>1</v>
      </c>
      <c r="D8" s="124" t="s">
        <v>326</v>
      </c>
    </row>
    <row r="9" spans="2:4" x14ac:dyDescent="0.25">
      <c r="B9" s="118" t="s">
        <v>52</v>
      </c>
      <c r="C9" s="121">
        <f>VLOOKUP(C2,'Ord. Fecha'!C:Z,20,FALSE)+VLOOKUP(C2,'Ord. Fecha'!C:Z,21,FALSE)</f>
        <v>93</v>
      </c>
      <c r="D9" s="124" t="s">
        <v>327</v>
      </c>
    </row>
    <row r="10" spans="2:4" x14ac:dyDescent="0.25">
      <c r="B10" s="122" t="s">
        <v>328</v>
      </c>
      <c r="C10" s="123">
        <f>VLOOKUP(C2,'Ord. Fecha'!C:Z,14,FALSE)</f>
        <v>0.8125</v>
      </c>
    </row>
  </sheetData>
  <conditionalFormatting sqref="C2">
    <cfRule type="duplicateValues" dxfId="0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27A3-CDB3-44F2-9A9D-01EB708820CB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DA07A05F46024DBD6ACE9246AE17EB" ma:contentTypeVersion="18" ma:contentTypeDescription="Create a new document." ma:contentTypeScope="" ma:versionID="7d389e1dc43977af05cf769669adbd04">
  <xsd:schema xmlns:xsd="http://www.w3.org/2001/XMLSchema" xmlns:xs="http://www.w3.org/2001/XMLSchema" xmlns:p="http://schemas.microsoft.com/office/2006/metadata/properties" xmlns:ns3="a5a43ca3-cb99-40c2-b67f-57c005bf7e57" xmlns:ns4="9f9f63e2-1e61-45ce-936a-d9bfa596ebae" targetNamespace="http://schemas.microsoft.com/office/2006/metadata/properties" ma:root="true" ma:fieldsID="53e8d6d0b6a21e72e6b370845e9c8563" ns3:_="" ns4:_="">
    <xsd:import namespace="a5a43ca3-cb99-40c2-b67f-57c005bf7e57"/>
    <xsd:import namespace="9f9f63e2-1e61-45ce-936a-d9bfa596eb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a43ca3-cb99-40c2-b67f-57c005bf7e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f63e2-1e61-45ce-936a-d9bfa596eba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a43ca3-cb99-40c2-b67f-57c005bf7e57" xsi:nil="true"/>
  </documentManagement>
</p:properties>
</file>

<file path=customXml/itemProps1.xml><?xml version="1.0" encoding="utf-8"?>
<ds:datastoreItem xmlns:ds="http://schemas.openxmlformats.org/officeDocument/2006/customXml" ds:itemID="{EDB43897-570A-47EA-9E26-F902C6BA0B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46C923-0D03-4E6C-B3FE-B6D9C7910C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a43ca3-cb99-40c2-b67f-57c005bf7e57"/>
    <ds:schemaRef ds:uri="9f9f63e2-1e61-45ce-936a-d9bfa596eb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BB2BFD-DF6B-43BB-BDEE-75A60BC40B05}">
  <ds:schemaRefs>
    <ds:schemaRef ds:uri="http://schemas.microsoft.com/office/2006/metadata/properties"/>
    <ds:schemaRef ds:uri="http://schemas.microsoft.com/office/infopath/2007/PartnerControls"/>
    <ds:schemaRef ds:uri="a5a43ca3-cb99-40c2-b67f-57c005bf7e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Instalados acumulados</vt:lpstr>
      <vt:lpstr>Entregable Carpeta</vt:lpstr>
      <vt:lpstr>Ord. Fecha</vt:lpstr>
      <vt:lpstr>TIPO_CLIENTE</vt:lpstr>
      <vt:lpstr>Balance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Giol Mendieta, Jose Antonio, ED PERU</dc:creator>
  <cp:keywords/>
  <dc:description/>
  <cp:lastModifiedBy>Frank Solis TECHING</cp:lastModifiedBy>
  <cp:revision/>
  <dcterms:created xsi:type="dcterms:W3CDTF">2024-03-11T19:36:07Z</dcterms:created>
  <dcterms:modified xsi:type="dcterms:W3CDTF">2024-04-09T16:49:50Z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2024-03-11T19:40:54Z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56514ed0-8d75-44a6-b7eb-33950db8706a</vt:lpwstr>
  </property>
  <property fmtid="{D5CDD505-2E9C-101B-9397-08002B2CF9AE}" pid="8" name="MSIP_Label_797ad33d-ed35-43c0-b526-22bc83c17deb_ContentBits">
    <vt:lpwstr>1</vt:lpwstr>
  </property>
  <property fmtid="{D5CDD505-2E9C-101B-9397-08002B2CF9AE}" pid="9" name="ContentTypeId">
    <vt:lpwstr>0x01010099DA07A05F46024DBD6ACE9246AE17EB</vt:lpwstr>
  </property>
</Properties>
</file>