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1.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codeName="ThisWorkbook" defaultThemeVersion="166925"/>
  <mc:AlternateContent xmlns:mc="http://schemas.openxmlformats.org/markup-compatibility/2006">
    <mc:Choice Requires="x15">
      <x15ac:absPath xmlns:x15ac="http://schemas.microsoft.com/office/spreadsheetml/2010/11/ac" url="Z:\CIS-RAM\RAM 2.0\"/>
    </mc:Choice>
  </mc:AlternateContent>
  <xr:revisionPtr revIDLastSave="0" documentId="8_{FC25CAC2-4398-431A-AB80-934712C8FA59}" xr6:coauthVersionLast="36" xr6:coauthVersionMax="36" xr10:uidLastSave="{00000000-0000-0000-0000-000000000000}"/>
  <bookViews>
    <workbookView xWindow="0" yWindow="0" windowWidth="28800" windowHeight="11325" tabRatio="945" xr2:uid="{5FB309F1-118B-4514-8FE1-25A01A609E8C}"/>
  </bookViews>
  <sheets>
    <sheet name="Cover" sheetId="17" r:id="rId1"/>
    <sheet name="Read_Me" sheetId="39" r:id="rId2"/>
    <sheet name="CIS Controls Resources" sheetId="40" r:id="rId3"/>
    <sheet name="1. Impact Criteria Survey " sheetId="14" r:id="rId4"/>
    <sheet name="2. Enterprise Parameters" sheetId="13" r:id="rId5"/>
    <sheet name="3 Risk Register Controls v8" sheetId="26" r:id="rId6"/>
    <sheet name="Legend" sheetId="18" r:id="rId7"/>
    <sheet name="Lookup Tables" sheetId="6" r:id="rId8"/>
    <sheet name="CIS CSAT Pro" sheetId="33" r:id="rId9"/>
    <sheet name="CIS-Hosted CSAT" sheetId="34" r:id="rId10"/>
    <sheet name="Impact Criteria Survey-EXAMPLE" sheetId="16" r:id="rId11"/>
    <sheet name="Enterprise Parameters-EXAMPLE" sheetId="28" r:id="rId12"/>
    <sheet name="Risk Register Controls v8-EX" sheetId="38" r:id="rId13"/>
    <sheet name="CIS CSAT Pro - EXAMPLE" sheetId="36" r:id="rId14"/>
    <sheet name="CIS-Hosted CSAT - EXAMPLE" sheetId="35" r:id="rId15"/>
  </sheets>
  <definedNames>
    <definedName name="_ftn1" localSheetId="8">'CIS CSAT Pro'!$G$20</definedName>
    <definedName name="_ftnref1" localSheetId="8">'CIS CSAT Pro'!$G$9</definedName>
    <definedName name="_Hlk82606169" localSheetId="8">'CIS CSAT Pro'!$G$16</definedName>
    <definedName name="AcceptableRisk">'2. Enterprise Parameters'!$E$35</definedName>
    <definedName name="AcceptableRisk1">'Enterprise Parameters-EXAMPLE'!$E$35</definedName>
    <definedName name="Asset_Classes" localSheetId="1">Table10[[#Data],[Asset Classes]]</definedName>
    <definedName name="Asset_Classes" localSheetId="12">Table10[[#Data],[Asset Classes]]</definedName>
    <definedName name="Asset_Classes">Table10[[#Data],[Asset Classes]]</definedName>
    <definedName name="Industry" localSheetId="5">tblVCDBIndex[Asset Class]</definedName>
    <definedName name="Industry" localSheetId="11">tblVCDBIndex[Asset Class]</definedName>
    <definedName name="Industry" localSheetId="10">tblVCDBIndex[Asset Class]</definedName>
    <definedName name="Industry" localSheetId="1">tblVCDBIndex[Asset Class]</definedName>
    <definedName name="Industry" localSheetId="12">tblVCDBIndex[Asset Class]</definedName>
    <definedName name="Industry">tblVCDBIndex[Asset Class]</definedName>
    <definedName name="Maturity_Score" localSheetId="5">tblMaturityScores[Maturity Scores]</definedName>
    <definedName name="Maturity_Score" localSheetId="11">tblMaturityScores[Maturity Scores]</definedName>
    <definedName name="Maturity_Score" localSheetId="10">tblMaturityScores[Maturity Scores]</definedName>
    <definedName name="Maturity_Score" localSheetId="1">tblMaturityScores[Maturity Scores]</definedName>
    <definedName name="Maturity_Score" localSheetId="12">tblMaturityScores[Maturity Scores]</definedName>
    <definedName name="Maturity_Score">tblMaturityScores[Maturity Scores]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6" l="1"/>
  <c r="D3" i="26"/>
  <c r="D2" i="26"/>
  <c r="O13" i="38" l="1"/>
  <c r="O14" i="38"/>
  <c r="O15" i="38"/>
  <c r="O16" i="38"/>
  <c r="O17" i="38"/>
  <c r="O19" i="38" l="1"/>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120" i="38"/>
  <c r="O121" i="38"/>
  <c r="O122" i="38"/>
  <c r="O123" i="38"/>
  <c r="O124" i="38"/>
  <c r="O125" i="38"/>
  <c r="O126" i="38"/>
  <c r="O127" i="38"/>
  <c r="O128" i="38"/>
  <c r="O129" i="38"/>
  <c r="O130" i="38"/>
  <c r="O131" i="38"/>
  <c r="O132" i="38"/>
  <c r="O133" i="38"/>
  <c r="O134" i="38"/>
  <c r="O135" i="38"/>
  <c r="O136" i="38"/>
  <c r="O137" i="38"/>
  <c r="O138" i="38"/>
  <c r="O139" i="38"/>
  <c r="O140" i="38"/>
  <c r="O141" i="38"/>
  <c r="O142" i="38"/>
  <c r="O143" i="38"/>
  <c r="O144" i="38"/>
  <c r="O145" i="38"/>
  <c r="O146" i="38"/>
  <c r="O147" i="38"/>
  <c r="O148" i="38"/>
  <c r="O149" i="38"/>
  <c r="O150" i="38"/>
  <c r="O151" i="38"/>
  <c r="O152" i="38"/>
  <c r="O153" i="38"/>
  <c r="O154" i="38"/>
  <c r="O155" i="38"/>
  <c r="O156" i="38"/>
  <c r="O157" i="38"/>
  <c r="O158" i="38"/>
  <c r="O159" i="38"/>
  <c r="O160" i="38"/>
  <c r="O161" i="38"/>
  <c r="O162" i="38"/>
  <c r="O163" i="38"/>
  <c r="O164" i="38"/>
  <c r="O165" i="38"/>
  <c r="O18" i="38"/>
  <c r="O14" i="26"/>
  <c r="O15" i="26"/>
  <c r="O16" i="26"/>
  <c r="O17" i="26"/>
  <c r="O18" i="26"/>
  <c r="O19" i="26"/>
  <c r="O20" i="26"/>
  <c r="O21" i="26"/>
  <c r="O22" i="26"/>
  <c r="O23" i="26"/>
  <c r="O24" i="26"/>
  <c r="O25" i="26"/>
  <c r="O26" i="26"/>
  <c r="O27" i="26"/>
  <c r="O28" i="26"/>
  <c r="O29" i="26"/>
  <c r="O30" i="26"/>
  <c r="O31" i="26"/>
  <c r="O32" i="26"/>
  <c r="O33" i="26"/>
  <c r="O34" i="26"/>
  <c r="O35" i="26"/>
  <c r="O36" i="26"/>
  <c r="O37" i="26"/>
  <c r="O38" i="26"/>
  <c r="O39" i="26"/>
  <c r="O40" i="26"/>
  <c r="O41" i="26"/>
  <c r="O42" i="26"/>
  <c r="O43" i="26"/>
  <c r="O44" i="26"/>
  <c r="O45" i="26"/>
  <c r="O46" i="26"/>
  <c r="O47" i="26"/>
  <c r="O48" i="26"/>
  <c r="O49" i="26"/>
  <c r="O50" i="26"/>
  <c r="O51" i="26"/>
  <c r="O52" i="26"/>
  <c r="O53" i="26"/>
  <c r="O54" i="26"/>
  <c r="O55" i="26"/>
  <c r="O56" i="26"/>
  <c r="O57" i="26"/>
  <c r="O58" i="26"/>
  <c r="O59" i="26"/>
  <c r="O60" i="26"/>
  <c r="O61" i="26"/>
  <c r="O62" i="26"/>
  <c r="O63" i="26"/>
  <c r="O64" i="26"/>
  <c r="O65" i="26"/>
  <c r="O66" i="26"/>
  <c r="O67" i="26"/>
  <c r="O68" i="26"/>
  <c r="O69" i="26"/>
  <c r="O70" i="26"/>
  <c r="O71" i="26"/>
  <c r="O72" i="26"/>
  <c r="O73" i="26"/>
  <c r="O74" i="26"/>
  <c r="O75" i="26"/>
  <c r="O76" i="26"/>
  <c r="O77" i="26"/>
  <c r="O78" i="26"/>
  <c r="O79" i="26"/>
  <c r="O80" i="26"/>
  <c r="O81" i="26"/>
  <c r="O82" i="26"/>
  <c r="O83" i="26"/>
  <c r="O84" i="26"/>
  <c r="O85" i="26"/>
  <c r="O86" i="26"/>
  <c r="O87" i="26"/>
  <c r="O88" i="26"/>
  <c r="O89" i="26"/>
  <c r="O90" i="26"/>
  <c r="O91" i="26"/>
  <c r="O92" i="26"/>
  <c r="O93" i="26"/>
  <c r="O94" i="26"/>
  <c r="O95" i="26"/>
  <c r="O96" i="26"/>
  <c r="O97" i="26"/>
  <c r="O98" i="26"/>
  <c r="O99" i="26"/>
  <c r="O100" i="26"/>
  <c r="O101" i="26"/>
  <c r="O102" i="26"/>
  <c r="O103" i="26"/>
  <c r="O104" i="26"/>
  <c r="O105" i="26"/>
  <c r="O106" i="26"/>
  <c r="O107" i="26"/>
  <c r="O108" i="26"/>
  <c r="O109" i="26"/>
  <c r="O110" i="26"/>
  <c r="O111" i="26"/>
  <c r="O112" i="26"/>
  <c r="O113" i="26"/>
  <c r="O114" i="26"/>
  <c r="O115" i="26"/>
  <c r="O116" i="26"/>
  <c r="O117" i="26"/>
  <c r="O118" i="26"/>
  <c r="O119" i="26"/>
  <c r="O120" i="26"/>
  <c r="O121" i="26"/>
  <c r="O122" i="26"/>
  <c r="O123" i="26"/>
  <c r="O124" i="26"/>
  <c r="O125" i="26"/>
  <c r="O126" i="26"/>
  <c r="O127" i="26"/>
  <c r="O128" i="26"/>
  <c r="O129" i="26"/>
  <c r="O130" i="26"/>
  <c r="O131" i="26"/>
  <c r="O132" i="26"/>
  <c r="O133" i="26"/>
  <c r="O134" i="26"/>
  <c r="O135" i="26"/>
  <c r="O136" i="26"/>
  <c r="O137" i="26"/>
  <c r="O138" i="26"/>
  <c r="O139" i="26"/>
  <c r="O140" i="26"/>
  <c r="O141" i="26"/>
  <c r="O142" i="26"/>
  <c r="O143" i="26"/>
  <c r="O144" i="26"/>
  <c r="O145" i="26"/>
  <c r="O146" i="26"/>
  <c r="O147" i="26"/>
  <c r="O148" i="26"/>
  <c r="O149" i="26"/>
  <c r="O150" i="26"/>
  <c r="O151" i="26"/>
  <c r="O152" i="26"/>
  <c r="O153" i="26"/>
  <c r="O154" i="26"/>
  <c r="O155" i="26"/>
  <c r="O156" i="26"/>
  <c r="O157" i="26"/>
  <c r="O158" i="26"/>
  <c r="O159" i="26"/>
  <c r="O160" i="26"/>
  <c r="O161" i="26"/>
  <c r="O162" i="26"/>
  <c r="O163" i="26"/>
  <c r="O164" i="26"/>
  <c r="O165" i="26"/>
  <c r="O13" i="26"/>
  <c r="D6" i="36" l="1"/>
  <c r="E6" i="36" s="1"/>
  <c r="D7" i="36"/>
  <c r="E7" i="36" s="1"/>
  <c r="D8" i="36"/>
  <c r="E8" i="36" s="1"/>
  <c r="D9" i="36"/>
  <c r="E9" i="36" s="1"/>
  <c r="D10" i="36"/>
  <c r="E10" i="36" s="1"/>
  <c r="D11" i="36"/>
  <c r="E11" i="36" s="1"/>
  <c r="D12" i="36"/>
  <c r="E12" i="36" s="1"/>
  <c r="D13" i="36"/>
  <c r="E13" i="36" s="1"/>
  <c r="D14" i="36"/>
  <c r="E14" i="36" s="1"/>
  <c r="D15" i="36"/>
  <c r="E15" i="36" s="1"/>
  <c r="D16" i="36"/>
  <c r="E16" i="36" s="1"/>
  <c r="D17" i="36"/>
  <c r="E17" i="36" s="1"/>
  <c r="D18" i="36"/>
  <c r="E18" i="36" s="1"/>
  <c r="D19" i="36"/>
  <c r="E19" i="36" s="1"/>
  <c r="D20" i="36"/>
  <c r="E20" i="36" s="1"/>
  <c r="D21" i="36"/>
  <c r="E21" i="36" s="1"/>
  <c r="D22" i="36"/>
  <c r="E22" i="36" s="1"/>
  <c r="D23" i="36"/>
  <c r="E23" i="36" s="1"/>
  <c r="D24" i="36"/>
  <c r="E24" i="36" s="1"/>
  <c r="D25" i="36"/>
  <c r="E25" i="36" s="1"/>
  <c r="D26" i="36"/>
  <c r="E26" i="36" s="1"/>
  <c r="D27" i="36"/>
  <c r="E27" i="36" s="1"/>
  <c r="D28" i="36"/>
  <c r="E28" i="36" s="1"/>
  <c r="D29" i="36"/>
  <c r="E29" i="36" s="1"/>
  <c r="D30" i="36"/>
  <c r="E30" i="36" s="1"/>
  <c r="D31" i="36"/>
  <c r="E31" i="36" s="1"/>
  <c r="D32" i="36"/>
  <c r="E32" i="36" s="1"/>
  <c r="D33" i="36"/>
  <c r="E33" i="36" s="1"/>
  <c r="D34" i="36"/>
  <c r="E34" i="36" s="1"/>
  <c r="D35" i="36"/>
  <c r="E35" i="36" s="1"/>
  <c r="D36" i="36"/>
  <c r="E36" i="36" s="1"/>
  <c r="D37" i="36"/>
  <c r="E37" i="36" s="1"/>
  <c r="D38" i="36"/>
  <c r="E38" i="36" s="1"/>
  <c r="D39" i="36"/>
  <c r="E39" i="36" s="1"/>
  <c r="D40" i="36"/>
  <c r="E40" i="36" s="1"/>
  <c r="D41" i="36"/>
  <c r="E41" i="36" s="1"/>
  <c r="D42" i="36"/>
  <c r="E42" i="36" s="1"/>
  <c r="D43" i="36"/>
  <c r="E43" i="36" s="1"/>
  <c r="D44" i="36"/>
  <c r="E44" i="36" s="1"/>
  <c r="D45" i="36"/>
  <c r="E45" i="36" s="1"/>
  <c r="D46" i="36"/>
  <c r="E46" i="36" s="1"/>
  <c r="D47" i="36"/>
  <c r="E47" i="36" s="1"/>
  <c r="D48" i="36"/>
  <c r="E48" i="36" s="1"/>
  <c r="D49" i="36"/>
  <c r="E49" i="36" s="1"/>
  <c r="D50" i="36"/>
  <c r="E50" i="36" s="1"/>
  <c r="D51" i="36"/>
  <c r="E51" i="36" s="1"/>
  <c r="D52" i="36"/>
  <c r="E52" i="36" s="1"/>
  <c r="D53" i="36"/>
  <c r="E53" i="36" s="1"/>
  <c r="D54" i="36"/>
  <c r="E54" i="36" s="1"/>
  <c r="D55" i="36"/>
  <c r="E55" i="36" s="1"/>
  <c r="D56" i="36"/>
  <c r="E56" i="36" s="1"/>
  <c r="D57" i="36"/>
  <c r="E57" i="36" s="1"/>
  <c r="D58" i="36"/>
  <c r="E58" i="36" s="1"/>
  <c r="D59" i="36"/>
  <c r="E59" i="36" s="1"/>
  <c r="D60" i="36"/>
  <c r="E60" i="36" s="1"/>
  <c r="D61" i="36"/>
  <c r="E61" i="36" s="1"/>
  <c r="D62" i="36"/>
  <c r="E62" i="36" s="1"/>
  <c r="D63" i="36"/>
  <c r="E63" i="36" s="1"/>
  <c r="D64" i="36"/>
  <c r="E64" i="36" s="1"/>
  <c r="D65" i="36"/>
  <c r="E65" i="36" s="1"/>
  <c r="D66" i="36"/>
  <c r="E66" i="36" s="1"/>
  <c r="D67" i="36"/>
  <c r="E67" i="36" s="1"/>
  <c r="D68" i="36"/>
  <c r="E68" i="36" s="1"/>
  <c r="D69" i="36"/>
  <c r="E69" i="36" s="1"/>
  <c r="D70" i="36"/>
  <c r="E70" i="36" s="1"/>
  <c r="D71" i="36"/>
  <c r="E71" i="36" s="1"/>
  <c r="D72" i="36"/>
  <c r="E72" i="36" s="1"/>
  <c r="D73" i="36"/>
  <c r="E73" i="36" s="1"/>
  <c r="D74" i="36"/>
  <c r="E74" i="36" s="1"/>
  <c r="D75" i="36"/>
  <c r="E75" i="36" s="1"/>
  <c r="D76" i="36"/>
  <c r="E76" i="36" s="1"/>
  <c r="D77" i="36"/>
  <c r="E77" i="36" s="1"/>
  <c r="D78" i="36"/>
  <c r="E78" i="36" s="1"/>
  <c r="D79" i="36"/>
  <c r="E79" i="36" s="1"/>
  <c r="D80" i="36"/>
  <c r="E80" i="36" s="1"/>
  <c r="D81" i="36"/>
  <c r="E81" i="36" s="1"/>
  <c r="D82" i="36"/>
  <c r="E82" i="36" s="1"/>
  <c r="D83" i="36"/>
  <c r="E83" i="36" s="1"/>
  <c r="D84" i="36"/>
  <c r="E84" i="36" s="1"/>
  <c r="D85" i="36"/>
  <c r="E85" i="36" s="1"/>
  <c r="D86" i="36"/>
  <c r="E86" i="36" s="1"/>
  <c r="D87" i="36"/>
  <c r="E87" i="36" s="1"/>
  <c r="D88" i="36"/>
  <c r="E88" i="36" s="1"/>
  <c r="D89" i="36"/>
  <c r="E89" i="36" s="1"/>
  <c r="D90" i="36"/>
  <c r="E90" i="36" s="1"/>
  <c r="D91" i="36"/>
  <c r="E91" i="36" s="1"/>
  <c r="D92" i="36"/>
  <c r="E92" i="36" s="1"/>
  <c r="D93" i="36"/>
  <c r="E93" i="36" s="1"/>
  <c r="D94" i="36"/>
  <c r="E94" i="36" s="1"/>
  <c r="D95" i="36"/>
  <c r="E95" i="36" s="1"/>
  <c r="D96" i="36"/>
  <c r="E96" i="36" s="1"/>
  <c r="D97" i="36"/>
  <c r="E97" i="36" s="1"/>
  <c r="D98" i="36"/>
  <c r="E98" i="36" s="1"/>
  <c r="D99" i="36"/>
  <c r="E99" i="36" s="1"/>
  <c r="D100" i="36"/>
  <c r="E100" i="36" s="1"/>
  <c r="D101" i="36"/>
  <c r="E101" i="36" s="1"/>
  <c r="D102" i="36"/>
  <c r="E102" i="36" s="1"/>
  <c r="D103" i="36"/>
  <c r="E103" i="36" s="1"/>
  <c r="D104" i="36"/>
  <c r="E104" i="36" s="1"/>
  <c r="D105" i="36"/>
  <c r="E105" i="36" s="1"/>
  <c r="D106" i="36"/>
  <c r="E106" i="36" s="1"/>
  <c r="D107" i="36"/>
  <c r="E107" i="36" s="1"/>
  <c r="D108" i="36"/>
  <c r="E108" i="36" s="1"/>
  <c r="D109" i="36"/>
  <c r="E109" i="36" s="1"/>
  <c r="D110" i="36"/>
  <c r="E110" i="36" s="1"/>
  <c r="D111" i="36"/>
  <c r="E111" i="36" s="1"/>
  <c r="D112" i="36"/>
  <c r="E112" i="36" s="1"/>
  <c r="D113" i="36"/>
  <c r="E113" i="36" s="1"/>
  <c r="D114" i="36"/>
  <c r="E114" i="36" s="1"/>
  <c r="D115" i="36"/>
  <c r="E115" i="36" s="1"/>
  <c r="D116" i="36"/>
  <c r="E116" i="36" s="1"/>
  <c r="D117" i="36"/>
  <c r="E117" i="36" s="1"/>
  <c r="D118" i="36"/>
  <c r="E118" i="36" s="1"/>
  <c r="D119" i="36"/>
  <c r="E119" i="36" s="1"/>
  <c r="D120" i="36"/>
  <c r="E120" i="36" s="1"/>
  <c r="D121" i="36"/>
  <c r="E121" i="36" s="1"/>
  <c r="D122" i="36"/>
  <c r="E122" i="36" s="1"/>
  <c r="D123" i="36"/>
  <c r="E123" i="36" s="1"/>
  <c r="D124" i="36"/>
  <c r="E124" i="36" s="1"/>
  <c r="D125" i="36"/>
  <c r="E125" i="36" s="1"/>
  <c r="D126" i="36"/>
  <c r="E126" i="36" s="1"/>
  <c r="D127" i="36"/>
  <c r="E127" i="36" s="1"/>
  <c r="D128" i="36"/>
  <c r="E128" i="36" s="1"/>
  <c r="D129" i="36"/>
  <c r="E129" i="36" s="1"/>
  <c r="D130" i="36"/>
  <c r="E130" i="36" s="1"/>
  <c r="D131" i="36"/>
  <c r="E131" i="36" s="1"/>
  <c r="D132" i="36"/>
  <c r="E132" i="36" s="1"/>
  <c r="D133" i="36"/>
  <c r="E133" i="36" s="1"/>
  <c r="D134" i="36"/>
  <c r="E134" i="36" s="1"/>
  <c r="D135" i="36"/>
  <c r="E135" i="36" s="1"/>
  <c r="D136" i="36"/>
  <c r="E136" i="36" s="1"/>
  <c r="D137" i="36"/>
  <c r="E137" i="36" s="1"/>
  <c r="D138" i="36"/>
  <c r="E138" i="36" s="1"/>
  <c r="D139" i="36"/>
  <c r="E139" i="36" s="1"/>
  <c r="D140" i="36"/>
  <c r="E140" i="36" s="1"/>
  <c r="D141" i="36"/>
  <c r="E141" i="36" s="1"/>
  <c r="D142" i="36"/>
  <c r="E142" i="36" s="1"/>
  <c r="D143" i="36"/>
  <c r="E143" i="36" s="1"/>
  <c r="D144" i="36"/>
  <c r="E144" i="36" s="1"/>
  <c r="D145" i="36"/>
  <c r="E145" i="36" s="1"/>
  <c r="D146" i="36"/>
  <c r="E146" i="36" s="1"/>
  <c r="D147" i="36"/>
  <c r="E147" i="36" s="1"/>
  <c r="D148" i="36"/>
  <c r="E148" i="36" s="1"/>
  <c r="D149" i="36"/>
  <c r="E149" i="36" s="1"/>
  <c r="D150" i="36"/>
  <c r="E150" i="36" s="1"/>
  <c r="D151" i="36"/>
  <c r="E151" i="36" s="1"/>
  <c r="D152" i="36"/>
  <c r="E152" i="36" s="1"/>
  <c r="D153" i="36"/>
  <c r="E153" i="36" s="1"/>
  <c r="D154" i="36"/>
  <c r="E154" i="36" s="1"/>
  <c r="D155" i="36"/>
  <c r="E155" i="36" s="1"/>
  <c r="D156" i="36"/>
  <c r="E156" i="36" s="1"/>
  <c r="D157" i="36"/>
  <c r="E157" i="36" s="1"/>
  <c r="D5" i="36"/>
  <c r="E5" i="36" s="1"/>
  <c r="J166" i="35"/>
  <c r="I166" i="35"/>
  <c r="H166" i="35"/>
  <c r="G166" i="35"/>
  <c r="K166" i="35" s="1"/>
  <c r="L166" i="35" s="1"/>
  <c r="J165" i="35"/>
  <c r="I165" i="35"/>
  <c r="H165" i="35"/>
  <c r="G165" i="35"/>
  <c r="K165" i="35" s="1"/>
  <c r="L165" i="35" s="1"/>
  <c r="J164" i="35"/>
  <c r="I164" i="35"/>
  <c r="H164" i="35"/>
  <c r="G164" i="35"/>
  <c r="K164" i="35" s="1"/>
  <c r="L164" i="35" s="1"/>
  <c r="J163" i="35"/>
  <c r="I163" i="35"/>
  <c r="H163" i="35"/>
  <c r="G163" i="35"/>
  <c r="K163" i="35" s="1"/>
  <c r="L163" i="35" s="1"/>
  <c r="J162" i="35"/>
  <c r="I162" i="35"/>
  <c r="H162" i="35"/>
  <c r="G162" i="35"/>
  <c r="K162" i="35" s="1"/>
  <c r="L162" i="35" s="1"/>
  <c r="J161" i="35"/>
  <c r="I161" i="35"/>
  <c r="H161" i="35"/>
  <c r="G161" i="35"/>
  <c r="K161" i="35" s="1"/>
  <c r="L161" i="35" s="1"/>
  <c r="J160" i="35"/>
  <c r="I160" i="35"/>
  <c r="H160" i="35"/>
  <c r="G160" i="35"/>
  <c r="K160" i="35" s="1"/>
  <c r="L160" i="35" s="1"/>
  <c r="J159" i="35"/>
  <c r="I159" i="35"/>
  <c r="H159" i="35"/>
  <c r="G159" i="35"/>
  <c r="K159" i="35" s="1"/>
  <c r="L159" i="35" s="1"/>
  <c r="J158" i="35"/>
  <c r="I158" i="35"/>
  <c r="H158" i="35"/>
  <c r="G158" i="35"/>
  <c r="K158" i="35" s="1"/>
  <c r="L158" i="35" s="1"/>
  <c r="J157" i="35"/>
  <c r="I157" i="35"/>
  <c r="H157" i="35"/>
  <c r="G157" i="35"/>
  <c r="K157" i="35" s="1"/>
  <c r="L157" i="35" s="1"/>
  <c r="J156" i="35"/>
  <c r="I156" i="35"/>
  <c r="H156" i="35"/>
  <c r="G156" i="35"/>
  <c r="K156" i="35" s="1"/>
  <c r="L156" i="35" s="1"/>
  <c r="J155" i="35"/>
  <c r="I155" i="35"/>
  <c r="H155" i="35"/>
  <c r="G155" i="35"/>
  <c r="K155" i="35" s="1"/>
  <c r="L155" i="35" s="1"/>
  <c r="J154" i="35"/>
  <c r="I154" i="35"/>
  <c r="H154" i="35"/>
  <c r="G154" i="35"/>
  <c r="K154" i="35" s="1"/>
  <c r="L154" i="35" s="1"/>
  <c r="J153" i="35"/>
  <c r="I153" i="35"/>
  <c r="H153" i="35"/>
  <c r="G153" i="35"/>
  <c r="K153" i="35" s="1"/>
  <c r="L153" i="35" s="1"/>
  <c r="J152" i="35"/>
  <c r="I152" i="35"/>
  <c r="H152" i="35"/>
  <c r="G152" i="35"/>
  <c r="K152" i="35" s="1"/>
  <c r="L152" i="35" s="1"/>
  <c r="J151" i="35"/>
  <c r="I151" i="35"/>
  <c r="H151" i="35"/>
  <c r="G151" i="35"/>
  <c r="K151" i="35" s="1"/>
  <c r="L151" i="35" s="1"/>
  <c r="J150" i="35"/>
  <c r="I150" i="35"/>
  <c r="H150" i="35"/>
  <c r="G150" i="35"/>
  <c r="K150" i="35" s="1"/>
  <c r="L150" i="35" s="1"/>
  <c r="J149" i="35"/>
  <c r="I149" i="35"/>
  <c r="H149" i="35"/>
  <c r="G149" i="35"/>
  <c r="K149" i="35" s="1"/>
  <c r="L149" i="35" s="1"/>
  <c r="J148" i="35"/>
  <c r="I148" i="35"/>
  <c r="H148" i="35"/>
  <c r="G148" i="35"/>
  <c r="K148" i="35" s="1"/>
  <c r="L148" i="35" s="1"/>
  <c r="J147" i="35"/>
  <c r="I147" i="35"/>
  <c r="H147" i="35"/>
  <c r="G147" i="35"/>
  <c r="K147" i="35" s="1"/>
  <c r="L147" i="35" s="1"/>
  <c r="J146" i="35"/>
  <c r="I146" i="35"/>
  <c r="H146" i="35"/>
  <c r="G146" i="35"/>
  <c r="K146" i="35" s="1"/>
  <c r="L146" i="35" s="1"/>
  <c r="J145" i="35"/>
  <c r="I145" i="35"/>
  <c r="H145" i="35"/>
  <c r="G145" i="35"/>
  <c r="K145" i="35" s="1"/>
  <c r="L145" i="35" s="1"/>
  <c r="J144" i="35"/>
  <c r="I144" i="35"/>
  <c r="H144" i="35"/>
  <c r="G144" i="35"/>
  <c r="K144" i="35" s="1"/>
  <c r="L144" i="35" s="1"/>
  <c r="J143" i="35"/>
  <c r="I143" i="35"/>
  <c r="H143" i="35"/>
  <c r="G143" i="35"/>
  <c r="K143" i="35" s="1"/>
  <c r="L143" i="35" s="1"/>
  <c r="J142" i="35"/>
  <c r="I142" i="35"/>
  <c r="H142" i="35"/>
  <c r="G142" i="35"/>
  <c r="K142" i="35" s="1"/>
  <c r="L142" i="35" s="1"/>
  <c r="J141" i="35"/>
  <c r="I141" i="35"/>
  <c r="H141" i="35"/>
  <c r="G141" i="35"/>
  <c r="K141" i="35" s="1"/>
  <c r="L141" i="35" s="1"/>
  <c r="J140" i="35"/>
  <c r="I140" i="35"/>
  <c r="H140" i="35"/>
  <c r="G140" i="35"/>
  <c r="K140" i="35" s="1"/>
  <c r="L140" i="35" s="1"/>
  <c r="J139" i="35"/>
  <c r="I139" i="35"/>
  <c r="H139" i="35"/>
  <c r="G139" i="35"/>
  <c r="K139" i="35" s="1"/>
  <c r="L139" i="35" s="1"/>
  <c r="J138" i="35"/>
  <c r="I138" i="35"/>
  <c r="H138" i="35"/>
  <c r="G138" i="35"/>
  <c r="K138" i="35" s="1"/>
  <c r="L138" i="35" s="1"/>
  <c r="J137" i="35"/>
  <c r="I137" i="35"/>
  <c r="H137" i="35"/>
  <c r="G137" i="35"/>
  <c r="K137" i="35" s="1"/>
  <c r="L137" i="35" s="1"/>
  <c r="J136" i="35"/>
  <c r="I136" i="35"/>
  <c r="H136" i="35"/>
  <c r="G136" i="35"/>
  <c r="K136" i="35" s="1"/>
  <c r="L136" i="35" s="1"/>
  <c r="J135" i="35"/>
  <c r="I135" i="35"/>
  <c r="H135" i="35"/>
  <c r="G135" i="35"/>
  <c r="K135" i="35" s="1"/>
  <c r="L135" i="35" s="1"/>
  <c r="J134" i="35"/>
  <c r="I134" i="35"/>
  <c r="H134" i="35"/>
  <c r="G134" i="35"/>
  <c r="K134" i="35" s="1"/>
  <c r="L134" i="35" s="1"/>
  <c r="J133" i="35"/>
  <c r="I133" i="35"/>
  <c r="H133" i="35"/>
  <c r="G133" i="35"/>
  <c r="K133" i="35" s="1"/>
  <c r="L133" i="35" s="1"/>
  <c r="J132" i="35"/>
  <c r="I132" i="35"/>
  <c r="H132" i="35"/>
  <c r="G132" i="35"/>
  <c r="K132" i="35" s="1"/>
  <c r="L132" i="35" s="1"/>
  <c r="J131" i="35"/>
  <c r="I131" i="35"/>
  <c r="H131" i="35"/>
  <c r="G131" i="35"/>
  <c r="K131" i="35" s="1"/>
  <c r="L131" i="35" s="1"/>
  <c r="J130" i="35"/>
  <c r="I130" i="35"/>
  <c r="H130" i="35"/>
  <c r="G130" i="35"/>
  <c r="K130" i="35" s="1"/>
  <c r="L130" i="35" s="1"/>
  <c r="J129" i="35"/>
  <c r="I129" i="35"/>
  <c r="H129" i="35"/>
  <c r="G129" i="35"/>
  <c r="K129" i="35" s="1"/>
  <c r="L129" i="35" s="1"/>
  <c r="J128" i="35"/>
  <c r="I128" i="35"/>
  <c r="H128" i="35"/>
  <c r="G128" i="35"/>
  <c r="K128" i="35" s="1"/>
  <c r="L128" i="35" s="1"/>
  <c r="J127" i="35"/>
  <c r="I127" i="35"/>
  <c r="H127" i="35"/>
  <c r="G127" i="35"/>
  <c r="K127" i="35" s="1"/>
  <c r="L127" i="35" s="1"/>
  <c r="J126" i="35"/>
  <c r="I126" i="35"/>
  <c r="H126" i="35"/>
  <c r="G126" i="35"/>
  <c r="K126" i="35" s="1"/>
  <c r="L126" i="35" s="1"/>
  <c r="J125" i="35"/>
  <c r="I125" i="35"/>
  <c r="H125" i="35"/>
  <c r="G125" i="35"/>
  <c r="K125" i="35" s="1"/>
  <c r="L125" i="35" s="1"/>
  <c r="J124" i="35"/>
  <c r="I124" i="35"/>
  <c r="H124" i="35"/>
  <c r="G124" i="35"/>
  <c r="K124" i="35" s="1"/>
  <c r="L124" i="35" s="1"/>
  <c r="J123" i="35"/>
  <c r="I123" i="35"/>
  <c r="H123" i="35"/>
  <c r="G123" i="35"/>
  <c r="K123" i="35" s="1"/>
  <c r="L123" i="35" s="1"/>
  <c r="J122" i="35"/>
  <c r="I122" i="35"/>
  <c r="H122" i="35"/>
  <c r="G122" i="35"/>
  <c r="K122" i="35" s="1"/>
  <c r="L122" i="35" s="1"/>
  <c r="J121" i="35"/>
  <c r="I121" i="35"/>
  <c r="H121" i="35"/>
  <c r="G121" i="35"/>
  <c r="K121" i="35" s="1"/>
  <c r="L121" i="35" s="1"/>
  <c r="J120" i="35"/>
  <c r="I120" i="35"/>
  <c r="H120" i="35"/>
  <c r="G120" i="35"/>
  <c r="K120" i="35" s="1"/>
  <c r="L120" i="35" s="1"/>
  <c r="J119" i="35"/>
  <c r="I119" i="35"/>
  <c r="H119" i="35"/>
  <c r="G119" i="35"/>
  <c r="K119" i="35" s="1"/>
  <c r="L119" i="35" s="1"/>
  <c r="J118" i="35"/>
  <c r="I118" i="35"/>
  <c r="H118" i="35"/>
  <c r="G118" i="35"/>
  <c r="K118" i="35" s="1"/>
  <c r="L118" i="35" s="1"/>
  <c r="J117" i="35"/>
  <c r="I117" i="35"/>
  <c r="H117" i="35"/>
  <c r="G117" i="35"/>
  <c r="K117" i="35" s="1"/>
  <c r="L117" i="35" s="1"/>
  <c r="J116" i="35"/>
  <c r="I116" i="35"/>
  <c r="H116" i="35"/>
  <c r="G116" i="35"/>
  <c r="K116" i="35" s="1"/>
  <c r="L116" i="35" s="1"/>
  <c r="J115" i="35"/>
  <c r="I115" i="35"/>
  <c r="H115" i="35"/>
  <c r="G115" i="35"/>
  <c r="K115" i="35" s="1"/>
  <c r="L115" i="35" s="1"/>
  <c r="J114" i="35"/>
  <c r="I114" i="35"/>
  <c r="H114" i="35"/>
  <c r="G114" i="35"/>
  <c r="K114" i="35" s="1"/>
  <c r="L114" i="35" s="1"/>
  <c r="J113" i="35"/>
  <c r="I113" i="35"/>
  <c r="H113" i="35"/>
  <c r="G113" i="35"/>
  <c r="K113" i="35" s="1"/>
  <c r="L113" i="35" s="1"/>
  <c r="J112" i="35"/>
  <c r="I112" i="35"/>
  <c r="H112" i="35"/>
  <c r="G112" i="35"/>
  <c r="K112" i="35" s="1"/>
  <c r="L112" i="35" s="1"/>
  <c r="J111" i="35"/>
  <c r="I111" i="35"/>
  <c r="H111" i="35"/>
  <c r="G111" i="35"/>
  <c r="K111" i="35" s="1"/>
  <c r="L111" i="35" s="1"/>
  <c r="J110" i="35"/>
  <c r="I110" i="35"/>
  <c r="H110" i="35"/>
  <c r="G110" i="35"/>
  <c r="K110" i="35" s="1"/>
  <c r="L110" i="35" s="1"/>
  <c r="J109" i="35"/>
  <c r="I109" i="35"/>
  <c r="H109" i="35"/>
  <c r="G109" i="35"/>
  <c r="K109" i="35" s="1"/>
  <c r="L109" i="35" s="1"/>
  <c r="J108" i="35"/>
  <c r="I108" i="35"/>
  <c r="H108" i="35"/>
  <c r="G108" i="35"/>
  <c r="K108" i="35" s="1"/>
  <c r="L108" i="35" s="1"/>
  <c r="J107" i="35"/>
  <c r="I107" i="35"/>
  <c r="H107" i="35"/>
  <c r="G107" i="35"/>
  <c r="K107" i="35" s="1"/>
  <c r="L107" i="35" s="1"/>
  <c r="J106" i="35"/>
  <c r="I106" i="35"/>
  <c r="H106" i="35"/>
  <c r="G106" i="35"/>
  <c r="K106" i="35" s="1"/>
  <c r="L106" i="35" s="1"/>
  <c r="J105" i="35"/>
  <c r="I105" i="35"/>
  <c r="H105" i="35"/>
  <c r="G105" i="35"/>
  <c r="K105" i="35" s="1"/>
  <c r="L105" i="35" s="1"/>
  <c r="J104" i="35"/>
  <c r="I104" i="35"/>
  <c r="H104" i="35"/>
  <c r="G104" i="35"/>
  <c r="K104" i="35" s="1"/>
  <c r="L104" i="35" s="1"/>
  <c r="J103" i="35"/>
  <c r="I103" i="35"/>
  <c r="H103" i="35"/>
  <c r="G103" i="35"/>
  <c r="K103" i="35" s="1"/>
  <c r="L103" i="35" s="1"/>
  <c r="J102" i="35"/>
  <c r="I102" i="35"/>
  <c r="H102" i="35"/>
  <c r="G102" i="35"/>
  <c r="K102" i="35" s="1"/>
  <c r="L102" i="35" s="1"/>
  <c r="J101" i="35"/>
  <c r="I101" i="35"/>
  <c r="H101" i="35"/>
  <c r="G101" i="35"/>
  <c r="K101" i="35" s="1"/>
  <c r="L101" i="35" s="1"/>
  <c r="J100" i="35"/>
  <c r="I100" i="35"/>
  <c r="H100" i="35"/>
  <c r="G100" i="35"/>
  <c r="K100" i="35" s="1"/>
  <c r="L100" i="35" s="1"/>
  <c r="J99" i="35"/>
  <c r="I99" i="35"/>
  <c r="H99" i="35"/>
  <c r="G99" i="35"/>
  <c r="K99" i="35" s="1"/>
  <c r="L99" i="35" s="1"/>
  <c r="J98" i="35"/>
  <c r="I98" i="35"/>
  <c r="H98" i="35"/>
  <c r="G98" i="35"/>
  <c r="K98" i="35" s="1"/>
  <c r="L98" i="35" s="1"/>
  <c r="J97" i="35"/>
  <c r="I97" i="35"/>
  <c r="H97" i="35"/>
  <c r="G97" i="35"/>
  <c r="K97" i="35" s="1"/>
  <c r="L97" i="35" s="1"/>
  <c r="J96" i="35"/>
  <c r="I96" i="35"/>
  <c r="H96" i="35"/>
  <c r="G96" i="35"/>
  <c r="K96" i="35" s="1"/>
  <c r="L96" i="35" s="1"/>
  <c r="J95" i="35"/>
  <c r="I95" i="35"/>
  <c r="H95" i="35"/>
  <c r="G95" i="35"/>
  <c r="K95" i="35" s="1"/>
  <c r="L95" i="35" s="1"/>
  <c r="J94" i="35"/>
  <c r="I94" i="35"/>
  <c r="H94" i="35"/>
  <c r="G94" i="35"/>
  <c r="K94" i="35" s="1"/>
  <c r="L94" i="35" s="1"/>
  <c r="J93" i="35"/>
  <c r="I93" i="35"/>
  <c r="H93" i="35"/>
  <c r="G93" i="35"/>
  <c r="K93" i="35" s="1"/>
  <c r="L93" i="35" s="1"/>
  <c r="J92" i="35"/>
  <c r="I92" i="35"/>
  <c r="H92" i="35"/>
  <c r="G92" i="35"/>
  <c r="K92" i="35" s="1"/>
  <c r="L92" i="35" s="1"/>
  <c r="J91" i="35"/>
  <c r="I91" i="35"/>
  <c r="H91" i="35"/>
  <c r="G91" i="35"/>
  <c r="K91" i="35" s="1"/>
  <c r="L91" i="35" s="1"/>
  <c r="J90" i="35"/>
  <c r="I90" i="35"/>
  <c r="H90" i="35"/>
  <c r="G90" i="35"/>
  <c r="K90" i="35" s="1"/>
  <c r="L90" i="35" s="1"/>
  <c r="J89" i="35"/>
  <c r="I89" i="35"/>
  <c r="H89" i="35"/>
  <c r="G89" i="35"/>
  <c r="K89" i="35" s="1"/>
  <c r="L89" i="35" s="1"/>
  <c r="J88" i="35"/>
  <c r="I88" i="35"/>
  <c r="H88" i="35"/>
  <c r="G88" i="35"/>
  <c r="K88" i="35" s="1"/>
  <c r="L88" i="35" s="1"/>
  <c r="J87" i="35"/>
  <c r="I87" i="35"/>
  <c r="H87" i="35"/>
  <c r="G87" i="35"/>
  <c r="K87" i="35" s="1"/>
  <c r="L87" i="35" s="1"/>
  <c r="J86" i="35"/>
  <c r="I86" i="35"/>
  <c r="H86" i="35"/>
  <c r="G86" i="35"/>
  <c r="K86" i="35" s="1"/>
  <c r="L86" i="35" s="1"/>
  <c r="J85" i="35"/>
  <c r="I85" i="35"/>
  <c r="H85" i="35"/>
  <c r="G85" i="35"/>
  <c r="K85" i="35" s="1"/>
  <c r="L85" i="35" s="1"/>
  <c r="J84" i="35"/>
  <c r="I84" i="35"/>
  <c r="H84" i="35"/>
  <c r="G84" i="35"/>
  <c r="K84" i="35" s="1"/>
  <c r="L84" i="35" s="1"/>
  <c r="J83" i="35"/>
  <c r="I83" i="35"/>
  <c r="H83" i="35"/>
  <c r="G83" i="35"/>
  <c r="K83" i="35" s="1"/>
  <c r="L83" i="35" s="1"/>
  <c r="J82" i="35"/>
  <c r="I82" i="35"/>
  <c r="H82" i="35"/>
  <c r="G82" i="35"/>
  <c r="K82" i="35" s="1"/>
  <c r="L82" i="35" s="1"/>
  <c r="J81" i="35"/>
  <c r="I81" i="35"/>
  <c r="H81" i="35"/>
  <c r="G81" i="35"/>
  <c r="K81" i="35" s="1"/>
  <c r="L81" i="35" s="1"/>
  <c r="J80" i="35"/>
  <c r="I80" i="35"/>
  <c r="H80" i="35"/>
  <c r="G80" i="35"/>
  <c r="K80" i="35" s="1"/>
  <c r="L80" i="35" s="1"/>
  <c r="J79" i="35"/>
  <c r="I79" i="35"/>
  <c r="H79" i="35"/>
  <c r="G79" i="35"/>
  <c r="K79" i="35" s="1"/>
  <c r="L79" i="35" s="1"/>
  <c r="J78" i="35"/>
  <c r="I78" i="35"/>
  <c r="H78" i="35"/>
  <c r="G78" i="35"/>
  <c r="K78" i="35" s="1"/>
  <c r="L78" i="35" s="1"/>
  <c r="J77" i="35"/>
  <c r="I77" i="35"/>
  <c r="H77" i="35"/>
  <c r="G77" i="35"/>
  <c r="K77" i="35" s="1"/>
  <c r="L77" i="35" s="1"/>
  <c r="J76" i="35"/>
  <c r="I76" i="35"/>
  <c r="H76" i="35"/>
  <c r="G76" i="35"/>
  <c r="K76" i="35" s="1"/>
  <c r="L76" i="35" s="1"/>
  <c r="J75" i="35"/>
  <c r="I75" i="35"/>
  <c r="H75" i="35"/>
  <c r="G75" i="35"/>
  <c r="K75" i="35" s="1"/>
  <c r="L75" i="35" s="1"/>
  <c r="J74" i="35"/>
  <c r="I74" i="35"/>
  <c r="H74" i="35"/>
  <c r="G74" i="35"/>
  <c r="K74" i="35" s="1"/>
  <c r="L74" i="35" s="1"/>
  <c r="J73" i="35"/>
  <c r="I73" i="35"/>
  <c r="H73" i="35"/>
  <c r="G73" i="35"/>
  <c r="K73" i="35" s="1"/>
  <c r="L73" i="35" s="1"/>
  <c r="J72" i="35"/>
  <c r="I72" i="35"/>
  <c r="H72" i="35"/>
  <c r="G72" i="35"/>
  <c r="K72" i="35" s="1"/>
  <c r="L72" i="35" s="1"/>
  <c r="J71" i="35"/>
  <c r="I71" i="35"/>
  <c r="H71" i="35"/>
  <c r="G71" i="35"/>
  <c r="K71" i="35" s="1"/>
  <c r="L71" i="35" s="1"/>
  <c r="J70" i="35"/>
  <c r="I70" i="35"/>
  <c r="H70" i="35"/>
  <c r="G70" i="35"/>
  <c r="K70" i="35" s="1"/>
  <c r="L70" i="35" s="1"/>
  <c r="J69" i="35"/>
  <c r="I69" i="35"/>
  <c r="H69" i="35"/>
  <c r="G69" i="35"/>
  <c r="J68" i="35"/>
  <c r="I68" i="35"/>
  <c r="H68" i="35"/>
  <c r="G68" i="35"/>
  <c r="J67" i="35"/>
  <c r="I67" i="35"/>
  <c r="H67" i="35"/>
  <c r="G67" i="35"/>
  <c r="J66" i="35"/>
  <c r="I66" i="35"/>
  <c r="H66" i="35"/>
  <c r="G66" i="35"/>
  <c r="J65" i="35"/>
  <c r="I65" i="35"/>
  <c r="H65" i="35"/>
  <c r="G65" i="35"/>
  <c r="J64" i="35"/>
  <c r="I64" i="35"/>
  <c r="H64" i="35"/>
  <c r="G64" i="35"/>
  <c r="J63" i="35"/>
  <c r="I63" i="35"/>
  <c r="H63" i="35"/>
  <c r="G63" i="35"/>
  <c r="J62" i="35"/>
  <c r="I62" i="35"/>
  <c r="H62" i="35"/>
  <c r="G62" i="35"/>
  <c r="J61" i="35"/>
  <c r="I61" i="35"/>
  <c r="H61" i="35"/>
  <c r="G61" i="35"/>
  <c r="J60" i="35"/>
  <c r="I60" i="35"/>
  <c r="H60" i="35"/>
  <c r="G60" i="35"/>
  <c r="J59" i="35"/>
  <c r="I59" i="35"/>
  <c r="H59" i="35"/>
  <c r="G59" i="35"/>
  <c r="J58" i="35"/>
  <c r="I58" i="35"/>
  <c r="H58" i="35"/>
  <c r="G58" i="35"/>
  <c r="J57" i="35"/>
  <c r="I57" i="35"/>
  <c r="H57" i="35"/>
  <c r="G57" i="35"/>
  <c r="J56" i="35"/>
  <c r="I56" i="35"/>
  <c r="H56" i="35"/>
  <c r="G56" i="35"/>
  <c r="J55" i="35"/>
  <c r="I55" i="35"/>
  <c r="H55" i="35"/>
  <c r="G55" i="35"/>
  <c r="J54" i="35"/>
  <c r="I54" i="35"/>
  <c r="H54" i="35"/>
  <c r="G54" i="35"/>
  <c r="J53" i="35"/>
  <c r="I53" i="35"/>
  <c r="H53" i="35"/>
  <c r="G53" i="35"/>
  <c r="J52" i="35"/>
  <c r="I52" i="35"/>
  <c r="H52" i="35"/>
  <c r="G52" i="35"/>
  <c r="J51" i="35"/>
  <c r="I51" i="35"/>
  <c r="H51" i="35"/>
  <c r="G51" i="35"/>
  <c r="J50" i="35"/>
  <c r="I50" i="35"/>
  <c r="H50" i="35"/>
  <c r="G50" i="35"/>
  <c r="J49" i="35"/>
  <c r="I49" i="35"/>
  <c r="H49" i="35"/>
  <c r="G49" i="35"/>
  <c r="J48" i="35"/>
  <c r="I48" i="35"/>
  <c r="H48" i="35"/>
  <c r="G48" i="35"/>
  <c r="J47" i="35"/>
  <c r="I47" i="35"/>
  <c r="H47" i="35"/>
  <c r="G47" i="35"/>
  <c r="J46" i="35"/>
  <c r="I46" i="35"/>
  <c r="H46" i="35"/>
  <c r="G46" i="35"/>
  <c r="J45" i="35"/>
  <c r="I45" i="35"/>
  <c r="H45" i="35"/>
  <c r="G45" i="35"/>
  <c r="J44" i="35"/>
  <c r="I44" i="35"/>
  <c r="H44" i="35"/>
  <c r="G44" i="35"/>
  <c r="J43" i="35"/>
  <c r="I43" i="35"/>
  <c r="H43" i="35"/>
  <c r="G43" i="35"/>
  <c r="J42" i="35"/>
  <c r="I42" i="35"/>
  <c r="H42" i="35"/>
  <c r="G42" i="35"/>
  <c r="J41" i="35"/>
  <c r="I41" i="35"/>
  <c r="H41" i="35"/>
  <c r="G41" i="35"/>
  <c r="J40" i="35"/>
  <c r="I40" i="35"/>
  <c r="H40" i="35"/>
  <c r="G40" i="35"/>
  <c r="J39" i="35"/>
  <c r="I39" i="35"/>
  <c r="H39" i="35"/>
  <c r="G39" i="35"/>
  <c r="J38" i="35"/>
  <c r="I38" i="35"/>
  <c r="H38" i="35"/>
  <c r="G38" i="35"/>
  <c r="J37" i="35"/>
  <c r="I37" i="35"/>
  <c r="H37" i="35"/>
  <c r="G37" i="35"/>
  <c r="J36" i="35"/>
  <c r="I36" i="35"/>
  <c r="H36" i="35"/>
  <c r="G36" i="35"/>
  <c r="J35" i="35"/>
  <c r="I35" i="35"/>
  <c r="H35" i="35"/>
  <c r="G35" i="35"/>
  <c r="J34" i="35"/>
  <c r="I34" i="35"/>
  <c r="H34" i="35"/>
  <c r="G34" i="35"/>
  <c r="J33" i="35"/>
  <c r="I33" i="35"/>
  <c r="H33" i="35"/>
  <c r="G33" i="35"/>
  <c r="J32" i="35"/>
  <c r="I32" i="35"/>
  <c r="H32" i="35"/>
  <c r="G32" i="35"/>
  <c r="J31" i="35"/>
  <c r="I31" i="35"/>
  <c r="H31" i="35"/>
  <c r="G31" i="35"/>
  <c r="J30" i="35"/>
  <c r="I30" i="35"/>
  <c r="H30" i="35"/>
  <c r="G30" i="35"/>
  <c r="J29" i="35"/>
  <c r="I29" i="35"/>
  <c r="H29" i="35"/>
  <c r="G29" i="35"/>
  <c r="J28" i="35"/>
  <c r="I28" i="35"/>
  <c r="H28" i="35"/>
  <c r="G28" i="35"/>
  <c r="J27" i="35"/>
  <c r="I27" i="35"/>
  <c r="H27" i="35"/>
  <c r="G27" i="35"/>
  <c r="J26" i="35"/>
  <c r="I26" i="35"/>
  <c r="H26" i="35"/>
  <c r="G26" i="35"/>
  <c r="J25" i="35"/>
  <c r="I25" i="35"/>
  <c r="H25" i="35"/>
  <c r="G25" i="35"/>
  <c r="J24" i="35"/>
  <c r="I24" i="35"/>
  <c r="H24" i="35"/>
  <c r="G24" i="35"/>
  <c r="J23" i="35"/>
  <c r="I23" i="35"/>
  <c r="H23" i="35"/>
  <c r="G23" i="35"/>
  <c r="J22" i="35"/>
  <c r="I22" i="35"/>
  <c r="H22" i="35"/>
  <c r="G22" i="35"/>
  <c r="J21" i="35"/>
  <c r="I21" i="35"/>
  <c r="H21" i="35"/>
  <c r="G21" i="35"/>
  <c r="J20" i="35"/>
  <c r="I20" i="35"/>
  <c r="H20" i="35"/>
  <c r="G20" i="35"/>
  <c r="J19" i="35"/>
  <c r="I19" i="35"/>
  <c r="H19" i="35"/>
  <c r="G19" i="35"/>
  <c r="J18" i="35"/>
  <c r="I18" i="35"/>
  <c r="H18" i="35"/>
  <c r="G18" i="35"/>
  <c r="J17" i="35"/>
  <c r="I17" i="35"/>
  <c r="H17" i="35"/>
  <c r="G17" i="35"/>
  <c r="J16" i="35"/>
  <c r="I16" i="35"/>
  <c r="H16" i="35"/>
  <c r="G16" i="35"/>
  <c r="J15" i="35"/>
  <c r="I15" i="35"/>
  <c r="H15" i="35"/>
  <c r="G15" i="35"/>
  <c r="J14" i="35"/>
  <c r="I14" i="35"/>
  <c r="H14" i="35"/>
  <c r="G14" i="35"/>
  <c r="G144" i="34"/>
  <c r="G145" i="34"/>
  <c r="G146" i="34"/>
  <c r="G147" i="34"/>
  <c r="G148" i="34"/>
  <c r="G149" i="34"/>
  <c r="K149" i="34" s="1"/>
  <c r="L149" i="34" s="1"/>
  <c r="G150" i="34"/>
  <c r="G151" i="34"/>
  <c r="K151" i="34" s="1"/>
  <c r="L151" i="34" s="1"/>
  <c r="G152" i="34"/>
  <c r="G153" i="34"/>
  <c r="G154" i="34"/>
  <c r="G155" i="34"/>
  <c r="G156" i="34"/>
  <c r="G157" i="34"/>
  <c r="G158" i="34"/>
  <c r="G159" i="34"/>
  <c r="G160" i="34"/>
  <c r="G161" i="34"/>
  <c r="K161" i="34" s="1"/>
  <c r="L161" i="34" s="1"/>
  <c r="G162" i="34"/>
  <c r="G163" i="34"/>
  <c r="K163" i="34" s="1"/>
  <c r="L163" i="34" s="1"/>
  <c r="G164" i="34"/>
  <c r="G165" i="34"/>
  <c r="G166" i="34"/>
  <c r="H144" i="34"/>
  <c r="H145" i="34"/>
  <c r="H146" i="34"/>
  <c r="H147" i="34"/>
  <c r="H148" i="34"/>
  <c r="H149" i="34"/>
  <c r="H150" i="34"/>
  <c r="H151" i="34"/>
  <c r="H152" i="34"/>
  <c r="H153" i="34"/>
  <c r="H154" i="34"/>
  <c r="H155" i="34"/>
  <c r="H156" i="34"/>
  <c r="H157" i="34"/>
  <c r="H158" i="34"/>
  <c r="H159" i="34"/>
  <c r="H160" i="34"/>
  <c r="H161" i="34"/>
  <c r="H162" i="34"/>
  <c r="H163" i="34"/>
  <c r="H164" i="34"/>
  <c r="H165" i="34"/>
  <c r="H166" i="34"/>
  <c r="I144" i="34"/>
  <c r="I145" i="34"/>
  <c r="I146" i="34"/>
  <c r="I147" i="34"/>
  <c r="I148" i="34"/>
  <c r="I149" i="34"/>
  <c r="I150" i="34"/>
  <c r="I151" i="34"/>
  <c r="I152" i="34"/>
  <c r="I153" i="34"/>
  <c r="I154" i="34"/>
  <c r="I155" i="34"/>
  <c r="I156" i="34"/>
  <c r="I157" i="34"/>
  <c r="I158" i="34"/>
  <c r="I159" i="34"/>
  <c r="I160" i="34"/>
  <c r="I161" i="34"/>
  <c r="I162" i="34"/>
  <c r="I163" i="34"/>
  <c r="I164" i="34"/>
  <c r="I165" i="34"/>
  <c r="I166" i="34"/>
  <c r="J166" i="34"/>
  <c r="J144" i="34"/>
  <c r="J145" i="34"/>
  <c r="J146" i="34"/>
  <c r="J147" i="34"/>
  <c r="J148" i="34"/>
  <c r="J149" i="34"/>
  <c r="J150" i="34"/>
  <c r="J151" i="34"/>
  <c r="J152" i="34"/>
  <c r="J153" i="34"/>
  <c r="J154" i="34"/>
  <c r="J155" i="34"/>
  <c r="J156" i="34"/>
  <c r="J157" i="34"/>
  <c r="J158" i="34"/>
  <c r="J159" i="34"/>
  <c r="J160" i="34"/>
  <c r="J161" i="34"/>
  <c r="J162" i="34"/>
  <c r="J163" i="34"/>
  <c r="J164" i="34"/>
  <c r="J165" i="34"/>
  <c r="D135" i="33"/>
  <c r="E135" i="33" s="1"/>
  <c r="D136" i="33"/>
  <c r="E136" i="33" s="1"/>
  <c r="D137" i="33"/>
  <c r="E137" i="33" s="1"/>
  <c r="D138" i="33"/>
  <c r="E138" i="33" s="1"/>
  <c r="D139" i="33"/>
  <c r="E139" i="33" s="1"/>
  <c r="D140" i="33"/>
  <c r="E140" i="33" s="1"/>
  <c r="D141" i="33"/>
  <c r="E141" i="33" s="1"/>
  <c r="D142" i="33"/>
  <c r="E142" i="33" s="1"/>
  <c r="D143" i="33"/>
  <c r="E143" i="33" s="1"/>
  <c r="D144" i="33"/>
  <c r="E144" i="33" s="1"/>
  <c r="D145" i="33"/>
  <c r="E145" i="33" s="1"/>
  <c r="D146" i="33"/>
  <c r="E146" i="33" s="1"/>
  <c r="D147" i="33"/>
  <c r="E147" i="33" s="1"/>
  <c r="D148" i="33"/>
  <c r="E148" i="33" s="1"/>
  <c r="D149" i="33"/>
  <c r="E149" i="33" s="1"/>
  <c r="D150" i="33"/>
  <c r="E150" i="33" s="1"/>
  <c r="D151" i="33"/>
  <c r="E151" i="33" s="1"/>
  <c r="D152" i="33"/>
  <c r="E152" i="33" s="1"/>
  <c r="D153" i="33"/>
  <c r="E153" i="33" s="1"/>
  <c r="D154" i="33"/>
  <c r="E154" i="33" s="1"/>
  <c r="D155" i="33"/>
  <c r="E155" i="33" s="1"/>
  <c r="D156" i="33"/>
  <c r="E156" i="33" s="1"/>
  <c r="D157" i="33"/>
  <c r="E157" i="33" s="1"/>
  <c r="D6" i="33"/>
  <c r="D7" i="33"/>
  <c r="D8" i="33"/>
  <c r="D9" i="33"/>
  <c r="D10" i="33"/>
  <c r="D11" i="33"/>
  <c r="D12" i="33"/>
  <c r="D13" i="33"/>
  <c r="D14" i="33"/>
  <c r="D15" i="33"/>
  <c r="D16" i="33"/>
  <c r="D17" i="33"/>
  <c r="D18" i="33"/>
  <c r="D19" i="33"/>
  <c r="D20"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99" i="33"/>
  <c r="D100" i="33"/>
  <c r="D101" i="33"/>
  <c r="D102" i="33"/>
  <c r="D103" i="33"/>
  <c r="D104" i="33"/>
  <c r="D105" i="33"/>
  <c r="D106" i="33"/>
  <c r="D107" i="33"/>
  <c r="D108" i="33"/>
  <c r="D109" i="33"/>
  <c r="D110" i="33"/>
  <c r="D111" i="33"/>
  <c r="D112" i="33"/>
  <c r="D113" i="33"/>
  <c r="D114" i="33"/>
  <c r="D115" i="33"/>
  <c r="D116" i="33"/>
  <c r="D117" i="33"/>
  <c r="D118" i="33"/>
  <c r="D119" i="33"/>
  <c r="D120" i="33"/>
  <c r="D121" i="33"/>
  <c r="D122" i="33"/>
  <c r="D123" i="33"/>
  <c r="D124" i="33"/>
  <c r="D125" i="33"/>
  <c r="D126" i="33"/>
  <c r="D127" i="33"/>
  <c r="D128" i="33"/>
  <c r="D129" i="33"/>
  <c r="D130" i="33"/>
  <c r="D131" i="33"/>
  <c r="D132" i="33"/>
  <c r="D133" i="33"/>
  <c r="D134" i="33"/>
  <c r="H8" i="18"/>
  <c r="J8" i="18"/>
  <c r="K14" i="35" l="1"/>
  <c r="L14" i="35" s="1"/>
  <c r="K17" i="35"/>
  <c r="L17" i="35" s="1"/>
  <c r="K20" i="35"/>
  <c r="L20" i="35" s="1"/>
  <c r="K23" i="35"/>
  <c r="L23" i="35" s="1"/>
  <c r="K26" i="35"/>
  <c r="L26" i="35" s="1"/>
  <c r="K29" i="35"/>
  <c r="L29" i="35" s="1"/>
  <c r="K32" i="35"/>
  <c r="L32" i="35" s="1"/>
  <c r="K35" i="35"/>
  <c r="L35" i="35" s="1"/>
  <c r="K38" i="35"/>
  <c r="L38" i="35" s="1"/>
  <c r="K41" i="35"/>
  <c r="L41" i="35" s="1"/>
  <c r="K44" i="35"/>
  <c r="L44" i="35" s="1"/>
  <c r="K47" i="35"/>
  <c r="L47" i="35" s="1"/>
  <c r="K50" i="35"/>
  <c r="L50" i="35" s="1"/>
  <c r="K53" i="35"/>
  <c r="L53" i="35" s="1"/>
  <c r="K56" i="35"/>
  <c r="L56" i="35" s="1"/>
  <c r="K59" i="35"/>
  <c r="L59" i="35" s="1"/>
  <c r="K62" i="35"/>
  <c r="L62" i="35" s="1"/>
  <c r="K65" i="35"/>
  <c r="L65" i="35" s="1"/>
  <c r="K68" i="35"/>
  <c r="L68" i="35" s="1"/>
  <c r="K15" i="35"/>
  <c r="L15" i="35" s="1"/>
  <c r="K18" i="35"/>
  <c r="L18" i="35" s="1"/>
  <c r="K21" i="35"/>
  <c r="L21" i="35" s="1"/>
  <c r="K24" i="35"/>
  <c r="L24" i="35" s="1"/>
  <c r="K27" i="35"/>
  <c r="L27" i="35" s="1"/>
  <c r="K30" i="35"/>
  <c r="L30" i="35" s="1"/>
  <c r="K33" i="35"/>
  <c r="L33" i="35" s="1"/>
  <c r="K36" i="35"/>
  <c r="L36" i="35" s="1"/>
  <c r="K39" i="35"/>
  <c r="L39" i="35" s="1"/>
  <c r="K42" i="35"/>
  <c r="L42" i="35" s="1"/>
  <c r="K45" i="35"/>
  <c r="L45" i="35" s="1"/>
  <c r="K48" i="35"/>
  <c r="L48" i="35" s="1"/>
  <c r="K51" i="35"/>
  <c r="L51" i="35" s="1"/>
  <c r="K54" i="35"/>
  <c r="L54" i="35" s="1"/>
  <c r="K57" i="35"/>
  <c r="L57" i="35" s="1"/>
  <c r="K60" i="35"/>
  <c r="L60" i="35" s="1"/>
  <c r="K63" i="35"/>
  <c r="L63" i="35" s="1"/>
  <c r="K66" i="35"/>
  <c r="L66" i="35" s="1"/>
  <c r="K69" i="35"/>
  <c r="L69" i="35" s="1"/>
  <c r="K16" i="35"/>
  <c r="L16" i="35" s="1"/>
  <c r="K19" i="35"/>
  <c r="L19" i="35" s="1"/>
  <c r="K22" i="35"/>
  <c r="L22" i="35" s="1"/>
  <c r="K25" i="35"/>
  <c r="L25" i="35" s="1"/>
  <c r="K28" i="35"/>
  <c r="L28" i="35" s="1"/>
  <c r="K31" i="35"/>
  <c r="L31" i="35" s="1"/>
  <c r="K34" i="35"/>
  <c r="L34" i="35" s="1"/>
  <c r="K37" i="35"/>
  <c r="L37" i="35" s="1"/>
  <c r="K40" i="35"/>
  <c r="L40" i="35" s="1"/>
  <c r="K43" i="35"/>
  <c r="L43" i="35" s="1"/>
  <c r="K46" i="35"/>
  <c r="L46" i="35" s="1"/>
  <c r="K49" i="35"/>
  <c r="L49" i="35" s="1"/>
  <c r="K52" i="35"/>
  <c r="L52" i="35" s="1"/>
  <c r="K55" i="35"/>
  <c r="L55" i="35" s="1"/>
  <c r="K58" i="35"/>
  <c r="L58" i="35" s="1"/>
  <c r="K61" i="35"/>
  <c r="L61" i="35" s="1"/>
  <c r="K64" i="35"/>
  <c r="L64" i="35" s="1"/>
  <c r="K67" i="35"/>
  <c r="L67" i="35" s="1"/>
  <c r="K162" i="34"/>
  <c r="L162" i="34" s="1"/>
  <c r="K150" i="34"/>
  <c r="L150" i="34" s="1"/>
  <c r="K156" i="34"/>
  <c r="L156" i="34" s="1"/>
  <c r="K165" i="34"/>
  <c r="L165" i="34" s="1"/>
  <c r="K153" i="34"/>
  <c r="L153" i="34" s="1"/>
  <c r="K152" i="34"/>
  <c r="L152" i="34" s="1"/>
  <c r="K148" i="34"/>
  <c r="L148" i="34" s="1"/>
  <c r="K160" i="34"/>
  <c r="L160" i="34" s="1"/>
  <c r="K158" i="34"/>
  <c r="L158" i="34" s="1"/>
  <c r="K146" i="34"/>
  <c r="L146" i="34" s="1"/>
  <c r="K157" i="34"/>
  <c r="L157" i="34" s="1"/>
  <c r="K145" i="34"/>
  <c r="L145" i="34" s="1"/>
  <c r="K147" i="34"/>
  <c r="L147" i="34" s="1"/>
  <c r="K144" i="34"/>
  <c r="L144" i="34" s="1"/>
  <c r="K154" i="34"/>
  <c r="L154" i="34" s="1"/>
  <c r="K164" i="34"/>
  <c r="L164" i="34" s="1"/>
  <c r="K166" i="34"/>
  <c r="L166" i="34" s="1"/>
  <c r="K159" i="34"/>
  <c r="L159" i="34" s="1"/>
  <c r="K155" i="34"/>
  <c r="L155" i="34" s="1"/>
  <c r="D4" i="38" l="1"/>
  <c r="D3" i="38"/>
  <c r="D2" i="38"/>
  <c r="AT22" i="38"/>
  <c r="AT21" i="38"/>
  <c r="AT20" i="38"/>
  <c r="AT19" i="38"/>
  <c r="AT18" i="38"/>
  <c r="AT17" i="38"/>
  <c r="AT16" i="38"/>
  <c r="AT15" i="38"/>
  <c r="AT14" i="38"/>
  <c r="AT13" i="38"/>
  <c r="D50" i="6"/>
  <c r="E50" i="6" l="1"/>
  <c r="U146" i="26" l="1"/>
  <c r="V146" i="26" s="1"/>
  <c r="U147" i="26"/>
  <c r="AI147" i="26" s="1"/>
  <c r="AN147" i="26" s="1"/>
  <c r="U144" i="26"/>
  <c r="AI144" i="26" s="1"/>
  <c r="AN144" i="26" s="1"/>
  <c r="U148" i="26"/>
  <c r="V148" i="26" s="1"/>
  <c r="U66" i="26"/>
  <c r="AI66" i="26" s="1"/>
  <c r="AN66" i="26" s="1"/>
  <c r="U150" i="26"/>
  <c r="V150" i="26" s="1"/>
  <c r="U65" i="26"/>
  <c r="AI65" i="26" s="1"/>
  <c r="AN65" i="26" s="1"/>
  <c r="U149" i="26"/>
  <c r="AI149" i="26" s="1"/>
  <c r="AN149" i="26" s="1"/>
  <c r="U18" i="26"/>
  <c r="V18" i="26" s="1"/>
  <c r="AA18" i="26" s="1"/>
  <c r="U138" i="26"/>
  <c r="V138" i="26" s="1"/>
  <c r="AA138" i="26" s="1"/>
  <c r="U19" i="26"/>
  <c r="V19" i="26" s="1"/>
  <c r="U67" i="26"/>
  <c r="V67" i="26" s="1"/>
  <c r="U139" i="26"/>
  <c r="V139" i="26" s="1"/>
  <c r="U151" i="26"/>
  <c r="V151" i="26" s="1"/>
  <c r="U24" i="26"/>
  <c r="V24" i="26" s="1"/>
  <c r="U20" i="26"/>
  <c r="V20" i="26" s="1"/>
  <c r="AA20" i="26" s="1"/>
  <c r="U68" i="26"/>
  <c r="V68" i="26" s="1"/>
  <c r="U140" i="26"/>
  <c r="AI140" i="26" s="1"/>
  <c r="AN140" i="26" s="1"/>
  <c r="U21" i="26"/>
  <c r="AI21" i="26" s="1"/>
  <c r="AN21" i="26" s="1"/>
  <c r="U69" i="26"/>
  <c r="AI69" i="26" s="1"/>
  <c r="AN69" i="26" s="1"/>
  <c r="U141" i="26"/>
  <c r="AI141" i="26" s="1"/>
  <c r="AN141" i="26" s="1"/>
  <c r="U143" i="26"/>
  <c r="AI143" i="26" s="1"/>
  <c r="AN143" i="26" s="1"/>
  <c r="U84" i="26"/>
  <c r="V84" i="26" s="1"/>
  <c r="AA84" i="26" s="1"/>
  <c r="U22" i="26"/>
  <c r="V22" i="26" s="1"/>
  <c r="U70" i="26"/>
  <c r="V70" i="26" s="1"/>
  <c r="U142" i="26"/>
  <c r="V142" i="26" s="1"/>
  <c r="U23" i="26"/>
  <c r="V23" i="26" s="1"/>
  <c r="U71" i="26"/>
  <c r="AI71" i="26" s="1"/>
  <c r="AN71" i="26" s="1"/>
  <c r="U145" i="26"/>
  <c r="V145" i="26" s="1"/>
  <c r="U39" i="26"/>
  <c r="AI39" i="26" s="1"/>
  <c r="AN39" i="26" s="1"/>
  <c r="U87" i="26"/>
  <c r="AI87" i="26" s="1"/>
  <c r="AN87" i="26" s="1"/>
  <c r="U71" i="38"/>
  <c r="U66" i="38"/>
  <c r="U20" i="38"/>
  <c r="U65" i="38"/>
  <c r="U139" i="38"/>
  <c r="U151" i="38"/>
  <c r="U87" i="38"/>
  <c r="U39" i="38"/>
  <c r="U23" i="38"/>
  <c r="U150" i="38"/>
  <c r="U144" i="38"/>
  <c r="U138" i="38"/>
  <c r="U70" i="38"/>
  <c r="U19" i="38"/>
  <c r="U148" i="38"/>
  <c r="U69" i="38"/>
  <c r="U149" i="38"/>
  <c r="U18" i="38"/>
  <c r="U143" i="38"/>
  <c r="U22" i="38"/>
  <c r="U147" i="38"/>
  <c r="U142" i="38"/>
  <c r="U84" i="38"/>
  <c r="U68" i="38"/>
  <c r="U67" i="38"/>
  <c r="U21" i="38"/>
  <c r="U145" i="38"/>
  <c r="U146" i="38"/>
  <c r="U141" i="38"/>
  <c r="U24" i="38"/>
  <c r="U140" i="38"/>
  <c r="AA67" i="26" l="1"/>
  <c r="AA22" i="26"/>
  <c r="AA19" i="26"/>
  <c r="AA150" i="26"/>
  <c r="AA68" i="26"/>
  <c r="AA148" i="26"/>
  <c r="AA23" i="26"/>
  <c r="AA145" i="26"/>
  <c r="AA24" i="26"/>
  <c r="AA142" i="26"/>
  <c r="AA151" i="26"/>
  <c r="AA70" i="26"/>
  <c r="AA139" i="26"/>
  <c r="AA146" i="26"/>
  <c r="AI138" i="26"/>
  <c r="AN138" i="26" s="1"/>
  <c r="AI84" i="26"/>
  <c r="AN84" i="26" s="1"/>
  <c r="V140" i="26"/>
  <c r="V138" i="38"/>
  <c r="AA138" i="38" s="1"/>
  <c r="AI138" i="38"/>
  <c r="AN138" i="38" s="1"/>
  <c r="AI84" i="38"/>
  <c r="AN84" i="38" s="1"/>
  <c r="V84" i="38"/>
  <c r="AA84" i="38" s="1"/>
  <c r="AI144" i="38"/>
  <c r="AN144" i="38" s="1"/>
  <c r="V144" i="38"/>
  <c r="AA144" i="38" s="1"/>
  <c r="AI142" i="38"/>
  <c r="AN142" i="38" s="1"/>
  <c r="V142" i="38"/>
  <c r="AA142" i="38" s="1"/>
  <c r="AI150" i="38"/>
  <c r="AN150" i="38" s="1"/>
  <c r="V150" i="38"/>
  <c r="AA150" i="38" s="1"/>
  <c r="AI147" i="38"/>
  <c r="AN147" i="38" s="1"/>
  <c r="V147" i="38"/>
  <c r="AA147" i="38" s="1"/>
  <c r="AI23" i="38"/>
  <c r="AN23" i="38" s="1"/>
  <c r="V23" i="38"/>
  <c r="AA23" i="38" s="1"/>
  <c r="AI68" i="38"/>
  <c r="AN68" i="38" s="1"/>
  <c r="V68" i="38"/>
  <c r="AA68" i="38" s="1"/>
  <c r="V22" i="38"/>
  <c r="AA22" i="38" s="1"/>
  <c r="AI22" i="38"/>
  <c r="AN22" i="38" s="1"/>
  <c r="AI39" i="38"/>
  <c r="AN39" i="38" s="1"/>
  <c r="V39" i="38"/>
  <c r="AA39" i="38" s="1"/>
  <c r="AI87" i="38"/>
  <c r="AN87" i="38" s="1"/>
  <c r="V87" i="38"/>
  <c r="AA87" i="38" s="1"/>
  <c r="V143" i="38"/>
  <c r="AA143" i="38" s="1"/>
  <c r="AI143" i="38"/>
  <c r="AN143" i="38" s="1"/>
  <c r="AI24" i="38"/>
  <c r="AN24" i="38" s="1"/>
  <c r="V24" i="38"/>
  <c r="AA24" i="38" s="1"/>
  <c r="AI18" i="38"/>
  <c r="AN18" i="38" s="1"/>
  <c r="V18" i="38"/>
  <c r="AA18" i="38" s="1"/>
  <c r="V151" i="38"/>
  <c r="AA151" i="38" s="1"/>
  <c r="AI151" i="38"/>
  <c r="AN151" i="38" s="1"/>
  <c r="AI141" i="38"/>
  <c r="AN141" i="38" s="1"/>
  <c r="V141" i="38"/>
  <c r="AA141" i="38" s="1"/>
  <c r="AI149" i="38"/>
  <c r="AN149" i="38" s="1"/>
  <c r="V149" i="38"/>
  <c r="AA149" i="38" s="1"/>
  <c r="AI139" i="38"/>
  <c r="AN139" i="38" s="1"/>
  <c r="V139" i="38"/>
  <c r="AA139" i="38" s="1"/>
  <c r="AI140" i="38"/>
  <c r="AN140" i="38" s="1"/>
  <c r="V140" i="38"/>
  <c r="AA140" i="38" s="1"/>
  <c r="V146" i="38"/>
  <c r="AA146" i="38" s="1"/>
  <c r="AI146" i="38"/>
  <c r="AN146" i="38" s="1"/>
  <c r="AI69" i="38"/>
  <c r="AN69" i="38" s="1"/>
  <c r="V69" i="38"/>
  <c r="AA69" i="38" s="1"/>
  <c r="V65" i="38"/>
  <c r="AA65" i="38" s="1"/>
  <c r="AI65" i="38"/>
  <c r="AN65" i="38" s="1"/>
  <c r="V145" i="38"/>
  <c r="AA145" i="38" s="1"/>
  <c r="AI145" i="38"/>
  <c r="AN145" i="38" s="1"/>
  <c r="AI148" i="38"/>
  <c r="AN148" i="38" s="1"/>
  <c r="V148" i="38"/>
  <c r="AA148" i="38" s="1"/>
  <c r="V20" i="38"/>
  <c r="AA20" i="38" s="1"/>
  <c r="AI20" i="38"/>
  <c r="AN20" i="38" s="1"/>
  <c r="V21" i="38"/>
  <c r="AA21" i="38" s="1"/>
  <c r="AI21" i="38"/>
  <c r="AN21" i="38" s="1"/>
  <c r="AI19" i="38"/>
  <c r="AN19" i="38" s="1"/>
  <c r="V19" i="38"/>
  <c r="AA19" i="38" s="1"/>
  <c r="V66" i="38"/>
  <c r="AA66" i="38" s="1"/>
  <c r="AI66" i="38"/>
  <c r="AN66" i="38" s="1"/>
  <c r="V67" i="38"/>
  <c r="AA67" i="38" s="1"/>
  <c r="AI67" i="38"/>
  <c r="AN67" i="38" s="1"/>
  <c r="V70" i="38"/>
  <c r="AA70" i="38" s="1"/>
  <c r="AI70" i="38"/>
  <c r="AN70" i="38" s="1"/>
  <c r="AI71" i="38"/>
  <c r="AN71" i="38" s="1"/>
  <c r="V71" i="38"/>
  <c r="AA71" i="38" s="1"/>
  <c r="AB18" i="26"/>
  <c r="AB84" i="26"/>
  <c r="AB138" i="26"/>
  <c r="AI70" i="26"/>
  <c r="AN70" i="26" s="1"/>
  <c r="AI145" i="26"/>
  <c r="AN145" i="26" s="1"/>
  <c r="V87" i="26"/>
  <c r="AA87" i="26" s="1"/>
  <c r="AI67" i="26"/>
  <c r="AN67" i="26" s="1"/>
  <c r="AI22" i="26"/>
  <c r="AN22" i="26" s="1"/>
  <c r="AI23" i="26"/>
  <c r="AN23" i="26" s="1"/>
  <c r="AI142" i="26"/>
  <c r="AN142" i="26" s="1"/>
  <c r="AI151" i="26"/>
  <c r="AN151" i="26" s="1"/>
  <c r="AI139" i="26"/>
  <c r="AN139" i="26" s="1"/>
  <c r="AI19" i="26"/>
  <c r="AN19" i="26" s="1"/>
  <c r="V71" i="26"/>
  <c r="V141" i="26"/>
  <c r="V66" i="26"/>
  <c r="V65" i="26"/>
  <c r="AA65" i="26" s="1"/>
  <c r="V21" i="26"/>
  <c r="AI150" i="26"/>
  <c r="AN150" i="26" s="1"/>
  <c r="V147" i="26"/>
  <c r="V39" i="26"/>
  <c r="AI146" i="26"/>
  <c r="AN146" i="26" s="1"/>
  <c r="AI18" i="26"/>
  <c r="AN18" i="26" s="1"/>
  <c r="V69" i="26"/>
  <c r="V144" i="26"/>
  <c r="AI24" i="26"/>
  <c r="AN24" i="26" s="1"/>
  <c r="AI148" i="26"/>
  <c r="AN148" i="26" s="1"/>
  <c r="AI68" i="26"/>
  <c r="AN68" i="26" s="1"/>
  <c r="AI20" i="26"/>
  <c r="AN20" i="26" s="1"/>
  <c r="V143" i="26"/>
  <c r="V149" i="26"/>
  <c r="AB20" i="26"/>
  <c r="AB24" i="26" l="1"/>
  <c r="AB145" i="26"/>
  <c r="AB142" i="26"/>
  <c r="AB150" i="26"/>
  <c r="AB23" i="26"/>
  <c r="AB148" i="26"/>
  <c r="AB19" i="26"/>
  <c r="AB68" i="26"/>
  <c r="AB146" i="26"/>
  <c r="AB22" i="26"/>
  <c r="AB139" i="26"/>
  <c r="AB67" i="26"/>
  <c r="AB70" i="26"/>
  <c r="AB151" i="26"/>
  <c r="AA71" i="26"/>
  <c r="AA143" i="26"/>
  <c r="AA144" i="26"/>
  <c r="AA69" i="26"/>
  <c r="AA147" i="26"/>
  <c r="AA149" i="26"/>
  <c r="AA141" i="26"/>
  <c r="AA21" i="26"/>
  <c r="AA140" i="26"/>
  <c r="AA39" i="26"/>
  <c r="AA66" i="26"/>
  <c r="AB145" i="38"/>
  <c r="AB151" i="38"/>
  <c r="AB139" i="38"/>
  <c r="AB147" i="38"/>
  <c r="AB84" i="38"/>
  <c r="AB149" i="38"/>
  <c r="AB150" i="38"/>
  <c r="AB148" i="38"/>
  <c r="AB87" i="38"/>
  <c r="AB138" i="38"/>
  <c r="AB141" i="38"/>
  <c r="AB142" i="38"/>
  <c r="AB146" i="38"/>
  <c r="AB143" i="38"/>
  <c r="AB140" i="38"/>
  <c r="AB144" i="38"/>
  <c r="AB69" i="38"/>
  <c r="AB24" i="38"/>
  <c r="AB70" i="38"/>
  <c r="AB68" i="38"/>
  <c r="AB39" i="38"/>
  <c r="AB65" i="38"/>
  <c r="AB67" i="38"/>
  <c r="AB20" i="38"/>
  <c r="AB22" i="38"/>
  <c r="AB66" i="38"/>
  <c r="AB21" i="38"/>
  <c r="AB71" i="38"/>
  <c r="AB19" i="38"/>
  <c r="AB23" i="38"/>
  <c r="AB65" i="26"/>
  <c r="AB18" i="38"/>
  <c r="AB87" i="26"/>
  <c r="AB147" i="26" l="1"/>
  <c r="AB69" i="26"/>
  <c r="AB21" i="26"/>
  <c r="AB144" i="26"/>
  <c r="AB71" i="26"/>
  <c r="AB149" i="26"/>
  <c r="AB66" i="26"/>
  <c r="AB143" i="26"/>
  <c r="AB39" i="26"/>
  <c r="AB140" i="26"/>
  <c r="AB141" i="26"/>
  <c r="F13" i="13"/>
  <c r="G13" i="28" l="1"/>
  <c r="G14" i="28"/>
  <c r="G15" i="28"/>
  <c r="G16" i="28"/>
  <c r="G12" i="28"/>
  <c r="G11" i="28"/>
  <c r="F13" i="28"/>
  <c r="F14" i="28"/>
  <c r="F15" i="28"/>
  <c r="F12" i="28"/>
  <c r="F11" i="28"/>
  <c r="F16" i="28"/>
  <c r="E13" i="28"/>
  <c r="E14" i="28"/>
  <c r="E15" i="28"/>
  <c r="E16" i="28"/>
  <c r="E12" i="28"/>
  <c r="E11" i="28"/>
  <c r="D11" i="28"/>
  <c r="D12" i="28"/>
  <c r="D13" i="28"/>
  <c r="D14" i="28"/>
  <c r="D15" i="28"/>
  <c r="D16" i="28"/>
  <c r="I10" i="18"/>
  <c r="E35" i="28"/>
  <c r="J143" i="34"/>
  <c r="I143" i="34"/>
  <c r="H143" i="34"/>
  <c r="G143" i="34"/>
  <c r="J142" i="34"/>
  <c r="I142" i="34"/>
  <c r="H142" i="34"/>
  <c r="G142" i="34"/>
  <c r="J141" i="34"/>
  <c r="I141" i="34"/>
  <c r="H141" i="34"/>
  <c r="G141" i="34"/>
  <c r="J140" i="34"/>
  <c r="I140" i="34"/>
  <c r="H140" i="34"/>
  <c r="G140" i="34"/>
  <c r="J139" i="34"/>
  <c r="I139" i="34"/>
  <c r="H139" i="34"/>
  <c r="G139" i="34"/>
  <c r="J138" i="34"/>
  <c r="I138" i="34"/>
  <c r="H138" i="34"/>
  <c r="G138" i="34"/>
  <c r="J137" i="34"/>
  <c r="I137" i="34"/>
  <c r="H137" i="34"/>
  <c r="G137" i="34"/>
  <c r="J136" i="34"/>
  <c r="I136" i="34"/>
  <c r="H136" i="34"/>
  <c r="G136" i="34"/>
  <c r="J135" i="34"/>
  <c r="I135" i="34"/>
  <c r="H135" i="34"/>
  <c r="G135" i="34"/>
  <c r="J134" i="34"/>
  <c r="I134" i="34"/>
  <c r="H134" i="34"/>
  <c r="G134" i="34"/>
  <c r="J133" i="34"/>
  <c r="I133" i="34"/>
  <c r="H133" i="34"/>
  <c r="G133" i="34"/>
  <c r="J132" i="34"/>
  <c r="I132" i="34"/>
  <c r="H132" i="34"/>
  <c r="G132" i="34"/>
  <c r="J131" i="34"/>
  <c r="I131" i="34"/>
  <c r="H131" i="34"/>
  <c r="G131" i="34"/>
  <c r="J130" i="34"/>
  <c r="I130" i="34"/>
  <c r="H130" i="34"/>
  <c r="G130" i="34"/>
  <c r="J129" i="34"/>
  <c r="I129" i="34"/>
  <c r="H129" i="34"/>
  <c r="G129" i="34"/>
  <c r="J128" i="34"/>
  <c r="I128" i="34"/>
  <c r="H128" i="34"/>
  <c r="G128" i="34"/>
  <c r="J127" i="34"/>
  <c r="I127" i="34"/>
  <c r="H127" i="34"/>
  <c r="G127" i="34"/>
  <c r="J126" i="34"/>
  <c r="I126" i="34"/>
  <c r="H126" i="34"/>
  <c r="G126" i="34"/>
  <c r="J125" i="34"/>
  <c r="I125" i="34"/>
  <c r="H125" i="34"/>
  <c r="G125" i="34"/>
  <c r="J124" i="34"/>
  <c r="I124" i="34"/>
  <c r="H124" i="34"/>
  <c r="G124" i="34"/>
  <c r="J123" i="34"/>
  <c r="I123" i="34"/>
  <c r="H123" i="34"/>
  <c r="G123" i="34"/>
  <c r="J122" i="34"/>
  <c r="I122" i="34"/>
  <c r="H122" i="34"/>
  <c r="G122" i="34"/>
  <c r="J121" i="34"/>
  <c r="I121" i="34"/>
  <c r="H121" i="34"/>
  <c r="G121" i="34"/>
  <c r="J120" i="34"/>
  <c r="I120" i="34"/>
  <c r="H120" i="34"/>
  <c r="G120" i="34"/>
  <c r="J119" i="34"/>
  <c r="I119" i="34"/>
  <c r="H119" i="34"/>
  <c r="G119" i="34"/>
  <c r="J118" i="34"/>
  <c r="I118" i="34"/>
  <c r="H118" i="34"/>
  <c r="G118" i="34"/>
  <c r="J117" i="34"/>
  <c r="I117" i="34"/>
  <c r="H117" i="34"/>
  <c r="G117" i="34"/>
  <c r="J116" i="34"/>
  <c r="I116" i="34"/>
  <c r="H116" i="34"/>
  <c r="G116" i="34"/>
  <c r="J115" i="34"/>
  <c r="I115" i="34"/>
  <c r="H115" i="34"/>
  <c r="G115" i="34"/>
  <c r="J114" i="34"/>
  <c r="I114" i="34"/>
  <c r="H114" i="34"/>
  <c r="G114" i="34"/>
  <c r="J113" i="34"/>
  <c r="I113" i="34"/>
  <c r="H113" i="34"/>
  <c r="G113" i="34"/>
  <c r="J112" i="34"/>
  <c r="I112" i="34"/>
  <c r="H112" i="34"/>
  <c r="G112" i="34"/>
  <c r="J111" i="34"/>
  <c r="I111" i="34"/>
  <c r="H111" i="34"/>
  <c r="G111" i="34"/>
  <c r="J110" i="34"/>
  <c r="I110" i="34"/>
  <c r="H110" i="34"/>
  <c r="G110" i="34"/>
  <c r="J109" i="34"/>
  <c r="I109" i="34"/>
  <c r="H109" i="34"/>
  <c r="G109" i="34"/>
  <c r="J108" i="34"/>
  <c r="I108" i="34"/>
  <c r="H108" i="34"/>
  <c r="G108" i="34"/>
  <c r="J107" i="34"/>
  <c r="I107" i="34"/>
  <c r="H107" i="34"/>
  <c r="G107" i="34"/>
  <c r="J106" i="34"/>
  <c r="I106" i="34"/>
  <c r="H106" i="34"/>
  <c r="G106" i="34"/>
  <c r="J105" i="34"/>
  <c r="I105" i="34"/>
  <c r="H105" i="34"/>
  <c r="G105" i="34"/>
  <c r="J104" i="34"/>
  <c r="I104" i="34"/>
  <c r="H104" i="34"/>
  <c r="G104" i="34"/>
  <c r="J103" i="34"/>
  <c r="I103" i="34"/>
  <c r="H103" i="34"/>
  <c r="G103" i="34"/>
  <c r="J102" i="34"/>
  <c r="I102" i="34"/>
  <c r="H102" i="34"/>
  <c r="G102" i="34"/>
  <c r="J101" i="34"/>
  <c r="I101" i="34"/>
  <c r="H101" i="34"/>
  <c r="G101" i="34"/>
  <c r="J100" i="34"/>
  <c r="I100" i="34"/>
  <c r="H100" i="34"/>
  <c r="G100" i="34"/>
  <c r="J99" i="34"/>
  <c r="I99" i="34"/>
  <c r="H99" i="34"/>
  <c r="G99" i="34"/>
  <c r="J98" i="34"/>
  <c r="I98" i="34"/>
  <c r="H98" i="34"/>
  <c r="G98" i="34"/>
  <c r="J97" i="34"/>
  <c r="I97" i="34"/>
  <c r="H97" i="34"/>
  <c r="G97" i="34"/>
  <c r="J96" i="34"/>
  <c r="I96" i="34"/>
  <c r="H96" i="34"/>
  <c r="G96" i="34"/>
  <c r="J95" i="34"/>
  <c r="I95" i="34"/>
  <c r="H95" i="34"/>
  <c r="G95" i="34"/>
  <c r="J94" i="34"/>
  <c r="I94" i="34"/>
  <c r="H94" i="34"/>
  <c r="G94" i="34"/>
  <c r="J93" i="34"/>
  <c r="I93" i="34"/>
  <c r="H93" i="34"/>
  <c r="G93" i="34"/>
  <c r="J92" i="34"/>
  <c r="I92" i="34"/>
  <c r="H92" i="34"/>
  <c r="G92" i="34"/>
  <c r="J91" i="34"/>
  <c r="I91" i="34"/>
  <c r="H91" i="34"/>
  <c r="G91" i="34"/>
  <c r="J90" i="34"/>
  <c r="I90" i="34"/>
  <c r="H90" i="34"/>
  <c r="G90" i="34"/>
  <c r="J89" i="34"/>
  <c r="I89" i="34"/>
  <c r="H89" i="34"/>
  <c r="G89" i="34"/>
  <c r="J88" i="34"/>
  <c r="I88" i="34"/>
  <c r="H88" i="34"/>
  <c r="G88" i="34"/>
  <c r="J87" i="34"/>
  <c r="I87" i="34"/>
  <c r="H87" i="34"/>
  <c r="G87" i="34"/>
  <c r="J86" i="34"/>
  <c r="I86" i="34"/>
  <c r="H86" i="34"/>
  <c r="G86" i="34"/>
  <c r="J85" i="34"/>
  <c r="I85" i="34"/>
  <c r="H85" i="34"/>
  <c r="G85" i="34"/>
  <c r="J84" i="34"/>
  <c r="I84" i="34"/>
  <c r="H84" i="34"/>
  <c r="G84" i="34"/>
  <c r="J83" i="34"/>
  <c r="I83" i="34"/>
  <c r="H83" i="34"/>
  <c r="G83" i="34"/>
  <c r="J82" i="34"/>
  <c r="I82" i="34"/>
  <c r="H82" i="34"/>
  <c r="G82" i="34"/>
  <c r="J81" i="34"/>
  <c r="I81" i="34"/>
  <c r="H81" i="34"/>
  <c r="G81" i="34"/>
  <c r="J80" i="34"/>
  <c r="I80" i="34"/>
  <c r="H80" i="34"/>
  <c r="G80" i="34"/>
  <c r="J79" i="34"/>
  <c r="I79" i="34"/>
  <c r="H79" i="34"/>
  <c r="G79" i="34"/>
  <c r="J78" i="34"/>
  <c r="I78" i="34"/>
  <c r="H78" i="34"/>
  <c r="G78" i="34"/>
  <c r="J77" i="34"/>
  <c r="I77" i="34"/>
  <c r="H77" i="34"/>
  <c r="G77" i="34"/>
  <c r="J76" i="34"/>
  <c r="I76" i="34"/>
  <c r="H76" i="34"/>
  <c r="G76" i="34"/>
  <c r="J75" i="34"/>
  <c r="I75" i="34"/>
  <c r="H75" i="34"/>
  <c r="G75" i="34"/>
  <c r="J74" i="34"/>
  <c r="I74" i="34"/>
  <c r="H74" i="34"/>
  <c r="G74" i="34"/>
  <c r="J73" i="34"/>
  <c r="I73" i="34"/>
  <c r="H73" i="34"/>
  <c r="G73" i="34"/>
  <c r="J72" i="34"/>
  <c r="I72" i="34"/>
  <c r="H72" i="34"/>
  <c r="G72" i="34"/>
  <c r="J71" i="34"/>
  <c r="I71" i="34"/>
  <c r="H71" i="34"/>
  <c r="G71" i="34"/>
  <c r="J70" i="34"/>
  <c r="I70" i="34"/>
  <c r="H70" i="34"/>
  <c r="G70" i="34"/>
  <c r="J69" i="34"/>
  <c r="I69" i="34"/>
  <c r="H69" i="34"/>
  <c r="G69" i="34"/>
  <c r="J68" i="34"/>
  <c r="I68" i="34"/>
  <c r="H68" i="34"/>
  <c r="G68" i="34"/>
  <c r="J67" i="34"/>
  <c r="I67" i="34"/>
  <c r="H67" i="34"/>
  <c r="G67" i="34"/>
  <c r="J66" i="34"/>
  <c r="I66" i="34"/>
  <c r="H66" i="34"/>
  <c r="G66" i="34"/>
  <c r="J65" i="34"/>
  <c r="I65" i="34"/>
  <c r="H65" i="34"/>
  <c r="G65" i="34"/>
  <c r="J64" i="34"/>
  <c r="I64" i="34"/>
  <c r="H64" i="34"/>
  <c r="G64" i="34"/>
  <c r="J63" i="34"/>
  <c r="I63" i="34"/>
  <c r="H63" i="34"/>
  <c r="G63" i="34"/>
  <c r="J62" i="34"/>
  <c r="I62" i="34"/>
  <c r="H62" i="34"/>
  <c r="G62" i="34"/>
  <c r="J61" i="34"/>
  <c r="I61" i="34"/>
  <c r="H61" i="34"/>
  <c r="G61" i="34"/>
  <c r="J60" i="34"/>
  <c r="I60" i="34"/>
  <c r="H60" i="34"/>
  <c r="G60" i="34"/>
  <c r="J59" i="34"/>
  <c r="I59" i="34"/>
  <c r="H59" i="34"/>
  <c r="G59" i="34"/>
  <c r="J58" i="34"/>
  <c r="I58" i="34"/>
  <c r="H58" i="34"/>
  <c r="G58" i="34"/>
  <c r="J57" i="34"/>
  <c r="I57" i="34"/>
  <c r="H57" i="34"/>
  <c r="G57" i="34"/>
  <c r="J56" i="34"/>
  <c r="I56" i="34"/>
  <c r="H56" i="34"/>
  <c r="G56" i="34"/>
  <c r="J55" i="34"/>
  <c r="I55" i="34"/>
  <c r="H55" i="34"/>
  <c r="G55" i="34"/>
  <c r="J54" i="34"/>
  <c r="I54" i="34"/>
  <c r="H54" i="34"/>
  <c r="G54" i="34"/>
  <c r="J53" i="34"/>
  <c r="I53" i="34"/>
  <c r="H53" i="34"/>
  <c r="G53" i="34"/>
  <c r="J52" i="34"/>
  <c r="I52" i="34"/>
  <c r="H52" i="34"/>
  <c r="G52" i="34"/>
  <c r="J51" i="34"/>
  <c r="I51" i="34"/>
  <c r="H51" i="34"/>
  <c r="G51" i="34"/>
  <c r="J50" i="34"/>
  <c r="I50" i="34"/>
  <c r="H50" i="34"/>
  <c r="G50" i="34"/>
  <c r="J49" i="34"/>
  <c r="I49" i="34"/>
  <c r="H49" i="34"/>
  <c r="G49" i="34"/>
  <c r="J48" i="34"/>
  <c r="I48" i="34"/>
  <c r="H48" i="34"/>
  <c r="G48" i="34"/>
  <c r="J47" i="34"/>
  <c r="I47" i="34"/>
  <c r="H47" i="34"/>
  <c r="G47" i="34"/>
  <c r="J46" i="34"/>
  <c r="I46" i="34"/>
  <c r="H46" i="34"/>
  <c r="G46" i="34"/>
  <c r="J45" i="34"/>
  <c r="I45" i="34"/>
  <c r="H45" i="34"/>
  <c r="G45" i="34"/>
  <c r="J44" i="34"/>
  <c r="I44" i="34"/>
  <c r="H44" i="34"/>
  <c r="G44" i="34"/>
  <c r="J43" i="34"/>
  <c r="I43" i="34"/>
  <c r="H43" i="34"/>
  <c r="G43" i="34"/>
  <c r="J42" i="34"/>
  <c r="I42" i="34"/>
  <c r="H42" i="34"/>
  <c r="G42" i="34"/>
  <c r="J41" i="34"/>
  <c r="I41" i="34"/>
  <c r="H41" i="34"/>
  <c r="G41" i="34"/>
  <c r="J40" i="34"/>
  <c r="I40" i="34"/>
  <c r="H40" i="34"/>
  <c r="G40" i="34"/>
  <c r="J39" i="34"/>
  <c r="I39" i="34"/>
  <c r="H39" i="34"/>
  <c r="G39" i="34"/>
  <c r="J38" i="34"/>
  <c r="I38" i="34"/>
  <c r="H38" i="34"/>
  <c r="G38" i="34"/>
  <c r="J37" i="34"/>
  <c r="I37" i="34"/>
  <c r="H37" i="34"/>
  <c r="G37" i="34"/>
  <c r="J36" i="34"/>
  <c r="I36" i="34"/>
  <c r="H36" i="34"/>
  <c r="G36" i="34"/>
  <c r="J35" i="34"/>
  <c r="I35" i="34"/>
  <c r="H35" i="34"/>
  <c r="G35" i="34"/>
  <c r="J34" i="34"/>
  <c r="I34" i="34"/>
  <c r="H34" i="34"/>
  <c r="G34" i="34"/>
  <c r="J33" i="34"/>
  <c r="I33" i="34"/>
  <c r="H33" i="34"/>
  <c r="G33" i="34"/>
  <c r="J32" i="34"/>
  <c r="I32" i="34"/>
  <c r="H32" i="34"/>
  <c r="G32" i="34"/>
  <c r="J31" i="34"/>
  <c r="I31" i="34"/>
  <c r="H31" i="34"/>
  <c r="G31" i="34"/>
  <c r="J30" i="34"/>
  <c r="I30" i="34"/>
  <c r="H30" i="34"/>
  <c r="G30" i="34"/>
  <c r="J29" i="34"/>
  <c r="I29" i="34"/>
  <c r="H29" i="34"/>
  <c r="G29" i="34"/>
  <c r="J28" i="34"/>
  <c r="I28" i="34"/>
  <c r="H28" i="34"/>
  <c r="G28" i="34"/>
  <c r="J27" i="34"/>
  <c r="I27" i="34"/>
  <c r="H27" i="34"/>
  <c r="G27" i="34"/>
  <c r="J26" i="34"/>
  <c r="I26" i="34"/>
  <c r="H26" i="34"/>
  <c r="G26" i="34"/>
  <c r="J25" i="34"/>
  <c r="I25" i="34"/>
  <c r="H25" i="34"/>
  <c r="G25" i="34"/>
  <c r="J24" i="34"/>
  <c r="I24" i="34"/>
  <c r="H24" i="34"/>
  <c r="G24" i="34"/>
  <c r="J23" i="34"/>
  <c r="I23" i="34"/>
  <c r="H23" i="34"/>
  <c r="G23" i="34"/>
  <c r="J22" i="34"/>
  <c r="I22" i="34"/>
  <c r="H22" i="34"/>
  <c r="G22" i="34"/>
  <c r="J21" i="34"/>
  <c r="I21" i="34"/>
  <c r="H21" i="34"/>
  <c r="G21" i="34"/>
  <c r="J20" i="34"/>
  <c r="I20" i="34"/>
  <c r="H20" i="34"/>
  <c r="G20" i="34"/>
  <c r="J19" i="34"/>
  <c r="I19" i="34"/>
  <c r="H19" i="34"/>
  <c r="G19" i="34"/>
  <c r="J18" i="34"/>
  <c r="I18" i="34"/>
  <c r="H18" i="34"/>
  <c r="G18" i="34"/>
  <c r="J17" i="34"/>
  <c r="I17" i="34"/>
  <c r="H17" i="34"/>
  <c r="G17" i="34"/>
  <c r="J16" i="34"/>
  <c r="I16" i="34"/>
  <c r="H16" i="34"/>
  <c r="G16" i="34"/>
  <c r="J15" i="34"/>
  <c r="I15" i="34"/>
  <c r="H15" i="34"/>
  <c r="G15" i="34"/>
  <c r="J14" i="34"/>
  <c r="I14" i="34"/>
  <c r="H14" i="34"/>
  <c r="G14" i="34"/>
  <c r="K14" i="34" s="1"/>
  <c r="L14" i="34" s="1"/>
  <c r="E134" i="33"/>
  <c r="E133" i="33"/>
  <c r="E132" i="33"/>
  <c r="E131" i="33"/>
  <c r="E130" i="33"/>
  <c r="E129" i="33"/>
  <c r="E128" i="33"/>
  <c r="E127" i="33"/>
  <c r="E126" i="33"/>
  <c r="E125" i="33"/>
  <c r="E124" i="33"/>
  <c r="E123" i="33"/>
  <c r="E122" i="33"/>
  <c r="E121" i="33"/>
  <c r="E120" i="33"/>
  <c r="E119" i="33"/>
  <c r="E118" i="33"/>
  <c r="E117" i="33"/>
  <c r="E116" i="33"/>
  <c r="E115" i="33"/>
  <c r="E114" i="33"/>
  <c r="E113" i="33"/>
  <c r="E112" i="33"/>
  <c r="E111" i="33"/>
  <c r="E110" i="33"/>
  <c r="E109" i="33"/>
  <c r="E108" i="33"/>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8" i="33"/>
  <c r="E67" i="33"/>
  <c r="E66" i="33"/>
  <c r="E65" i="33"/>
  <c r="E64" i="33"/>
  <c r="E63" i="33"/>
  <c r="E62" i="33"/>
  <c r="E61" i="33"/>
  <c r="E60" i="33"/>
  <c r="E59" i="33"/>
  <c r="E58" i="33"/>
  <c r="E57" i="33"/>
  <c r="E56" i="33"/>
  <c r="E55" i="33"/>
  <c r="E54" i="33"/>
  <c r="E53" i="33"/>
  <c r="E52" i="33"/>
  <c r="E51" i="33"/>
  <c r="E50" i="33"/>
  <c r="E49" i="33"/>
  <c r="E48" i="33"/>
  <c r="E47" i="33"/>
  <c r="E46" i="33"/>
  <c r="E45" i="33"/>
  <c r="E44" i="33"/>
  <c r="E43" i="33"/>
  <c r="E42" i="33"/>
  <c r="E41" i="33"/>
  <c r="E40" i="33"/>
  <c r="E39" i="33"/>
  <c r="E38" i="33"/>
  <c r="E37" i="33"/>
  <c r="E36" i="33"/>
  <c r="E35" i="33"/>
  <c r="E34" i="33"/>
  <c r="E33" i="33"/>
  <c r="E32" i="33"/>
  <c r="E31" i="33"/>
  <c r="E30" i="33"/>
  <c r="E29" i="33"/>
  <c r="E28" i="33"/>
  <c r="E27" i="33"/>
  <c r="E26" i="33"/>
  <c r="E25" i="33"/>
  <c r="E24" i="33"/>
  <c r="E23" i="33"/>
  <c r="E22" i="33"/>
  <c r="E21" i="33"/>
  <c r="E20" i="33"/>
  <c r="E19" i="33"/>
  <c r="E18" i="33"/>
  <c r="E17" i="33"/>
  <c r="E16" i="33"/>
  <c r="E15" i="33"/>
  <c r="E14" i="33"/>
  <c r="E13" i="33"/>
  <c r="E12" i="33"/>
  <c r="E11" i="33"/>
  <c r="E10" i="33"/>
  <c r="E9" i="33"/>
  <c r="E8" i="33"/>
  <c r="E7" i="33"/>
  <c r="E6" i="33"/>
  <c r="D5" i="33"/>
  <c r="E5" i="33" s="1"/>
  <c r="E11" i="13"/>
  <c r="E12" i="13"/>
  <c r="E13" i="13"/>
  <c r="E14" i="13"/>
  <c r="E15" i="13"/>
  <c r="E16" i="13"/>
  <c r="G11" i="13"/>
  <c r="G12" i="13"/>
  <c r="G13" i="13"/>
  <c r="G14" i="13"/>
  <c r="G15" i="13"/>
  <c r="G16" i="13"/>
  <c r="E35" i="13"/>
  <c r="F14" i="13"/>
  <c r="F15" i="13"/>
  <c r="F16" i="13"/>
  <c r="F12" i="13"/>
  <c r="D16" i="13"/>
  <c r="D15" i="13"/>
  <c r="D14" i="13"/>
  <c r="D13" i="13"/>
  <c r="D12" i="13"/>
  <c r="F11" i="13"/>
  <c r="D11" i="13"/>
  <c r="AO19" i="38" l="1"/>
  <c r="AO18" i="38"/>
  <c r="AO23" i="38"/>
  <c r="AO69" i="38"/>
  <c r="AO68" i="38"/>
  <c r="AO20" i="38"/>
  <c r="AO138" i="38"/>
  <c r="AO144" i="38"/>
  <c r="AO66" i="38"/>
  <c r="AO70" i="38"/>
  <c r="AO141" i="38"/>
  <c r="AO65" i="38"/>
  <c r="AO143" i="38"/>
  <c r="AO147" i="38"/>
  <c r="AO140" i="38"/>
  <c r="AO67" i="38"/>
  <c r="AO148" i="38"/>
  <c r="AO146" i="38"/>
  <c r="AO150" i="38"/>
  <c r="AO71" i="38"/>
  <c r="AO84" i="38"/>
  <c r="AO145" i="38"/>
  <c r="AO142" i="38"/>
  <c r="AO139" i="38"/>
  <c r="AO22" i="38"/>
  <c r="AO39" i="38"/>
  <c r="AO151" i="38"/>
  <c r="AO149" i="38"/>
  <c r="AO21" i="38"/>
  <c r="AO87" i="38"/>
  <c r="AO24" i="38"/>
  <c r="AO138" i="26"/>
  <c r="AO84" i="26"/>
  <c r="AO18" i="26"/>
  <c r="AO65" i="26"/>
  <c r="AO146" i="26"/>
  <c r="AO23" i="26"/>
  <c r="AO22" i="26"/>
  <c r="AO24" i="26"/>
  <c r="AO19" i="26"/>
  <c r="AO20" i="26"/>
  <c r="AO67" i="26"/>
  <c r="AO70" i="26"/>
  <c r="AO148" i="26"/>
  <c r="AO68" i="26"/>
  <c r="AO151" i="26"/>
  <c r="AO87" i="26"/>
  <c r="AO142" i="26"/>
  <c r="AO139" i="26"/>
  <c r="AO145" i="26"/>
  <c r="AO150" i="26"/>
  <c r="AO140" i="26"/>
  <c r="AO69" i="26"/>
  <c r="AO39" i="26"/>
  <c r="AO144" i="26"/>
  <c r="AO66" i="26"/>
  <c r="AO141" i="26"/>
  <c r="AO143" i="26"/>
  <c r="AO149" i="26"/>
  <c r="AO147" i="26"/>
  <c r="AO71" i="26"/>
  <c r="AO21" i="26"/>
  <c r="K17" i="34"/>
  <c r="L17" i="34" s="1"/>
  <c r="K47" i="34"/>
  <c r="L47" i="34" s="1"/>
  <c r="K74" i="34"/>
  <c r="L74" i="34" s="1"/>
  <c r="K101" i="34"/>
  <c r="L101" i="34" s="1"/>
  <c r="K131" i="34"/>
  <c r="L131" i="34" s="1"/>
  <c r="K33" i="34"/>
  <c r="L33" i="34" s="1"/>
  <c r="K66" i="34"/>
  <c r="L66" i="34" s="1"/>
  <c r="K32" i="34"/>
  <c r="L32" i="34" s="1"/>
  <c r="K71" i="34"/>
  <c r="L71" i="34" s="1"/>
  <c r="K104" i="34"/>
  <c r="L104" i="34" s="1"/>
  <c r="K140" i="34"/>
  <c r="L140" i="34" s="1"/>
  <c r="K41" i="34"/>
  <c r="L41" i="34" s="1"/>
  <c r="K65" i="34"/>
  <c r="L65" i="34" s="1"/>
  <c r="K95" i="34"/>
  <c r="L95" i="34" s="1"/>
  <c r="K125" i="34"/>
  <c r="L125" i="34" s="1"/>
  <c r="K38" i="34"/>
  <c r="L38" i="34" s="1"/>
  <c r="K62" i="34"/>
  <c r="L62" i="34" s="1"/>
  <c r="K89" i="34"/>
  <c r="L89" i="34" s="1"/>
  <c r="K116" i="34"/>
  <c r="L116" i="34" s="1"/>
  <c r="K143" i="34"/>
  <c r="L143" i="34" s="1"/>
  <c r="K35" i="34"/>
  <c r="L35" i="34" s="1"/>
  <c r="K77" i="34"/>
  <c r="L77" i="34" s="1"/>
  <c r="K113" i="34"/>
  <c r="L113" i="34" s="1"/>
  <c r="K15" i="34"/>
  <c r="L15" i="34" s="1"/>
  <c r="K42" i="34"/>
  <c r="L42" i="34" s="1"/>
  <c r="K57" i="34"/>
  <c r="L57" i="34" s="1"/>
  <c r="K69" i="34"/>
  <c r="L69" i="34" s="1"/>
  <c r="K75" i="34"/>
  <c r="L75" i="34" s="1"/>
  <c r="K81" i="34"/>
  <c r="L81" i="34" s="1"/>
  <c r="K90" i="34"/>
  <c r="L90" i="34" s="1"/>
  <c r="K93" i="34"/>
  <c r="L93" i="34" s="1"/>
  <c r="K96" i="34"/>
  <c r="L96" i="34" s="1"/>
  <c r="K99" i="34"/>
  <c r="L99" i="34" s="1"/>
  <c r="K102" i="34"/>
  <c r="L102" i="34" s="1"/>
  <c r="K105" i="34"/>
  <c r="L105" i="34" s="1"/>
  <c r="K108" i="34"/>
  <c r="L108" i="34" s="1"/>
  <c r="K111" i="34"/>
  <c r="L111" i="34" s="1"/>
  <c r="K114" i="34"/>
  <c r="L114" i="34" s="1"/>
  <c r="K117" i="34"/>
  <c r="L117" i="34" s="1"/>
  <c r="K120" i="34"/>
  <c r="L120" i="34" s="1"/>
  <c r="K123" i="34"/>
  <c r="L123" i="34" s="1"/>
  <c r="K126" i="34"/>
  <c r="L126" i="34" s="1"/>
  <c r="K129" i="34"/>
  <c r="L129" i="34" s="1"/>
  <c r="K132" i="34"/>
  <c r="L132" i="34" s="1"/>
  <c r="K135" i="34"/>
  <c r="L135" i="34" s="1"/>
  <c r="K138" i="34"/>
  <c r="L138" i="34" s="1"/>
  <c r="K141" i="34"/>
  <c r="L141" i="34" s="1"/>
  <c r="K20" i="34"/>
  <c r="L20" i="34" s="1"/>
  <c r="K50" i="34"/>
  <c r="L50" i="34" s="1"/>
  <c r="K80" i="34"/>
  <c r="L80" i="34" s="1"/>
  <c r="K107" i="34"/>
  <c r="L107" i="34" s="1"/>
  <c r="K134" i="34"/>
  <c r="L134" i="34" s="1"/>
  <c r="K24" i="34"/>
  <c r="L24" i="34" s="1"/>
  <c r="K48" i="34"/>
  <c r="L48" i="34" s="1"/>
  <c r="K87" i="34"/>
  <c r="L87" i="34" s="1"/>
  <c r="K29" i="34"/>
  <c r="L29" i="34" s="1"/>
  <c r="K59" i="34"/>
  <c r="L59" i="34" s="1"/>
  <c r="K92" i="34"/>
  <c r="L92" i="34" s="1"/>
  <c r="K128" i="34"/>
  <c r="L128" i="34" s="1"/>
  <c r="K27" i="34"/>
  <c r="L27" i="34" s="1"/>
  <c r="K36" i="34"/>
  <c r="L36" i="34" s="1"/>
  <c r="K51" i="34"/>
  <c r="L51" i="34" s="1"/>
  <c r="K63" i="34"/>
  <c r="L63" i="34" s="1"/>
  <c r="K78" i="34"/>
  <c r="L78" i="34" s="1"/>
  <c r="K23" i="34"/>
  <c r="L23" i="34" s="1"/>
  <c r="K53" i="34"/>
  <c r="L53" i="34" s="1"/>
  <c r="K83" i="34"/>
  <c r="L83" i="34" s="1"/>
  <c r="K110" i="34"/>
  <c r="L110" i="34" s="1"/>
  <c r="K137" i="34"/>
  <c r="L137" i="34" s="1"/>
  <c r="K21" i="34"/>
  <c r="L21" i="34" s="1"/>
  <c r="K45" i="34"/>
  <c r="L45" i="34" s="1"/>
  <c r="K84" i="34"/>
  <c r="L84" i="34" s="1"/>
  <c r="K26" i="34"/>
  <c r="L26" i="34" s="1"/>
  <c r="K56" i="34"/>
  <c r="L56" i="34" s="1"/>
  <c r="K86" i="34"/>
  <c r="L86" i="34" s="1"/>
  <c r="K122" i="34"/>
  <c r="L122" i="34" s="1"/>
  <c r="K30" i="34"/>
  <c r="L30" i="34" s="1"/>
  <c r="K39" i="34"/>
  <c r="L39" i="34" s="1"/>
  <c r="K54" i="34"/>
  <c r="L54" i="34" s="1"/>
  <c r="K72" i="34"/>
  <c r="L72" i="34" s="1"/>
  <c r="K16" i="34"/>
  <c r="L16" i="34" s="1"/>
  <c r="K19" i="34"/>
  <c r="L19" i="34" s="1"/>
  <c r="K22" i="34"/>
  <c r="L22" i="34" s="1"/>
  <c r="K25" i="34"/>
  <c r="L25" i="34" s="1"/>
  <c r="K28" i="34"/>
  <c r="L28" i="34" s="1"/>
  <c r="K31" i="34"/>
  <c r="L31" i="34" s="1"/>
  <c r="K34" i="34"/>
  <c r="L34" i="34" s="1"/>
  <c r="K37" i="34"/>
  <c r="L37" i="34" s="1"/>
  <c r="K40" i="34"/>
  <c r="L40" i="34" s="1"/>
  <c r="K43" i="34"/>
  <c r="L43" i="34" s="1"/>
  <c r="K46" i="34"/>
  <c r="L46" i="34" s="1"/>
  <c r="K49" i="34"/>
  <c r="L49" i="34" s="1"/>
  <c r="K52" i="34"/>
  <c r="L52" i="34" s="1"/>
  <c r="K55" i="34"/>
  <c r="L55" i="34" s="1"/>
  <c r="K58" i="34"/>
  <c r="L58" i="34" s="1"/>
  <c r="K61" i="34"/>
  <c r="L61" i="34" s="1"/>
  <c r="K64" i="34"/>
  <c r="L64" i="34" s="1"/>
  <c r="K67" i="34"/>
  <c r="L67" i="34" s="1"/>
  <c r="K70" i="34"/>
  <c r="L70" i="34" s="1"/>
  <c r="K73" i="34"/>
  <c r="L73" i="34" s="1"/>
  <c r="K76" i="34"/>
  <c r="L76" i="34" s="1"/>
  <c r="K79" i="34"/>
  <c r="L79" i="34" s="1"/>
  <c r="K82" i="34"/>
  <c r="L82" i="34" s="1"/>
  <c r="K85" i="34"/>
  <c r="L85" i="34" s="1"/>
  <c r="K88" i="34"/>
  <c r="L88" i="34" s="1"/>
  <c r="K91" i="34"/>
  <c r="L91" i="34" s="1"/>
  <c r="K94" i="34"/>
  <c r="L94" i="34" s="1"/>
  <c r="K97" i="34"/>
  <c r="L97" i="34" s="1"/>
  <c r="K100" i="34"/>
  <c r="L100" i="34" s="1"/>
  <c r="K103" i="34"/>
  <c r="L103" i="34" s="1"/>
  <c r="K106" i="34"/>
  <c r="L106" i="34" s="1"/>
  <c r="K109" i="34"/>
  <c r="L109" i="34" s="1"/>
  <c r="K112" i="34"/>
  <c r="L112" i="34" s="1"/>
  <c r="K115" i="34"/>
  <c r="L115" i="34" s="1"/>
  <c r="K118" i="34"/>
  <c r="L118" i="34" s="1"/>
  <c r="K121" i="34"/>
  <c r="L121" i="34" s="1"/>
  <c r="K124" i="34"/>
  <c r="L124" i="34" s="1"/>
  <c r="K127" i="34"/>
  <c r="L127" i="34" s="1"/>
  <c r="K130" i="34"/>
  <c r="L130" i="34" s="1"/>
  <c r="K133" i="34"/>
  <c r="L133" i="34" s="1"/>
  <c r="K136" i="34"/>
  <c r="L136" i="34" s="1"/>
  <c r="K139" i="34"/>
  <c r="L139" i="34" s="1"/>
  <c r="K142" i="34"/>
  <c r="L142" i="34" s="1"/>
  <c r="K44" i="34"/>
  <c r="L44" i="34" s="1"/>
  <c r="K68" i="34"/>
  <c r="L68" i="34" s="1"/>
  <c r="K98" i="34"/>
  <c r="L98" i="34" s="1"/>
  <c r="K119" i="34"/>
  <c r="L119" i="34" s="1"/>
  <c r="K18" i="34"/>
  <c r="L18" i="34" s="1"/>
  <c r="K60" i="34"/>
  <c r="L60" i="34" s="1"/>
  <c r="AV19" i="38"/>
  <c r="AV20" i="38"/>
  <c r="AV13" i="38"/>
  <c r="AV21" i="38"/>
  <c r="AV14" i="38"/>
  <c r="AV22" i="38"/>
  <c r="AV18" i="38"/>
  <c r="AV15" i="38"/>
  <c r="AV16" i="38"/>
  <c r="AV17" i="38"/>
  <c r="D55" i="6" l="1"/>
  <c r="E55" i="6" s="1"/>
  <c r="D54" i="6"/>
  <c r="E54" i="6" s="1"/>
  <c r="D53" i="6"/>
  <c r="E53" i="6" s="1"/>
  <c r="D52" i="6"/>
  <c r="E52" i="6" s="1"/>
  <c r="C51" i="6"/>
  <c r="D51" i="6" s="1"/>
  <c r="E51" i="6" s="1"/>
  <c r="AT22" i="26"/>
  <c r="AV22" i="26" s="1"/>
  <c r="AT21" i="26"/>
  <c r="AV21" i="26" s="1"/>
  <c r="AT20" i="26"/>
  <c r="AV20" i="26" s="1"/>
  <c r="AT19" i="26"/>
  <c r="AV19" i="26" s="1"/>
  <c r="AT18" i="26"/>
  <c r="AV18" i="26" s="1"/>
  <c r="AT17" i="26"/>
  <c r="AV17" i="26" s="1"/>
  <c r="AT16" i="26"/>
  <c r="AV16" i="26" s="1"/>
  <c r="AT15" i="26"/>
  <c r="AV15" i="26" s="1"/>
  <c r="AT14" i="26"/>
  <c r="AV14" i="26" s="1"/>
  <c r="AT13" i="26"/>
  <c r="AV13" i="26" s="1"/>
  <c r="C41" i="6"/>
  <c r="U13" i="38" l="1"/>
  <c r="U15" i="38"/>
  <c r="U16" i="38"/>
  <c r="U17" i="38"/>
  <c r="U14" i="38"/>
  <c r="U26" i="26"/>
  <c r="U38" i="26"/>
  <c r="U98" i="26"/>
  <c r="U27" i="26"/>
  <c r="U99" i="26"/>
  <c r="U28" i="26"/>
  <c r="U64" i="26"/>
  <c r="U100" i="26"/>
  <c r="U136" i="26"/>
  <c r="U102" i="26"/>
  <c r="U29" i="26"/>
  <c r="U101" i="26"/>
  <c r="U137" i="26"/>
  <c r="U31" i="26"/>
  <c r="U32" i="26"/>
  <c r="U35" i="26"/>
  <c r="U83" i="26"/>
  <c r="U33" i="26"/>
  <c r="U34" i="26"/>
  <c r="U25" i="26"/>
  <c r="U37" i="26"/>
  <c r="U14" i="26"/>
  <c r="U50" i="26"/>
  <c r="U110" i="26"/>
  <c r="U16" i="26"/>
  <c r="U112" i="26"/>
  <c r="U30" i="26"/>
  <c r="U17" i="26"/>
  <c r="U42" i="26"/>
  <c r="U43" i="26"/>
  <c r="U79" i="26"/>
  <c r="U91" i="26"/>
  <c r="U115" i="26"/>
  <c r="U47" i="26"/>
  <c r="U92" i="26"/>
  <c r="U93" i="26"/>
  <c r="U117" i="26"/>
  <c r="U95" i="26"/>
  <c r="U46" i="26"/>
  <c r="U94" i="26"/>
  <c r="U119" i="26"/>
  <c r="U48" i="26"/>
  <c r="U96" i="26"/>
  <c r="U49" i="26"/>
  <c r="U97" i="26"/>
  <c r="U109" i="26"/>
  <c r="U15" i="26"/>
  <c r="U74" i="26"/>
  <c r="U86" i="26"/>
  <c r="U40" i="26"/>
  <c r="U76" i="26"/>
  <c r="U88" i="26"/>
  <c r="U78" i="26"/>
  <c r="U77" i="26"/>
  <c r="U89" i="26"/>
  <c r="U113" i="26"/>
  <c r="U90" i="26"/>
  <c r="U114" i="26"/>
  <c r="U162" i="26"/>
  <c r="U103" i="26"/>
  <c r="U163" i="26"/>
  <c r="U107" i="26"/>
  <c r="U72" i="26"/>
  <c r="U120" i="26"/>
  <c r="U44" i="26"/>
  <c r="U80" i="26"/>
  <c r="U104" i="26"/>
  <c r="U116" i="26"/>
  <c r="U164" i="26"/>
  <c r="U108" i="26"/>
  <c r="U81" i="26"/>
  <c r="U105" i="26"/>
  <c r="U36" i="26"/>
  <c r="U82" i="26"/>
  <c r="U106" i="26"/>
  <c r="U118" i="26"/>
  <c r="U73" i="26"/>
  <c r="U85" i="26"/>
  <c r="U121" i="26"/>
  <c r="U75" i="26"/>
  <c r="U111" i="26"/>
  <c r="U62" i="26"/>
  <c r="U63" i="26"/>
  <c r="U51" i="26"/>
  <c r="U52" i="26"/>
  <c r="U41" i="26"/>
  <c r="U53" i="26"/>
  <c r="U54" i="26"/>
  <c r="U55" i="26"/>
  <c r="U56" i="26"/>
  <c r="U60" i="26"/>
  <c r="U45" i="26"/>
  <c r="U57" i="26"/>
  <c r="U59" i="26"/>
  <c r="U58" i="26"/>
  <c r="U61" i="26"/>
  <c r="U33" i="38"/>
  <c r="U29" i="38"/>
  <c r="U28" i="38"/>
  <c r="U102" i="38"/>
  <c r="U64" i="38"/>
  <c r="U38" i="38"/>
  <c r="U27" i="38"/>
  <c r="U37" i="38"/>
  <c r="U34" i="38"/>
  <c r="U137" i="38"/>
  <c r="U101" i="38"/>
  <c r="U32" i="38"/>
  <c r="U100" i="38"/>
  <c r="U26" i="38"/>
  <c r="U25" i="38"/>
  <c r="U136" i="38"/>
  <c r="U99" i="38"/>
  <c r="U31" i="38"/>
  <c r="U35" i="38"/>
  <c r="U98" i="38"/>
  <c r="U83" i="38"/>
  <c r="U49" i="38"/>
  <c r="U93" i="38"/>
  <c r="U112" i="38"/>
  <c r="U115" i="38"/>
  <c r="U117" i="38"/>
  <c r="U96" i="38"/>
  <c r="U92" i="38"/>
  <c r="U43" i="38"/>
  <c r="U91" i="38"/>
  <c r="U48" i="38"/>
  <c r="U42" i="38"/>
  <c r="U79" i="38"/>
  <c r="U97" i="38"/>
  <c r="U110" i="38"/>
  <c r="U95" i="38"/>
  <c r="U47" i="38"/>
  <c r="U46" i="38"/>
  <c r="U30" i="38"/>
  <c r="U50" i="38"/>
  <c r="U109" i="38"/>
  <c r="U94" i="38"/>
  <c r="U119" i="38"/>
  <c r="U13" i="26"/>
  <c r="V13" i="26" s="1"/>
  <c r="AA13" i="26" s="1"/>
  <c r="U118" i="38"/>
  <c r="U103" i="38"/>
  <c r="U82" i="38"/>
  <c r="U81" i="38"/>
  <c r="U76" i="38"/>
  <c r="U44" i="38"/>
  <c r="U107" i="38"/>
  <c r="U74" i="38"/>
  <c r="U121" i="38"/>
  <c r="U106" i="38"/>
  <c r="U86" i="38"/>
  <c r="U89" i="38"/>
  <c r="U116" i="38"/>
  <c r="U105" i="38"/>
  <c r="U85" i="38"/>
  <c r="U164" i="38"/>
  <c r="U111" i="38"/>
  <c r="U90" i="38"/>
  <c r="U80" i="38"/>
  <c r="U75" i="38"/>
  <c r="U163" i="38"/>
  <c r="U162" i="38"/>
  <c r="U120" i="38"/>
  <c r="U78" i="38"/>
  <c r="U73" i="38"/>
  <c r="U36" i="38"/>
  <c r="U114" i="38"/>
  <c r="U104" i="38"/>
  <c r="U113" i="38"/>
  <c r="U108" i="38"/>
  <c r="U72" i="38"/>
  <c r="U88" i="38"/>
  <c r="U40" i="38"/>
  <c r="U77" i="38"/>
  <c r="U61" i="38"/>
  <c r="U55" i="38"/>
  <c r="U45" i="38"/>
  <c r="U41" i="38"/>
  <c r="U60" i="38"/>
  <c r="U54" i="38"/>
  <c r="U59" i="38"/>
  <c r="U58" i="38"/>
  <c r="U53" i="38"/>
  <c r="U63" i="38"/>
  <c r="U57" i="38"/>
  <c r="U52" i="38"/>
  <c r="U62" i="38"/>
  <c r="U51" i="38"/>
  <c r="U56" i="38"/>
  <c r="C49" i="6"/>
  <c r="D49" i="6" s="1"/>
  <c r="E49" i="6" s="1"/>
  <c r="U165" i="38" s="1"/>
  <c r="B41" i="6"/>
  <c r="AI14" i="38" l="1"/>
  <c r="AN14" i="38" s="1"/>
  <c r="V14" i="38"/>
  <c r="AA14" i="38" s="1"/>
  <c r="AI17" i="38"/>
  <c r="AN17" i="38" s="1"/>
  <c r="V17" i="38"/>
  <c r="AA17" i="38" s="1"/>
  <c r="V16" i="38"/>
  <c r="AA16" i="38" s="1"/>
  <c r="AB16" i="38" s="1"/>
  <c r="AI16" i="38"/>
  <c r="AN16" i="38" s="1"/>
  <c r="AI15" i="38"/>
  <c r="AN15" i="38" s="1"/>
  <c r="V15" i="38"/>
  <c r="AA15" i="38" s="1"/>
  <c r="AI13" i="38"/>
  <c r="AN13" i="38" s="1"/>
  <c r="V13" i="38"/>
  <c r="AA13" i="38" s="1"/>
  <c r="AI165" i="38"/>
  <c r="AN165" i="38" s="1"/>
  <c r="V165" i="38"/>
  <c r="AA165" i="38" s="1"/>
  <c r="U153" i="38"/>
  <c r="U152" i="38"/>
  <c r="U160" i="38"/>
  <c r="U161" i="38"/>
  <c r="U159" i="38"/>
  <c r="U157" i="38"/>
  <c r="U158" i="38"/>
  <c r="U156" i="38"/>
  <c r="U155" i="38"/>
  <c r="U154" i="38"/>
  <c r="U125" i="38"/>
  <c r="U124" i="38"/>
  <c r="U127" i="38"/>
  <c r="U135" i="38"/>
  <c r="U123" i="38"/>
  <c r="U133" i="38"/>
  <c r="U132" i="38"/>
  <c r="U134" i="38"/>
  <c r="U130" i="38"/>
  <c r="U131" i="38"/>
  <c r="U129" i="38"/>
  <c r="U128" i="38"/>
  <c r="U126" i="38"/>
  <c r="U165" i="26"/>
  <c r="AI165" i="26" s="1"/>
  <c r="AN165" i="26" s="1"/>
  <c r="U122" i="38"/>
  <c r="U160" i="26"/>
  <c r="V160" i="26" s="1"/>
  <c r="AA160" i="26" s="1"/>
  <c r="U161" i="26"/>
  <c r="U158" i="26"/>
  <c r="AI158" i="26" s="1"/>
  <c r="AN158" i="26" s="1"/>
  <c r="U159" i="26"/>
  <c r="U156" i="26"/>
  <c r="V156" i="26" s="1"/>
  <c r="AA156" i="26" s="1"/>
  <c r="U157" i="26"/>
  <c r="U154" i="26"/>
  <c r="V154" i="26" s="1"/>
  <c r="AA154" i="26" s="1"/>
  <c r="U155" i="26"/>
  <c r="U152" i="26"/>
  <c r="AI152" i="26" s="1"/>
  <c r="AN152" i="26" s="1"/>
  <c r="U153" i="26"/>
  <c r="U134" i="26"/>
  <c r="AI134" i="26" s="1"/>
  <c r="AN134" i="26" s="1"/>
  <c r="U135" i="26"/>
  <c r="U132" i="26"/>
  <c r="AI132" i="26" s="1"/>
  <c r="AN132" i="26" s="1"/>
  <c r="U133" i="26"/>
  <c r="U130" i="26"/>
  <c r="AI130" i="26" s="1"/>
  <c r="AN130" i="26" s="1"/>
  <c r="U131" i="26"/>
  <c r="U128" i="26"/>
  <c r="AI128" i="26" s="1"/>
  <c r="AN128" i="26" s="1"/>
  <c r="U129" i="26"/>
  <c r="U126" i="26"/>
  <c r="AI126" i="26" s="1"/>
  <c r="AN126" i="26" s="1"/>
  <c r="U127" i="26"/>
  <c r="U124" i="26"/>
  <c r="AI124" i="26" s="1"/>
  <c r="AN124" i="26" s="1"/>
  <c r="U125" i="26"/>
  <c r="U122" i="26"/>
  <c r="AI122" i="26" s="1"/>
  <c r="AN122" i="26" s="1"/>
  <c r="U123" i="26"/>
  <c r="AI120" i="26"/>
  <c r="AN120" i="26" s="1"/>
  <c r="V120" i="26"/>
  <c r="AA120" i="26" s="1"/>
  <c r="AI95" i="26"/>
  <c r="AN95" i="26" s="1"/>
  <c r="V95" i="26"/>
  <c r="AA95" i="26" s="1"/>
  <c r="AI96" i="38"/>
  <c r="AN96" i="38" s="1"/>
  <c r="V96" i="38"/>
  <c r="AA96" i="38" s="1"/>
  <c r="V62" i="38"/>
  <c r="AA62" i="38" s="1"/>
  <c r="AI62" i="38"/>
  <c r="AN62" i="38" s="1"/>
  <c r="V45" i="38"/>
  <c r="AA45" i="38" s="1"/>
  <c r="AI45" i="38"/>
  <c r="AN45" i="38" s="1"/>
  <c r="AI75" i="26"/>
  <c r="AN75" i="26" s="1"/>
  <c r="V75" i="26"/>
  <c r="AA75" i="26" s="1"/>
  <c r="AI108" i="38"/>
  <c r="AN108" i="38" s="1"/>
  <c r="V108" i="38"/>
  <c r="AA108" i="38" s="1"/>
  <c r="AI104" i="26"/>
  <c r="AN104" i="26" s="1"/>
  <c r="V104" i="26"/>
  <c r="AA104" i="26" s="1"/>
  <c r="V89" i="38"/>
  <c r="AA89" i="38" s="1"/>
  <c r="AI89" i="38"/>
  <c r="AN89" i="38" s="1"/>
  <c r="AI116" i="26"/>
  <c r="AN116" i="26" s="1"/>
  <c r="V116" i="26"/>
  <c r="AA116" i="26" s="1"/>
  <c r="AI94" i="26"/>
  <c r="AN94" i="26" s="1"/>
  <c r="V94" i="26"/>
  <c r="AA94" i="26" s="1"/>
  <c r="V48" i="26"/>
  <c r="AA48" i="26" s="1"/>
  <c r="AI48" i="26"/>
  <c r="AN48" i="26" s="1"/>
  <c r="AI117" i="38"/>
  <c r="AN117" i="38" s="1"/>
  <c r="V117" i="38"/>
  <c r="AA117" i="38" s="1"/>
  <c r="AI29" i="26"/>
  <c r="AN29" i="26" s="1"/>
  <c r="V29" i="26"/>
  <c r="AA29" i="26" s="1"/>
  <c r="V98" i="38"/>
  <c r="AA98" i="38" s="1"/>
  <c r="AI98" i="38"/>
  <c r="AN98" i="38" s="1"/>
  <c r="V137" i="38"/>
  <c r="AA137" i="38" s="1"/>
  <c r="AI137" i="38"/>
  <c r="AN137" i="38" s="1"/>
  <c r="V162" i="38"/>
  <c r="AA162" i="38" s="1"/>
  <c r="AI162" i="38"/>
  <c r="AN162" i="38" s="1"/>
  <c r="V49" i="26"/>
  <c r="AA49" i="26" s="1"/>
  <c r="AI49" i="26"/>
  <c r="AN49" i="26" s="1"/>
  <c r="AI61" i="26"/>
  <c r="AN61" i="26" s="1"/>
  <c r="V61" i="26"/>
  <c r="AA61" i="26" s="1"/>
  <c r="V41" i="26"/>
  <c r="AA41" i="26" s="1"/>
  <c r="AI41" i="26"/>
  <c r="AN41" i="26" s="1"/>
  <c r="AI52" i="38"/>
  <c r="AN52" i="38" s="1"/>
  <c r="V52" i="38"/>
  <c r="AA52" i="38" s="1"/>
  <c r="AI55" i="38"/>
  <c r="AN55" i="38" s="1"/>
  <c r="V55" i="38"/>
  <c r="AA55" i="38" s="1"/>
  <c r="AI107" i="26"/>
  <c r="AN107" i="26" s="1"/>
  <c r="V107" i="26"/>
  <c r="AA107" i="26" s="1"/>
  <c r="AI86" i="26"/>
  <c r="AN86" i="26" s="1"/>
  <c r="V86" i="26"/>
  <c r="AA86" i="26" s="1"/>
  <c r="AI163" i="38"/>
  <c r="AN163" i="38" s="1"/>
  <c r="V163" i="38"/>
  <c r="AA163" i="38" s="1"/>
  <c r="V86" i="38"/>
  <c r="AA86" i="38" s="1"/>
  <c r="AI86" i="38"/>
  <c r="AN86" i="38" s="1"/>
  <c r="AI107" i="38"/>
  <c r="AN107" i="38" s="1"/>
  <c r="V107" i="38"/>
  <c r="AA107" i="38" s="1"/>
  <c r="AI110" i="26"/>
  <c r="AN110" i="26" s="1"/>
  <c r="V110" i="26"/>
  <c r="AA110" i="26" s="1"/>
  <c r="AI30" i="26"/>
  <c r="AN30" i="26" s="1"/>
  <c r="V30" i="26"/>
  <c r="AA30" i="26" s="1"/>
  <c r="AI119" i="38"/>
  <c r="AN119" i="38" s="1"/>
  <c r="V119" i="38"/>
  <c r="AA119" i="38" s="1"/>
  <c r="V95" i="38"/>
  <c r="AA95" i="38" s="1"/>
  <c r="AI95" i="38"/>
  <c r="AN95" i="38" s="1"/>
  <c r="AI115" i="38"/>
  <c r="AN115" i="38" s="1"/>
  <c r="V115" i="38"/>
  <c r="AA115" i="38" s="1"/>
  <c r="V26" i="26"/>
  <c r="AA26" i="26" s="1"/>
  <c r="AI26" i="26"/>
  <c r="AN26" i="26" s="1"/>
  <c r="AI35" i="38"/>
  <c r="AN35" i="38" s="1"/>
  <c r="V35" i="38"/>
  <c r="AA35" i="38" s="1"/>
  <c r="V34" i="38"/>
  <c r="AA34" i="38" s="1"/>
  <c r="AI34" i="38"/>
  <c r="AN34" i="38" s="1"/>
  <c r="AI51" i="38"/>
  <c r="AN51" i="38" s="1"/>
  <c r="V51" i="38"/>
  <c r="AA51" i="38" s="1"/>
  <c r="V50" i="26"/>
  <c r="AA50" i="26" s="1"/>
  <c r="AI50" i="26"/>
  <c r="AN50" i="26" s="1"/>
  <c r="AI92" i="26"/>
  <c r="AN92" i="26" s="1"/>
  <c r="V92" i="26"/>
  <c r="AA92" i="26" s="1"/>
  <c r="V56" i="26"/>
  <c r="AA56" i="26" s="1"/>
  <c r="AI56" i="26"/>
  <c r="AN56" i="26" s="1"/>
  <c r="V57" i="38"/>
  <c r="AA57" i="38" s="1"/>
  <c r="AI57" i="38"/>
  <c r="AN57" i="38" s="1"/>
  <c r="V61" i="38"/>
  <c r="AA61" i="38" s="1"/>
  <c r="AI61" i="38"/>
  <c r="AN61" i="38" s="1"/>
  <c r="AI121" i="26"/>
  <c r="AN121" i="26" s="1"/>
  <c r="V121" i="26"/>
  <c r="AA121" i="26" s="1"/>
  <c r="AI88" i="26"/>
  <c r="AN88" i="26" s="1"/>
  <c r="V88" i="26"/>
  <c r="AA88" i="26" s="1"/>
  <c r="AI105" i="26"/>
  <c r="AN105" i="26" s="1"/>
  <c r="V105" i="26"/>
  <c r="AA105" i="26" s="1"/>
  <c r="V106" i="38"/>
  <c r="AA106" i="38" s="1"/>
  <c r="AI106" i="38"/>
  <c r="AN106" i="38" s="1"/>
  <c r="AI118" i="26"/>
  <c r="AN118" i="26" s="1"/>
  <c r="V118" i="26"/>
  <c r="AA118" i="26" s="1"/>
  <c r="V42" i="26"/>
  <c r="AA42" i="26" s="1"/>
  <c r="AI42" i="26"/>
  <c r="AN42" i="26" s="1"/>
  <c r="AI109" i="26"/>
  <c r="AN109" i="26" s="1"/>
  <c r="V109" i="26"/>
  <c r="AA109" i="26" s="1"/>
  <c r="V94" i="38"/>
  <c r="AA94" i="38" s="1"/>
  <c r="AI94" i="38"/>
  <c r="AN94" i="38" s="1"/>
  <c r="V110" i="38"/>
  <c r="AA110" i="38" s="1"/>
  <c r="AI110" i="38"/>
  <c r="AN110" i="38" s="1"/>
  <c r="V112" i="38"/>
  <c r="AA112" i="38" s="1"/>
  <c r="AI112" i="38"/>
  <c r="AN112" i="38" s="1"/>
  <c r="AI137" i="26"/>
  <c r="AN137" i="26" s="1"/>
  <c r="V137" i="26"/>
  <c r="AA137" i="26" s="1"/>
  <c r="AI31" i="38"/>
  <c r="AN31" i="38" s="1"/>
  <c r="V31" i="38"/>
  <c r="AA31" i="38" s="1"/>
  <c r="AI37" i="38"/>
  <c r="AN37" i="38" s="1"/>
  <c r="V37" i="38"/>
  <c r="AA37" i="38" s="1"/>
  <c r="AI72" i="38"/>
  <c r="AN72" i="38" s="1"/>
  <c r="V72" i="38"/>
  <c r="AA72" i="38" s="1"/>
  <c r="AI101" i="38"/>
  <c r="AN101" i="38" s="1"/>
  <c r="V101" i="38"/>
  <c r="AA101" i="38" s="1"/>
  <c r="V60" i="26"/>
  <c r="AA60" i="26" s="1"/>
  <c r="AI60" i="26"/>
  <c r="AN60" i="26" s="1"/>
  <c r="AI63" i="38"/>
  <c r="AN63" i="38" s="1"/>
  <c r="V63" i="38"/>
  <c r="AA63" i="38" s="1"/>
  <c r="AI113" i="26"/>
  <c r="AN113" i="26" s="1"/>
  <c r="V113" i="26"/>
  <c r="AA113" i="26" s="1"/>
  <c r="AI78" i="26"/>
  <c r="AN78" i="26" s="1"/>
  <c r="V78" i="26"/>
  <c r="AA78" i="26" s="1"/>
  <c r="V162" i="26"/>
  <c r="AA162" i="26" s="1"/>
  <c r="AI162" i="26"/>
  <c r="AN162" i="26" s="1"/>
  <c r="AI75" i="38"/>
  <c r="AN75" i="38" s="1"/>
  <c r="V75" i="38"/>
  <c r="AA75" i="38" s="1"/>
  <c r="AO75" i="38" s="1"/>
  <c r="V121" i="38"/>
  <c r="AA121" i="38" s="1"/>
  <c r="AI121" i="38"/>
  <c r="AN121" i="38" s="1"/>
  <c r="AI44" i="38"/>
  <c r="AN44" i="38" s="1"/>
  <c r="V44" i="38"/>
  <c r="AA44" i="38" s="1"/>
  <c r="AI46" i="26"/>
  <c r="AN46" i="26" s="1"/>
  <c r="V46" i="26"/>
  <c r="AA46" i="26" s="1"/>
  <c r="V15" i="26"/>
  <c r="AA15" i="26" s="1"/>
  <c r="AI15" i="26"/>
  <c r="AN15" i="26" s="1"/>
  <c r="AI109" i="38"/>
  <c r="AN109" i="38" s="1"/>
  <c r="V109" i="38"/>
  <c r="AA109" i="38" s="1"/>
  <c r="V97" i="38"/>
  <c r="AA97" i="38" s="1"/>
  <c r="AI97" i="38"/>
  <c r="AN97" i="38" s="1"/>
  <c r="V93" i="38"/>
  <c r="AA93" i="38" s="1"/>
  <c r="AI93" i="38"/>
  <c r="AN93" i="38" s="1"/>
  <c r="AI136" i="26"/>
  <c r="AN136" i="26" s="1"/>
  <c r="V136" i="26"/>
  <c r="AA136" i="26" s="1"/>
  <c r="AI99" i="38"/>
  <c r="AN99" i="38" s="1"/>
  <c r="V99" i="38"/>
  <c r="AA99" i="38" s="1"/>
  <c r="AI27" i="38"/>
  <c r="AN27" i="38" s="1"/>
  <c r="V27" i="38"/>
  <c r="AA27" i="38" s="1"/>
  <c r="AI57" i="26"/>
  <c r="AN57" i="26" s="1"/>
  <c r="V57" i="26"/>
  <c r="AA57" i="26" s="1"/>
  <c r="AI116" i="38"/>
  <c r="AN116" i="38" s="1"/>
  <c r="V116" i="38"/>
  <c r="AA116" i="38" s="1"/>
  <c r="AI83" i="38"/>
  <c r="AN83" i="38" s="1"/>
  <c r="V83" i="38"/>
  <c r="AA83" i="38" s="1"/>
  <c r="AI53" i="26"/>
  <c r="AN53" i="26" s="1"/>
  <c r="V53" i="26"/>
  <c r="AA53" i="26" s="1"/>
  <c r="V62" i="26"/>
  <c r="AA62" i="26" s="1"/>
  <c r="AI62" i="26"/>
  <c r="AN62" i="26" s="1"/>
  <c r="AI74" i="26"/>
  <c r="AN74" i="26" s="1"/>
  <c r="V74" i="26"/>
  <c r="AA74" i="26" s="1"/>
  <c r="AI90" i="26"/>
  <c r="AN90" i="26" s="1"/>
  <c r="V90" i="26"/>
  <c r="AA90" i="26" s="1"/>
  <c r="V113" i="38"/>
  <c r="AA113" i="38" s="1"/>
  <c r="AI113" i="38"/>
  <c r="AN113" i="38" s="1"/>
  <c r="AI80" i="38"/>
  <c r="AN80" i="38" s="1"/>
  <c r="V80" i="38"/>
  <c r="AA80" i="38" s="1"/>
  <c r="AI77" i="26"/>
  <c r="AN77" i="26" s="1"/>
  <c r="V77" i="26"/>
  <c r="AA77" i="26" s="1"/>
  <c r="AI76" i="38"/>
  <c r="AN76" i="38" s="1"/>
  <c r="V76" i="38"/>
  <c r="AA76" i="38" s="1"/>
  <c r="AI16" i="26"/>
  <c r="AN16" i="26" s="1"/>
  <c r="V16" i="26"/>
  <c r="AA16" i="26" s="1"/>
  <c r="V47" i="26"/>
  <c r="AA47" i="26" s="1"/>
  <c r="AI47" i="26"/>
  <c r="AN47" i="26" s="1"/>
  <c r="V50" i="38"/>
  <c r="AA50" i="38" s="1"/>
  <c r="AI50" i="38"/>
  <c r="AN50" i="38" s="1"/>
  <c r="AI79" i="38"/>
  <c r="AN79" i="38" s="1"/>
  <c r="V79" i="38"/>
  <c r="AA79" i="38" s="1"/>
  <c r="V49" i="38"/>
  <c r="AA49" i="38" s="1"/>
  <c r="AI49" i="38"/>
  <c r="AN49" i="38" s="1"/>
  <c r="V33" i="26"/>
  <c r="AA33" i="26" s="1"/>
  <c r="AI33" i="26"/>
  <c r="AN33" i="26" s="1"/>
  <c r="AI136" i="38"/>
  <c r="AN136" i="38" s="1"/>
  <c r="V136" i="38"/>
  <c r="AA136" i="38" s="1"/>
  <c r="AI38" i="38"/>
  <c r="AN38" i="38" s="1"/>
  <c r="V38" i="38"/>
  <c r="AA38" i="38" s="1"/>
  <c r="AI76" i="26"/>
  <c r="AN76" i="26" s="1"/>
  <c r="V76" i="26"/>
  <c r="AA76" i="26" s="1"/>
  <c r="V38" i="26"/>
  <c r="AA38" i="26" s="1"/>
  <c r="AI38" i="26"/>
  <c r="AN38" i="26" s="1"/>
  <c r="V59" i="26"/>
  <c r="AA59" i="26" s="1"/>
  <c r="AI59" i="26"/>
  <c r="AN59" i="26" s="1"/>
  <c r="AI53" i="38"/>
  <c r="AN53" i="38" s="1"/>
  <c r="V53" i="38"/>
  <c r="AA53" i="38" s="1"/>
  <c r="V44" i="26"/>
  <c r="AA44" i="26" s="1"/>
  <c r="AI44" i="26"/>
  <c r="AN44" i="26" s="1"/>
  <c r="AI106" i="26"/>
  <c r="AN106" i="26" s="1"/>
  <c r="V106" i="26"/>
  <c r="AA106" i="26" s="1"/>
  <c r="AI104" i="38"/>
  <c r="AN104" i="38" s="1"/>
  <c r="V104" i="38"/>
  <c r="AA104" i="38" s="1"/>
  <c r="V90" i="38"/>
  <c r="AA90" i="38" s="1"/>
  <c r="AI90" i="38"/>
  <c r="AN90" i="38" s="1"/>
  <c r="AI82" i="26"/>
  <c r="AN82" i="26" s="1"/>
  <c r="V82" i="26"/>
  <c r="AA82" i="26" s="1"/>
  <c r="V81" i="38"/>
  <c r="AA81" i="38" s="1"/>
  <c r="AI81" i="38"/>
  <c r="AN81" i="38" s="1"/>
  <c r="AI14" i="26"/>
  <c r="AN14" i="26" s="1"/>
  <c r="V14" i="26"/>
  <c r="AA14" i="26" s="1"/>
  <c r="AI97" i="26"/>
  <c r="AN97" i="26" s="1"/>
  <c r="V97" i="26"/>
  <c r="AA97" i="26" s="1"/>
  <c r="AI115" i="26"/>
  <c r="AN115" i="26" s="1"/>
  <c r="V115" i="26"/>
  <c r="AA115" i="26" s="1"/>
  <c r="V42" i="38"/>
  <c r="AA42" i="38" s="1"/>
  <c r="AI42" i="38"/>
  <c r="AN42" i="38" s="1"/>
  <c r="AI35" i="26"/>
  <c r="AN35" i="26" s="1"/>
  <c r="V35" i="26"/>
  <c r="AA35" i="26" s="1"/>
  <c r="AI34" i="26"/>
  <c r="AN34" i="26" s="1"/>
  <c r="V34" i="26"/>
  <c r="AA34" i="26" s="1"/>
  <c r="V28" i="26"/>
  <c r="AA28" i="26" s="1"/>
  <c r="AI28" i="26"/>
  <c r="AN28" i="26" s="1"/>
  <c r="AI64" i="38"/>
  <c r="AN64" i="38" s="1"/>
  <c r="V64" i="38"/>
  <c r="AA64" i="38" s="1"/>
  <c r="AI55" i="26"/>
  <c r="AN55" i="26" s="1"/>
  <c r="V55" i="26"/>
  <c r="AA55" i="26" s="1"/>
  <c r="AI114" i="26"/>
  <c r="AN114" i="26" s="1"/>
  <c r="V114" i="26"/>
  <c r="AA114" i="26" s="1"/>
  <c r="V114" i="38"/>
  <c r="AA114" i="38" s="1"/>
  <c r="AI114" i="38"/>
  <c r="AN114" i="38" s="1"/>
  <c r="AI111" i="38"/>
  <c r="AN111" i="38" s="1"/>
  <c r="V111" i="38"/>
  <c r="AA111" i="38" s="1"/>
  <c r="AI40" i="26"/>
  <c r="AN40" i="26" s="1"/>
  <c r="V40" i="26"/>
  <c r="AA40" i="26" s="1"/>
  <c r="AI81" i="26"/>
  <c r="AN81" i="26" s="1"/>
  <c r="V81" i="26"/>
  <c r="AA81" i="26" s="1"/>
  <c r="AI17" i="26"/>
  <c r="AN17" i="26" s="1"/>
  <c r="V17" i="26"/>
  <c r="AA17" i="26" s="1"/>
  <c r="AI91" i="26"/>
  <c r="AN91" i="26" s="1"/>
  <c r="V91" i="26"/>
  <c r="AA91" i="26" s="1"/>
  <c r="V32" i="26"/>
  <c r="AA32" i="26" s="1"/>
  <c r="AI32" i="26"/>
  <c r="AN32" i="26" s="1"/>
  <c r="AI102" i="26"/>
  <c r="AN102" i="26" s="1"/>
  <c r="V102" i="26"/>
  <c r="AA102" i="26" s="1"/>
  <c r="AI101" i="26"/>
  <c r="AN101" i="26" s="1"/>
  <c r="V101" i="26"/>
  <c r="AA101" i="26" s="1"/>
  <c r="V102" i="38"/>
  <c r="AA102" i="38" s="1"/>
  <c r="AI102" i="38"/>
  <c r="AN102" i="38" s="1"/>
  <c r="AI56" i="38"/>
  <c r="AN56" i="38" s="1"/>
  <c r="V56" i="38"/>
  <c r="AA56" i="38" s="1"/>
  <c r="V58" i="38"/>
  <c r="AA58" i="38" s="1"/>
  <c r="AI58" i="38"/>
  <c r="AN58" i="38" s="1"/>
  <c r="AI80" i="26"/>
  <c r="AN80" i="26" s="1"/>
  <c r="V80" i="26"/>
  <c r="AA80" i="26" s="1"/>
  <c r="V63" i="26"/>
  <c r="AA63" i="26" s="1"/>
  <c r="AI63" i="26"/>
  <c r="AN63" i="26" s="1"/>
  <c r="AI59" i="38"/>
  <c r="AN59" i="38" s="1"/>
  <c r="V59" i="38"/>
  <c r="AA59" i="38" s="1"/>
  <c r="V36" i="26"/>
  <c r="AA36" i="26" s="1"/>
  <c r="AI36" i="26"/>
  <c r="AN36" i="26" s="1"/>
  <c r="AI89" i="26"/>
  <c r="AN89" i="26" s="1"/>
  <c r="V89" i="26"/>
  <c r="AA89" i="26" s="1"/>
  <c r="AI36" i="38"/>
  <c r="AN36" i="38" s="1"/>
  <c r="V36" i="38"/>
  <c r="AA36" i="38" s="1"/>
  <c r="AI164" i="38"/>
  <c r="AN164" i="38" s="1"/>
  <c r="V164" i="38"/>
  <c r="AA164" i="38" s="1"/>
  <c r="V74" i="38"/>
  <c r="AA74" i="38" s="1"/>
  <c r="AO74" i="38" s="1"/>
  <c r="AI74" i="38"/>
  <c r="AN74" i="38" s="1"/>
  <c r="AI163" i="26"/>
  <c r="AN163" i="26" s="1"/>
  <c r="V163" i="26"/>
  <c r="AA163" i="26" s="1"/>
  <c r="AI13" i="26"/>
  <c r="AN13" i="26" s="1"/>
  <c r="AO13" i="26" s="1"/>
  <c r="AI112" i="26"/>
  <c r="AN112" i="26" s="1"/>
  <c r="V112" i="26"/>
  <c r="AA112" i="26" s="1"/>
  <c r="AI48" i="38"/>
  <c r="AN48" i="38" s="1"/>
  <c r="V48" i="38"/>
  <c r="AA48" i="38" s="1"/>
  <c r="AI37" i="26"/>
  <c r="AN37" i="26" s="1"/>
  <c r="V37" i="26"/>
  <c r="AA37" i="26" s="1"/>
  <c r="AI83" i="26"/>
  <c r="AN83" i="26" s="1"/>
  <c r="V83" i="26"/>
  <c r="AA83" i="26" s="1"/>
  <c r="V25" i="38"/>
  <c r="AA25" i="38" s="1"/>
  <c r="AI25" i="38"/>
  <c r="AN25" i="38" s="1"/>
  <c r="AI28" i="38"/>
  <c r="AN28" i="38" s="1"/>
  <c r="V28" i="38"/>
  <c r="AA28" i="38" s="1"/>
  <c r="AI45" i="26"/>
  <c r="AN45" i="26" s="1"/>
  <c r="V45" i="26"/>
  <c r="AA45" i="26" s="1"/>
  <c r="V54" i="26"/>
  <c r="AA54" i="26" s="1"/>
  <c r="AI54" i="26"/>
  <c r="AN54" i="26" s="1"/>
  <c r="V52" i="26"/>
  <c r="AA52" i="26" s="1"/>
  <c r="AI52" i="26"/>
  <c r="AN52" i="26" s="1"/>
  <c r="V54" i="38"/>
  <c r="AA54" i="38" s="1"/>
  <c r="AI54" i="38"/>
  <c r="AN54" i="38" s="1"/>
  <c r="AI103" i="26"/>
  <c r="AN103" i="26" s="1"/>
  <c r="V103" i="26"/>
  <c r="AA103" i="26" s="1"/>
  <c r="AI77" i="38"/>
  <c r="AN77" i="38" s="1"/>
  <c r="V77" i="38"/>
  <c r="AA77" i="38" s="1"/>
  <c r="V73" i="38"/>
  <c r="AA73" i="38" s="1"/>
  <c r="AO73" i="38" s="1"/>
  <c r="AI73" i="38"/>
  <c r="AN73" i="38" s="1"/>
  <c r="AI85" i="38"/>
  <c r="AN85" i="38" s="1"/>
  <c r="V85" i="38"/>
  <c r="AA85" i="38" s="1"/>
  <c r="AI108" i="26"/>
  <c r="AN108" i="26" s="1"/>
  <c r="V108" i="26"/>
  <c r="AA108" i="26" s="1"/>
  <c r="V82" i="38"/>
  <c r="AA82" i="38" s="1"/>
  <c r="AI82" i="38"/>
  <c r="AN82" i="38" s="1"/>
  <c r="AI117" i="26"/>
  <c r="AN117" i="26" s="1"/>
  <c r="V117" i="26"/>
  <c r="AA117" i="26" s="1"/>
  <c r="AI79" i="26"/>
  <c r="AN79" i="26" s="1"/>
  <c r="V79" i="26"/>
  <c r="AA79" i="26" s="1"/>
  <c r="AI30" i="38"/>
  <c r="AN30" i="38" s="1"/>
  <c r="V30" i="38"/>
  <c r="AA30" i="38" s="1"/>
  <c r="AI91" i="38"/>
  <c r="AN91" i="38" s="1"/>
  <c r="V91" i="38"/>
  <c r="AA91" i="38" s="1"/>
  <c r="V31" i="26"/>
  <c r="AA31" i="26" s="1"/>
  <c r="AI31" i="26"/>
  <c r="AN31" i="26" s="1"/>
  <c r="AI98" i="26"/>
  <c r="AN98" i="26" s="1"/>
  <c r="V98" i="26"/>
  <c r="AA98" i="26" s="1"/>
  <c r="V26" i="38"/>
  <c r="AA26" i="38" s="1"/>
  <c r="AI26" i="38"/>
  <c r="AN26" i="38" s="1"/>
  <c r="V29" i="38"/>
  <c r="AA29" i="38" s="1"/>
  <c r="AI29" i="38"/>
  <c r="AN29" i="38" s="1"/>
  <c r="AI58" i="26"/>
  <c r="AN58" i="26" s="1"/>
  <c r="V58" i="26"/>
  <c r="AA58" i="26" s="1"/>
  <c r="V51" i="26"/>
  <c r="AA51" i="26" s="1"/>
  <c r="AI51" i="26"/>
  <c r="AN51" i="26" s="1"/>
  <c r="AI60" i="38"/>
  <c r="AN60" i="38" s="1"/>
  <c r="V60" i="38"/>
  <c r="AA60" i="38" s="1"/>
  <c r="V164" i="26"/>
  <c r="AA164" i="26" s="1"/>
  <c r="AI164" i="26"/>
  <c r="AN164" i="26" s="1"/>
  <c r="AI40" i="38"/>
  <c r="AN40" i="38" s="1"/>
  <c r="V40" i="38"/>
  <c r="AA40" i="38" s="1"/>
  <c r="V78" i="38"/>
  <c r="AA78" i="38" s="1"/>
  <c r="AI78" i="38"/>
  <c r="AN78" i="38" s="1"/>
  <c r="AI72" i="26"/>
  <c r="AN72" i="26" s="1"/>
  <c r="V72" i="26"/>
  <c r="AA72" i="26" s="1"/>
  <c r="AI73" i="26"/>
  <c r="AN73" i="26" s="1"/>
  <c r="V73" i="26"/>
  <c r="AA73" i="26" s="1"/>
  <c r="AI103" i="38"/>
  <c r="AN103" i="38" s="1"/>
  <c r="V103" i="38"/>
  <c r="AA103" i="38" s="1"/>
  <c r="V43" i="26"/>
  <c r="AA43" i="26" s="1"/>
  <c r="AI43" i="26"/>
  <c r="AN43" i="26" s="1"/>
  <c r="AI93" i="26"/>
  <c r="AN93" i="26" s="1"/>
  <c r="V93" i="26"/>
  <c r="AA93" i="26" s="1"/>
  <c r="AI46" i="38"/>
  <c r="AN46" i="38" s="1"/>
  <c r="V46" i="38"/>
  <c r="AA46" i="38" s="1"/>
  <c r="AI43" i="38"/>
  <c r="AN43" i="38" s="1"/>
  <c r="V43" i="38"/>
  <c r="AA43" i="38" s="1"/>
  <c r="AI99" i="26"/>
  <c r="AN99" i="26" s="1"/>
  <c r="V99" i="26"/>
  <c r="AA99" i="26" s="1"/>
  <c r="AI25" i="26"/>
  <c r="AN25" i="26" s="1"/>
  <c r="V25" i="26"/>
  <c r="AA25" i="26" s="1"/>
  <c r="AI100" i="38"/>
  <c r="AN100" i="38" s="1"/>
  <c r="V100" i="38"/>
  <c r="AA100" i="38" s="1"/>
  <c r="V33" i="38"/>
  <c r="AA33" i="38" s="1"/>
  <c r="AI33" i="38"/>
  <c r="AN33" i="38" s="1"/>
  <c r="V41" i="38"/>
  <c r="AA41" i="38" s="1"/>
  <c r="AI41" i="38"/>
  <c r="AN41" i="38" s="1"/>
  <c r="AI85" i="26"/>
  <c r="AN85" i="26" s="1"/>
  <c r="V85" i="26"/>
  <c r="AA85" i="26" s="1"/>
  <c r="AI88" i="38"/>
  <c r="AN88" i="38" s="1"/>
  <c r="V88" i="38"/>
  <c r="AA88" i="38" s="1"/>
  <c r="V120" i="38"/>
  <c r="AA120" i="38" s="1"/>
  <c r="AI120" i="38"/>
  <c r="AN120" i="38" s="1"/>
  <c r="V105" i="38"/>
  <c r="AA105" i="38" s="1"/>
  <c r="AI105" i="38"/>
  <c r="AN105" i="38" s="1"/>
  <c r="AI111" i="26"/>
  <c r="AN111" i="26" s="1"/>
  <c r="V111" i="26"/>
  <c r="AA111" i="26" s="1"/>
  <c r="AI118" i="38"/>
  <c r="AN118" i="38" s="1"/>
  <c r="V118" i="38"/>
  <c r="AA118" i="38" s="1"/>
  <c r="AI119" i="26"/>
  <c r="AN119" i="26" s="1"/>
  <c r="V119" i="26"/>
  <c r="AA119" i="26" s="1"/>
  <c r="AI96" i="26"/>
  <c r="AN96" i="26" s="1"/>
  <c r="V96" i="26"/>
  <c r="AA96" i="26" s="1"/>
  <c r="AI47" i="38"/>
  <c r="AN47" i="38" s="1"/>
  <c r="V47" i="38"/>
  <c r="AA47" i="38" s="1"/>
  <c r="AI92" i="38"/>
  <c r="AN92" i="38" s="1"/>
  <c r="V92" i="38"/>
  <c r="AA92" i="38" s="1"/>
  <c r="V27" i="26"/>
  <c r="AA27" i="26" s="1"/>
  <c r="AI27" i="26"/>
  <c r="AN27" i="26" s="1"/>
  <c r="AI64" i="26"/>
  <c r="AN64" i="26" s="1"/>
  <c r="V64" i="26"/>
  <c r="AA64" i="26" s="1"/>
  <c r="AI32" i="38"/>
  <c r="AN32" i="38" s="1"/>
  <c r="V32" i="38"/>
  <c r="AA32" i="38" s="1"/>
  <c r="AI100" i="26"/>
  <c r="AN100" i="26" s="1"/>
  <c r="V100" i="26"/>
  <c r="AA100" i="26" s="1"/>
  <c r="AO88" i="38" l="1"/>
  <c r="AO16" i="38"/>
  <c r="AO28" i="26"/>
  <c r="AO44" i="26"/>
  <c r="AO15" i="26"/>
  <c r="AO49" i="26"/>
  <c r="AO48" i="26"/>
  <c r="AO80" i="26"/>
  <c r="AO35" i="26"/>
  <c r="AO82" i="26"/>
  <c r="AO77" i="26"/>
  <c r="AO53" i="26"/>
  <c r="AO136" i="26"/>
  <c r="AO137" i="26"/>
  <c r="AO86" i="38"/>
  <c r="AO81" i="26"/>
  <c r="AO97" i="26"/>
  <c r="AO118" i="26"/>
  <c r="AO110" i="26"/>
  <c r="AO106" i="26"/>
  <c r="AO90" i="26"/>
  <c r="AO111" i="26"/>
  <c r="AO93" i="26"/>
  <c r="AO117" i="26"/>
  <c r="AO103" i="26"/>
  <c r="AO43" i="26"/>
  <c r="AO89" i="26"/>
  <c r="AB13" i="38"/>
  <c r="AO13" i="38"/>
  <c r="AB15" i="38"/>
  <c r="AO15" i="38"/>
  <c r="AO91" i="38"/>
  <c r="AO85" i="38"/>
  <c r="AB17" i="38"/>
  <c r="AO17" i="38"/>
  <c r="AO57" i="26"/>
  <c r="AB14" i="38"/>
  <c r="AO14" i="38"/>
  <c r="AO48" i="38"/>
  <c r="AO63" i="26"/>
  <c r="AO33" i="26"/>
  <c r="AO62" i="26"/>
  <c r="AO42" i="26"/>
  <c r="AO91" i="26"/>
  <c r="AO114" i="26"/>
  <c r="AO51" i="26"/>
  <c r="AO54" i="26"/>
  <c r="AO17" i="26"/>
  <c r="AO55" i="26"/>
  <c r="AO116" i="26"/>
  <c r="AO25" i="26"/>
  <c r="AO108" i="26"/>
  <c r="AO37" i="26"/>
  <c r="AO164" i="26"/>
  <c r="AO119" i="26"/>
  <c r="AO85" i="26"/>
  <c r="AO72" i="26"/>
  <c r="AO41" i="26"/>
  <c r="AO88" i="26"/>
  <c r="AO61" i="26"/>
  <c r="AO98" i="26"/>
  <c r="AO83" i="26"/>
  <c r="AO100" i="26"/>
  <c r="AO96" i="26"/>
  <c r="AO99" i="26"/>
  <c r="AO73" i="26"/>
  <c r="AO38" i="26"/>
  <c r="AO60" i="26"/>
  <c r="AO56" i="26"/>
  <c r="AO26" i="26"/>
  <c r="AO115" i="26"/>
  <c r="AO76" i="26"/>
  <c r="AO105" i="26"/>
  <c r="AO92" i="26"/>
  <c r="AO29" i="26"/>
  <c r="AO104" i="26"/>
  <c r="AO95" i="26"/>
  <c r="AO58" i="26"/>
  <c r="AO45" i="26"/>
  <c r="AO112" i="26"/>
  <c r="AO59" i="26"/>
  <c r="AO120" i="26"/>
  <c r="AO31" i="26"/>
  <c r="AO64" i="26"/>
  <c r="AO79" i="26"/>
  <c r="AO36" i="26"/>
  <c r="AO47" i="26"/>
  <c r="AO162" i="26"/>
  <c r="AO50" i="26"/>
  <c r="AO163" i="26"/>
  <c r="AO101" i="26"/>
  <c r="AO40" i="26"/>
  <c r="AO14" i="26"/>
  <c r="AO16" i="26"/>
  <c r="AO74" i="26"/>
  <c r="AO78" i="26"/>
  <c r="AO109" i="26"/>
  <c r="AO121" i="26"/>
  <c r="AO86" i="26"/>
  <c r="AO75" i="26"/>
  <c r="AO32" i="26"/>
  <c r="AO52" i="26"/>
  <c r="AO27" i="26"/>
  <c r="AO102" i="26"/>
  <c r="AO34" i="26"/>
  <c r="AO46" i="26"/>
  <c r="AO113" i="26"/>
  <c r="AO30" i="26"/>
  <c r="AO107" i="26"/>
  <c r="AO94" i="26"/>
  <c r="AO110" i="38"/>
  <c r="AO36" i="38"/>
  <c r="AO79" i="38"/>
  <c r="AO80" i="38"/>
  <c r="AO107" i="38"/>
  <c r="AO52" i="38"/>
  <c r="AO96" i="38"/>
  <c r="AO32" i="38"/>
  <c r="AO64" i="38"/>
  <c r="AO38" i="38"/>
  <c r="AO109" i="38"/>
  <c r="AO72" i="38"/>
  <c r="AO163" i="38"/>
  <c r="AO117" i="38"/>
  <c r="AO108" i="38"/>
  <c r="AO81" i="38"/>
  <c r="AO61" i="38"/>
  <c r="AO118" i="38"/>
  <c r="AO46" i="38"/>
  <c r="AO77" i="38"/>
  <c r="AO28" i="38"/>
  <c r="AO47" i="38"/>
  <c r="AO103" i="38"/>
  <c r="AO60" i="38"/>
  <c r="AO43" i="38"/>
  <c r="AO33" i="38"/>
  <c r="AO26" i="38"/>
  <c r="AO25" i="38"/>
  <c r="AO92" i="38"/>
  <c r="AO100" i="38"/>
  <c r="AO34" i="38"/>
  <c r="AO162" i="38"/>
  <c r="AO45" i="38"/>
  <c r="AO62" i="38"/>
  <c r="AO93" i="38"/>
  <c r="AO56" i="38"/>
  <c r="AO104" i="38"/>
  <c r="AO116" i="38"/>
  <c r="AO101" i="38"/>
  <c r="AO115" i="38"/>
  <c r="AO30" i="38"/>
  <c r="AO114" i="38"/>
  <c r="AO49" i="38"/>
  <c r="AO57" i="38"/>
  <c r="AO165" i="38"/>
  <c r="AO137" i="38"/>
  <c r="AO105" i="38"/>
  <c r="AO82" i="38"/>
  <c r="AO54" i="38"/>
  <c r="AO164" i="38"/>
  <c r="AO44" i="38"/>
  <c r="AO63" i="38"/>
  <c r="AO35" i="38"/>
  <c r="AO55" i="38"/>
  <c r="AO120" i="38"/>
  <c r="AO83" i="38"/>
  <c r="AO58" i="38"/>
  <c r="AO42" i="38"/>
  <c r="AO90" i="38"/>
  <c r="AO121" i="38"/>
  <c r="AO112" i="38"/>
  <c r="AO106" i="38"/>
  <c r="AO98" i="38"/>
  <c r="AO89" i="38"/>
  <c r="AO50" i="38"/>
  <c r="AO113" i="38"/>
  <c r="AO97" i="38"/>
  <c r="AO102" i="38"/>
  <c r="AO94" i="38"/>
  <c r="AO95" i="38"/>
  <c r="AO41" i="38"/>
  <c r="AO78" i="38"/>
  <c r="AO29" i="38"/>
  <c r="AO59" i="38"/>
  <c r="AO136" i="38"/>
  <c r="AO27" i="38"/>
  <c r="AO37" i="38"/>
  <c r="AO51" i="38"/>
  <c r="AO119" i="38"/>
  <c r="AO40" i="38"/>
  <c r="AO111" i="38"/>
  <c r="AO53" i="38"/>
  <c r="AO76" i="38"/>
  <c r="AO99" i="38"/>
  <c r="AO31" i="38"/>
  <c r="AB165" i="38"/>
  <c r="V154" i="38"/>
  <c r="AA154" i="38" s="1"/>
  <c r="AI154" i="38"/>
  <c r="AN154" i="38" s="1"/>
  <c r="AI155" i="38"/>
  <c r="AN155" i="38" s="1"/>
  <c r="V155" i="38"/>
  <c r="AA155" i="38" s="1"/>
  <c r="AI156" i="38"/>
  <c r="AN156" i="38" s="1"/>
  <c r="V156" i="38"/>
  <c r="AA156" i="38" s="1"/>
  <c r="AI158" i="38"/>
  <c r="AN158" i="38" s="1"/>
  <c r="V158" i="38"/>
  <c r="AA158" i="38" s="1"/>
  <c r="AI157" i="38"/>
  <c r="AN157" i="38" s="1"/>
  <c r="V157" i="38"/>
  <c r="AA157" i="38" s="1"/>
  <c r="V159" i="38"/>
  <c r="AA159" i="38" s="1"/>
  <c r="AI159" i="38"/>
  <c r="AN159" i="38" s="1"/>
  <c r="V161" i="38"/>
  <c r="AA161" i="38" s="1"/>
  <c r="AI161" i="38"/>
  <c r="AN161" i="38" s="1"/>
  <c r="V160" i="38"/>
  <c r="AA160" i="38" s="1"/>
  <c r="AI160" i="38"/>
  <c r="AN160" i="38" s="1"/>
  <c r="V152" i="38"/>
  <c r="AA152" i="38" s="1"/>
  <c r="AI152" i="38"/>
  <c r="AN152" i="38" s="1"/>
  <c r="V153" i="38"/>
  <c r="AA153" i="38" s="1"/>
  <c r="AI153" i="38"/>
  <c r="AN153" i="38" s="1"/>
  <c r="AI128" i="38"/>
  <c r="AN128" i="38" s="1"/>
  <c r="V128" i="38"/>
  <c r="AA128" i="38" s="1"/>
  <c r="V129" i="38"/>
  <c r="AA129" i="38" s="1"/>
  <c r="AI129" i="38"/>
  <c r="AN129" i="38" s="1"/>
  <c r="AI131" i="38"/>
  <c r="AN131" i="38" s="1"/>
  <c r="V131" i="38"/>
  <c r="AA131" i="38" s="1"/>
  <c r="V130" i="38"/>
  <c r="AA130" i="38" s="1"/>
  <c r="AI130" i="38"/>
  <c r="AN130" i="38" s="1"/>
  <c r="AI134" i="38"/>
  <c r="AN134" i="38" s="1"/>
  <c r="V134" i="38"/>
  <c r="AA134" i="38" s="1"/>
  <c r="AI132" i="38"/>
  <c r="AN132" i="38" s="1"/>
  <c r="V132" i="38"/>
  <c r="AA132" i="38" s="1"/>
  <c r="AI133" i="38"/>
  <c r="AN133" i="38" s="1"/>
  <c r="V133" i="38"/>
  <c r="AA133" i="38" s="1"/>
  <c r="AI123" i="38"/>
  <c r="AN123" i="38" s="1"/>
  <c r="V123" i="38"/>
  <c r="AA123" i="38" s="1"/>
  <c r="AI135" i="38"/>
  <c r="AN135" i="38" s="1"/>
  <c r="V135" i="38"/>
  <c r="AA135" i="38" s="1"/>
  <c r="AI127" i="38"/>
  <c r="AN127" i="38" s="1"/>
  <c r="V127" i="38"/>
  <c r="AA127" i="38" s="1"/>
  <c r="AI124" i="38"/>
  <c r="AN124" i="38" s="1"/>
  <c r="V124" i="38"/>
  <c r="AA124" i="38" s="1"/>
  <c r="AI126" i="38"/>
  <c r="AN126" i="38" s="1"/>
  <c r="V126" i="38"/>
  <c r="AA126" i="38" s="1"/>
  <c r="AI125" i="38"/>
  <c r="AN125" i="38" s="1"/>
  <c r="V125" i="38"/>
  <c r="AA125" i="38" s="1"/>
  <c r="V165" i="26"/>
  <c r="V122" i="38"/>
  <c r="AA122" i="38" s="1"/>
  <c r="AI122" i="38"/>
  <c r="AN122" i="38" s="1"/>
  <c r="AI160" i="26"/>
  <c r="AN160" i="26" s="1"/>
  <c r="AO160" i="26" s="1"/>
  <c r="AI161" i="26"/>
  <c r="AN161" i="26" s="1"/>
  <c r="V161" i="26"/>
  <c r="AA161" i="26" s="1"/>
  <c r="AB160" i="26"/>
  <c r="V158" i="26"/>
  <c r="AI159" i="26"/>
  <c r="AN159" i="26" s="1"/>
  <c r="V159" i="26"/>
  <c r="AA159" i="26" s="1"/>
  <c r="AI156" i="26"/>
  <c r="AN156" i="26" s="1"/>
  <c r="AO156" i="26" s="1"/>
  <c r="AI157" i="26"/>
  <c r="AN157" i="26" s="1"/>
  <c r="V157" i="26"/>
  <c r="AA157" i="26" s="1"/>
  <c r="AB156" i="26"/>
  <c r="V152" i="26"/>
  <c r="AI154" i="26"/>
  <c r="AN154" i="26" s="1"/>
  <c r="AO154" i="26" s="1"/>
  <c r="V155" i="26"/>
  <c r="AA155" i="26" s="1"/>
  <c r="AI155" i="26"/>
  <c r="AN155" i="26" s="1"/>
  <c r="AB154" i="26"/>
  <c r="V153" i="26"/>
  <c r="AA153" i="26" s="1"/>
  <c r="AI153" i="26"/>
  <c r="AN153" i="26" s="1"/>
  <c r="V134" i="26"/>
  <c r="AI135" i="26"/>
  <c r="AN135" i="26" s="1"/>
  <c r="V135" i="26"/>
  <c r="AA135" i="26" s="1"/>
  <c r="V132" i="26"/>
  <c r="AI133" i="26"/>
  <c r="AN133" i="26" s="1"/>
  <c r="V133" i="26"/>
  <c r="AA133" i="26" s="1"/>
  <c r="V128" i="26"/>
  <c r="V130" i="26"/>
  <c r="AI131" i="26"/>
  <c r="AN131" i="26" s="1"/>
  <c r="V131" i="26"/>
  <c r="AA131" i="26" s="1"/>
  <c r="AI129" i="26"/>
  <c r="AN129" i="26" s="1"/>
  <c r="V129" i="26"/>
  <c r="AA129" i="26" s="1"/>
  <c r="V126" i="26"/>
  <c r="AI127" i="26"/>
  <c r="AN127" i="26" s="1"/>
  <c r="V127" i="26"/>
  <c r="AA127" i="26" s="1"/>
  <c r="V124" i="26"/>
  <c r="AI125" i="26"/>
  <c r="AN125" i="26" s="1"/>
  <c r="V125" i="26"/>
  <c r="AA125" i="26" s="1"/>
  <c r="V122" i="26"/>
  <c r="AI123" i="26"/>
  <c r="AN123" i="26" s="1"/>
  <c r="V123" i="26"/>
  <c r="AA123" i="26" s="1"/>
  <c r="AB28" i="38"/>
  <c r="AB136" i="26"/>
  <c r="AB110" i="26"/>
  <c r="AB78" i="38"/>
  <c r="AB111" i="26"/>
  <c r="AB93" i="26"/>
  <c r="AB40" i="38"/>
  <c r="AB117" i="26"/>
  <c r="AB103" i="26"/>
  <c r="AB91" i="26"/>
  <c r="AB114" i="26"/>
  <c r="AB79" i="38"/>
  <c r="AB80" i="38"/>
  <c r="AB83" i="38"/>
  <c r="AB107" i="38"/>
  <c r="AB52" i="38"/>
  <c r="AB94" i="26"/>
  <c r="AB89" i="26"/>
  <c r="AB137" i="26"/>
  <c r="AB33" i="38"/>
  <c r="AB26" i="38"/>
  <c r="AB25" i="38"/>
  <c r="AB13" i="26"/>
  <c r="AB36" i="26"/>
  <c r="AB102" i="38"/>
  <c r="AB42" i="38"/>
  <c r="AB90" i="38"/>
  <c r="AB38" i="26"/>
  <c r="AB93" i="38"/>
  <c r="AB121" i="38"/>
  <c r="AB60" i="26"/>
  <c r="AB112" i="38"/>
  <c r="AB106" i="38"/>
  <c r="AB56" i="26"/>
  <c r="AB26" i="26"/>
  <c r="AB98" i="38"/>
  <c r="AB45" i="38"/>
  <c r="AB118" i="38"/>
  <c r="AB44" i="38"/>
  <c r="AB75" i="26"/>
  <c r="AB29" i="38"/>
  <c r="AB92" i="38"/>
  <c r="AB100" i="38"/>
  <c r="AB98" i="26"/>
  <c r="AB83" i="26"/>
  <c r="AB163" i="26"/>
  <c r="AB59" i="38"/>
  <c r="AB101" i="26"/>
  <c r="AB17" i="26"/>
  <c r="AB55" i="26"/>
  <c r="AB115" i="26"/>
  <c r="AB104" i="38"/>
  <c r="AB76" i="26"/>
  <c r="AB116" i="38"/>
  <c r="AB75" i="38"/>
  <c r="AB101" i="38"/>
  <c r="AB105" i="26"/>
  <c r="AB92" i="26"/>
  <c r="AB115" i="38"/>
  <c r="AB29" i="26"/>
  <c r="AB116" i="26"/>
  <c r="AB64" i="26"/>
  <c r="AB112" i="26"/>
  <c r="AB53" i="26"/>
  <c r="AB48" i="26"/>
  <c r="AB105" i="38"/>
  <c r="AB43" i="26"/>
  <c r="AB164" i="26"/>
  <c r="AB82" i="38"/>
  <c r="AB54" i="38"/>
  <c r="AB50" i="38"/>
  <c r="AB113" i="38"/>
  <c r="AB97" i="38"/>
  <c r="AB110" i="38"/>
  <c r="AB86" i="38"/>
  <c r="AB41" i="26"/>
  <c r="AB62" i="38"/>
  <c r="AB56" i="38"/>
  <c r="AB55" i="38"/>
  <c r="AB49" i="38"/>
  <c r="AB27" i="26"/>
  <c r="AB47" i="38"/>
  <c r="AB25" i="26"/>
  <c r="AB103" i="38"/>
  <c r="AB60" i="38"/>
  <c r="AB108" i="26"/>
  <c r="AB37" i="26"/>
  <c r="AB102" i="26"/>
  <c r="AB81" i="26"/>
  <c r="AB64" i="38"/>
  <c r="AB97" i="26"/>
  <c r="AB106" i="26"/>
  <c r="AB38" i="38"/>
  <c r="AB90" i="26"/>
  <c r="AB57" i="26"/>
  <c r="AB109" i="38"/>
  <c r="AB72" i="38"/>
  <c r="AB88" i="26"/>
  <c r="AB163" i="38"/>
  <c r="AB61" i="26"/>
  <c r="AB117" i="38"/>
  <c r="AB96" i="38"/>
  <c r="AB35" i="26"/>
  <c r="AB118" i="26"/>
  <c r="AB41" i="38"/>
  <c r="AB57" i="38"/>
  <c r="AB120" i="38"/>
  <c r="AB31" i="26"/>
  <c r="AB52" i="26"/>
  <c r="AB74" i="38"/>
  <c r="AB63" i="26"/>
  <c r="AB47" i="26"/>
  <c r="AB162" i="26"/>
  <c r="AB94" i="38"/>
  <c r="AB50" i="26"/>
  <c r="AB95" i="38"/>
  <c r="AB89" i="38"/>
  <c r="AB79" i="26"/>
  <c r="AB114" i="38"/>
  <c r="AB96" i="26"/>
  <c r="AB88" i="38"/>
  <c r="AB99" i="26"/>
  <c r="AB73" i="26"/>
  <c r="AB91" i="38"/>
  <c r="AB85" i="38"/>
  <c r="AB48" i="38"/>
  <c r="AB164" i="38"/>
  <c r="AB80" i="26"/>
  <c r="AB40" i="26"/>
  <c r="AB14" i="26"/>
  <c r="AB136" i="38"/>
  <c r="AB16" i="26"/>
  <c r="AB74" i="26"/>
  <c r="AB27" i="38"/>
  <c r="AB78" i="26"/>
  <c r="AB37" i="38"/>
  <c r="AB109" i="26"/>
  <c r="AB121" i="26"/>
  <c r="AB51" i="38"/>
  <c r="AB119" i="38"/>
  <c r="AB86" i="26"/>
  <c r="AB104" i="26"/>
  <c r="AB95" i="26"/>
  <c r="AB46" i="38"/>
  <c r="AB63" i="38"/>
  <c r="AB100" i="26"/>
  <c r="AB51" i="26"/>
  <c r="AB54" i="26"/>
  <c r="AB32" i="26"/>
  <c r="AB28" i="26"/>
  <c r="AB44" i="26"/>
  <c r="AB15" i="26"/>
  <c r="AB49" i="26"/>
  <c r="AB82" i="26"/>
  <c r="AB35" i="38"/>
  <c r="AB32" i="38"/>
  <c r="AB119" i="26"/>
  <c r="AB85" i="26"/>
  <c r="AB43" i="38"/>
  <c r="AB72" i="26"/>
  <c r="AB58" i="26"/>
  <c r="AB30" i="38"/>
  <c r="AB45" i="26"/>
  <c r="AB36" i="38"/>
  <c r="AB111" i="38"/>
  <c r="AB34" i="26"/>
  <c r="AB53" i="38"/>
  <c r="AB76" i="38"/>
  <c r="AB99" i="38"/>
  <c r="AB46" i="26"/>
  <c r="AB113" i="26"/>
  <c r="AB31" i="38"/>
  <c r="AB30" i="26"/>
  <c r="AB107" i="26"/>
  <c r="AB108" i="38"/>
  <c r="AB120" i="26"/>
  <c r="AB77" i="38"/>
  <c r="AB77" i="26"/>
  <c r="AB59" i="26"/>
  <c r="AB137" i="38"/>
  <c r="AB73" i="38"/>
  <c r="AB58" i="38"/>
  <c r="AB81" i="38"/>
  <c r="AB33" i="26"/>
  <c r="AB62" i="26"/>
  <c r="AB42" i="26"/>
  <c r="AB61" i="38"/>
  <c r="AB34" i="38"/>
  <c r="AB162" i="38"/>
  <c r="AO123" i="26" l="1"/>
  <c r="AO161" i="26"/>
  <c r="AO157" i="26"/>
  <c r="AO127" i="26"/>
  <c r="AO135" i="26"/>
  <c r="AO153" i="26"/>
  <c r="AO125" i="26"/>
  <c r="AO133" i="26"/>
  <c r="AO131" i="26"/>
  <c r="AO159" i="26"/>
  <c r="AO155" i="26"/>
  <c r="AO129" i="26"/>
  <c r="K5" i="38"/>
  <c r="J5" i="38"/>
  <c r="K4" i="38"/>
  <c r="J3" i="38"/>
  <c r="K3" i="38"/>
  <c r="AO125" i="38"/>
  <c r="AO133" i="38"/>
  <c r="AO128" i="38"/>
  <c r="AO126" i="38"/>
  <c r="AO124" i="38"/>
  <c r="AO134" i="38"/>
  <c r="AO156" i="38"/>
  <c r="AO135" i="38"/>
  <c r="AO131" i="38"/>
  <c r="AO130" i="38"/>
  <c r="AO157" i="38"/>
  <c r="AO155" i="38"/>
  <c r="AO132" i="38"/>
  <c r="AO158" i="38"/>
  <c r="AO122" i="38"/>
  <c r="AO123" i="38"/>
  <c r="AO160" i="38"/>
  <c r="AO153" i="38"/>
  <c r="AO152" i="38"/>
  <c r="AO127" i="38"/>
  <c r="AO161" i="38"/>
  <c r="AO154" i="38"/>
  <c r="AO129" i="38"/>
  <c r="AO159" i="38"/>
  <c r="AA165" i="26"/>
  <c r="AO165" i="26" s="1"/>
  <c r="AA132" i="26"/>
  <c r="AO132" i="26" s="1"/>
  <c r="AA126" i="26"/>
  <c r="AO126" i="26" s="1"/>
  <c r="AA134" i="26"/>
  <c r="AO134" i="26" s="1"/>
  <c r="AA124" i="26"/>
  <c r="AO124" i="26" s="1"/>
  <c r="AA158" i="26"/>
  <c r="AO158" i="26" s="1"/>
  <c r="AA130" i="26"/>
  <c r="AO130" i="26" s="1"/>
  <c r="AA122" i="26"/>
  <c r="AO122" i="26" s="1"/>
  <c r="AA128" i="26"/>
  <c r="AO128" i="26" s="1"/>
  <c r="AA152" i="26"/>
  <c r="AO152" i="26" s="1"/>
  <c r="N4" i="38"/>
  <c r="J4" i="38"/>
  <c r="L4" i="38"/>
  <c r="M4" i="38"/>
  <c r="L3" i="38"/>
  <c r="N5" i="38"/>
  <c r="N3" i="38"/>
  <c r="AB157" i="38"/>
  <c r="AB159" i="38"/>
  <c r="AB158" i="38"/>
  <c r="L5" i="38"/>
  <c r="AB153" i="38"/>
  <c r="M3" i="38"/>
  <c r="AB156" i="38"/>
  <c r="AB152" i="38"/>
  <c r="AB155" i="38"/>
  <c r="AB160" i="38"/>
  <c r="AB161" i="38"/>
  <c r="AB154" i="38"/>
  <c r="AB124" i="38"/>
  <c r="AB134" i="38"/>
  <c r="AB126" i="38"/>
  <c r="AB127" i="38"/>
  <c r="AB130" i="38"/>
  <c r="AB132" i="38"/>
  <c r="AB135" i="38"/>
  <c r="AB131" i="38"/>
  <c r="M5" i="38"/>
  <c r="AB123" i="38"/>
  <c r="AB129" i="38"/>
  <c r="AB125" i="38"/>
  <c r="AB133" i="38"/>
  <c r="AB128" i="38"/>
  <c r="AB122" i="38"/>
  <c r="AB161" i="26"/>
  <c r="AB159" i="26"/>
  <c r="AB157" i="26"/>
  <c r="AB155" i="26"/>
  <c r="AB153" i="26"/>
  <c r="AB135" i="26"/>
  <c r="AB133" i="26"/>
  <c r="AB131" i="26"/>
  <c r="AB129" i="26"/>
  <c r="AB127" i="26"/>
  <c r="AB125" i="26"/>
  <c r="AB123" i="26"/>
  <c r="N3" i="26" l="1"/>
  <c r="L3" i="26"/>
  <c r="K3" i="26"/>
  <c r="J3" i="26"/>
  <c r="AB165" i="26"/>
  <c r="AB152" i="26"/>
  <c r="AB128" i="26"/>
  <c r="AB130" i="26"/>
  <c r="AB126" i="26"/>
  <c r="AB132" i="26"/>
  <c r="AB158" i="26"/>
  <c r="AB122" i="26"/>
  <c r="AB124" i="26"/>
  <c r="AB134" i="26"/>
  <c r="L4" i="26"/>
  <c r="J4" i="26"/>
  <c r="K5" i="26"/>
  <c r="L5" i="26"/>
  <c r="N5" i="26"/>
  <c r="M5" i="26"/>
  <c r="J5" i="26"/>
  <c r="K4" i="26"/>
  <c r="M4" i="26"/>
  <c r="N4" i="26"/>
  <c r="M3"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Valecia Stocchetti</author>
  </authors>
  <commentList>
    <comment ref="E34" authorId="0" shapeId="0" xr:uid="{493BFA74-EDDD-4957-A766-2A45CBF28B8D}">
      <text>
        <r>
          <rPr>
            <sz val="9"/>
            <color indexed="81"/>
            <rFont val="Tahoma"/>
            <family val="2"/>
          </rPr>
          <t>This enterprise could tolerate a loss up to $500,000.</t>
        </r>
      </text>
    </comment>
    <comment ref="E35" authorId="0" shapeId="0" xr:uid="{5C8D4536-CA35-4D44-A229-3F9BBE587278}">
      <text>
        <r>
          <rPr>
            <sz val="9"/>
            <color indexed="81"/>
            <rFont val="Tahoma"/>
            <family val="2"/>
          </rPr>
          <t>If this enterprise loses more than $2,500,000, they could not recover.</t>
        </r>
      </text>
    </comment>
  </commentList>
</comments>
</file>

<file path=xl/sharedStrings.xml><?xml version="1.0" encoding="utf-8"?>
<sst xmlns="http://schemas.openxmlformats.org/spreadsheetml/2006/main" count="4822" uniqueCount="687">
  <si>
    <t>Impact to Mission</t>
  </si>
  <si>
    <t>Impact to Obligations</t>
  </si>
  <si>
    <t>Risk Score</t>
  </si>
  <si>
    <t>Risk Level</t>
  </si>
  <si>
    <t>Definition</t>
  </si>
  <si>
    <t>Impact Scores</t>
  </si>
  <si>
    <t>Mission</t>
  </si>
  <si>
    <t>Acceptable Risk Score</t>
  </si>
  <si>
    <t>Risk Acceptance Criteria</t>
  </si>
  <si>
    <t>Sum of Threat Count / Industry</t>
  </si>
  <si>
    <t>Percentage</t>
  </si>
  <si>
    <t>Maturity</t>
  </si>
  <si>
    <t>Index</t>
  </si>
  <si>
    <t>Address Unauthorized Assets</t>
  </si>
  <si>
    <t>Use Unique Passwords</t>
  </si>
  <si>
    <t>Ensure Use of Only Fully Supported Browsers and Email Clients</t>
  </si>
  <si>
    <t>Disable Dormant Accounts</t>
  </si>
  <si>
    <t>Impact Criteria</t>
  </si>
  <si>
    <t>VCDB Index</t>
  </si>
  <si>
    <t>VCDB Index Weight Table</t>
  </si>
  <si>
    <t>Asset Class</t>
  </si>
  <si>
    <t>Obligations</t>
  </si>
  <si>
    <t>Scope</t>
  </si>
  <si>
    <t>Last Completed (Date)</t>
  </si>
  <si>
    <t>Risk Register</t>
  </si>
  <si>
    <t>Risk Treatment Safeguard</t>
  </si>
  <si>
    <t>Implementation Year</t>
  </si>
  <si>
    <t>Year</t>
  </si>
  <si>
    <t>Reasonable?</t>
  </si>
  <si>
    <t>Risk Treatment
Safeguard Title</t>
  </si>
  <si>
    <t>Risk Treatment
Safeguard Description</t>
  </si>
  <si>
    <t>Risk Treatment Safeguard Impact to Mission</t>
  </si>
  <si>
    <t>Risk Treatment Safeguard Impact to Obligations</t>
  </si>
  <si>
    <t>Risk Treatment Safeguard Cost</t>
  </si>
  <si>
    <t>Risk Treatment Safeguard Risk Score</t>
  </si>
  <si>
    <t>Establish and Maintain Detailed Enterprise Asset Inventory</t>
  </si>
  <si>
    <t>Establish and Maintain a Software Inventory</t>
  </si>
  <si>
    <t xml:space="preserve">Ensure Authorized Software is Currently Supported </t>
  </si>
  <si>
    <t>Address Unauthorized Software</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</si>
  <si>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</si>
  <si>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</si>
  <si>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</si>
  <si>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</si>
  <si>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</si>
  <si>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</si>
  <si>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Secure Configuration Process</t>
  </si>
  <si>
    <t>Establish and Maintain a Secure Configuration Process for Network Infrastructure</t>
  </si>
  <si>
    <t>Configure Automatic Session Locking on Enterprise Assets</t>
  </si>
  <si>
    <t>Implement and Manage a Firewall on Servers</t>
  </si>
  <si>
    <t>Implement and Manage a Firewall on End-User Devices</t>
  </si>
  <si>
    <t>Securely Manage Enterprise Assets and Software</t>
  </si>
  <si>
    <t>Manage Default Accounts on Enterprise Assets and Software</t>
  </si>
  <si>
    <t>Establish and Maintain an Inventory of Accounts</t>
  </si>
  <si>
    <t>Restrict Administrator Privileges to Dedicated Administrator Accounts</t>
  </si>
  <si>
    <t>Establish an Access Granting Process</t>
  </si>
  <si>
    <t>Establish an Access Revoking Process</t>
  </si>
  <si>
    <t>Require MFA for Externally-Exposed Applications</t>
  </si>
  <si>
    <t>Require MFA for Remote Network Access</t>
  </si>
  <si>
    <t>Require MFA for Administrative Access</t>
  </si>
  <si>
    <t>Establish and Maintain a Vulnerability Management Process</t>
  </si>
  <si>
    <t>Establish and Maintain a Remediation Process</t>
  </si>
  <si>
    <t>Perform Automated Operating System Patch Management</t>
  </si>
  <si>
    <t>Perform Automated Application Patch Management</t>
  </si>
  <si>
    <t>Establish and Maintain an Audit Log Management Process</t>
  </si>
  <si>
    <t>Collect Audit Logs</t>
  </si>
  <si>
    <t>Ensure Adequate Audit Log Storage</t>
  </si>
  <si>
    <t>Use DNS Filtering Services</t>
  </si>
  <si>
    <t>Deploy and Maintain Anti-Malware Software</t>
  </si>
  <si>
    <t>Configure Automatic Anti-Malware Signature Updates</t>
  </si>
  <si>
    <t>Disable Autorun and Autoplay for Removable Media</t>
  </si>
  <si>
    <t>Establish and Maintain a Data Recovery Process </t>
  </si>
  <si>
    <t>Perform Automated Backups </t>
  </si>
  <si>
    <t>Protect Recovery Data</t>
  </si>
  <si>
    <t>Establish and Maintain an Isolated Instance of Recovery Data </t>
  </si>
  <si>
    <t>Ensure Network Infrastructure is Up-to-Date</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</si>
  <si>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</si>
  <si>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</si>
  <si>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</si>
  <si>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</si>
  <si>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</si>
  <si>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</si>
  <si>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How to Identify and Report if Their Enterprise Assets are Missing Security Updates</t>
  </si>
  <si>
    <t>Train Workforce on the Dangers of Connecting to and Transmitting Enterprise Data Over Insecure Networks</t>
  </si>
  <si>
    <t>Establish and Maintain an Inventory of Service Providers</t>
  </si>
  <si>
    <t>Designate Personnel to Manage Incident Handling</t>
  </si>
  <si>
    <t>Establish and Maintain Contact Information for Reporting Security Incidents</t>
  </si>
  <si>
    <t>Establish and Maintain an Enterprise Process for Reporting Incidents</t>
  </si>
  <si>
    <t>Data</t>
  </si>
  <si>
    <t>Devices</t>
  </si>
  <si>
    <t>Applications</t>
  </si>
  <si>
    <t>Network</t>
  </si>
  <si>
    <t>Users</t>
  </si>
  <si>
    <t>Enterprise</t>
  </si>
  <si>
    <t>Enterprise Name</t>
  </si>
  <si>
    <t>Operational Objectives</t>
  </si>
  <si>
    <t>Financial Objectives</t>
  </si>
  <si>
    <t>Impact to Operational Objectives</t>
  </si>
  <si>
    <t>Risk Treatment Safeguard Impact to Operational Objectives</t>
  </si>
  <si>
    <t>Impact to Financial Objectives</t>
  </si>
  <si>
    <t>Incident Count</t>
  </si>
  <si>
    <t>As of</t>
  </si>
  <si>
    <t>VCDB Index Lookup</t>
  </si>
  <si>
    <t>Unknown</t>
  </si>
  <si>
    <t>Implementation Quarter</t>
  </si>
  <si>
    <t>Safeguard is not implemented or is inconsistently implemented.</t>
  </si>
  <si>
    <t>Safeguard is implemented fully on some assets or partially on all assets.</t>
  </si>
  <si>
    <t>Safeguard is implemented on all assets.</t>
  </si>
  <si>
    <t>CIS Safeguard #</t>
  </si>
  <si>
    <t>CIS Safeguard Title</t>
  </si>
  <si>
    <t>Our Planned Implementation</t>
  </si>
  <si>
    <t>Risk Treatment</t>
  </si>
  <si>
    <t>Reasonable and Acceptable</t>
  </si>
  <si>
    <t>Risk Analysis</t>
  </si>
  <si>
    <t>Required</t>
  </si>
  <si>
    <t>Optional</t>
  </si>
  <si>
    <t>Color Key</t>
  </si>
  <si>
    <t>Meaning</t>
  </si>
  <si>
    <t>For user input. Risk assessors will add values into these columns.</t>
  </si>
  <si>
    <t>For optional user input. Risk assessors may add values into these columns if it's useful to them.</t>
  </si>
  <si>
    <t>Used to evaluate risk acceptance</t>
  </si>
  <si>
    <t>Used to populate "VCDB Index"</t>
  </si>
  <si>
    <t>Color</t>
  </si>
  <si>
    <t>Safeguard Maturity Score</t>
  </si>
  <si>
    <t>Risk Treatment Safeguard Maturity Score</t>
  </si>
  <si>
    <t>Used for "Safeguard Maturity Score" and "Risk Treatment Safeguard Maturity Score"</t>
  </si>
  <si>
    <t>Maturity Scores</t>
  </si>
  <si>
    <t>Risk Treatment Option</t>
  </si>
  <si>
    <t>Safeguard is tested and inconsistencies are corrected.</t>
  </si>
  <si>
    <t>Safeguard has mechanisms that ensure consistent implementation over time.</t>
  </si>
  <si>
    <t>1. Negligible</t>
  </si>
  <si>
    <t>2. Acceptable</t>
  </si>
  <si>
    <t>3. Unacceptable</t>
  </si>
  <si>
    <t>4. High</t>
  </si>
  <si>
    <t>5. Catastrophic</t>
  </si>
  <si>
    <t>Acceptable</t>
  </si>
  <si>
    <t>Unacceptable</t>
  </si>
  <si>
    <t>High</t>
  </si>
  <si>
    <t>What observable evidence would you have that your mission - as you defined it above - would be unaffected?</t>
  </si>
  <si>
    <t>What observable evidence would you have that your mission would be compromised, but it would not require correction?</t>
  </si>
  <si>
    <t>What observable evidence would you have that your mission would be compromised so badly that extraordinary efforts would be required to restore it?</t>
  </si>
  <si>
    <t>What observable evidence would you have that your mission would be compromised in a way that would require correction, but the correction could be achieved through the normal course of business?</t>
  </si>
  <si>
    <t>Catastrophic</t>
  </si>
  <si>
    <t>What business or organizational goals does the enterprise attempt to achieve?</t>
  </si>
  <si>
    <t>What are the unexpected cost outlays that your enterprise could or could not tolerate?</t>
  </si>
  <si>
    <t>What observable evidence would you have that your operational objectives - as you defined them above - would be unaffected?</t>
  </si>
  <si>
    <t>What observable evidence would you have that your operational objectives would be compromised, but it would not require correction?</t>
  </si>
  <si>
    <t>What observable evidence would you have that your operational objectives would be compromised in a way that would require correction, but the correction could be achieved through the normal course of business?</t>
  </si>
  <si>
    <t>What observable evidence would you have that your operational objectives would be compromised so badly that extraordinary efforts would be required to restore them?</t>
  </si>
  <si>
    <t>What observable evidence would you have that your financial objectives - as you defined them above - would be unaffected?</t>
  </si>
  <si>
    <t>What observable evidence would you have that your financial objectives would be compromised, but it would not require correction?</t>
  </si>
  <si>
    <t>What observable evidence would you have that your financial objectives would be compromised in a way that would require correction, but the correction could be achieved through the normal course of business?</t>
  </si>
  <si>
    <t>What observable evidence would you have that your financial objectives would be compromised so badly that extraordinary efforts would be required to restore them?</t>
  </si>
  <si>
    <t>Prompt</t>
  </si>
  <si>
    <t>Negligible</t>
  </si>
  <si>
    <t>Enterprise Risk Assessment Criteria</t>
  </si>
  <si>
    <t>Utilize Automated Software Inventory Tools</t>
  </si>
  <si>
    <t>Allowlist Authorized Software</t>
  </si>
  <si>
    <t>Allowlist Authorized Libraries</t>
  </si>
  <si>
    <t>Perform Automated Vulnerability Scans of Internal Enterprise Assets</t>
  </si>
  <si>
    <t>Perform Automated Vulnerability Scans of Externally-Exposed Enterprise Assets</t>
  </si>
  <si>
    <t>Remediate Detected Vulnerabilities</t>
  </si>
  <si>
    <t>Restrict Unnecessary or Unauthorized Browser and Email Client Extensions</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</si>
  <si>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</si>
  <si>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</si>
  <si>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</si>
  <si>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</si>
  <si>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</si>
  <si>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</si>
  <si>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Separate Production and Non-Production Systems</t>
  </si>
  <si>
    <t>Train Developers in Application Security Concepts and Secure Coding</t>
  </si>
  <si>
    <t>Apply Secure Design Principles in Application Architectures</t>
  </si>
  <si>
    <t>Leverage Vetted Modules or Services for Application Security Components</t>
  </si>
  <si>
    <t>Establish and Maintain a Data Classification Scheme</t>
  </si>
  <si>
    <t>Document Data Flows</t>
  </si>
  <si>
    <t>Encrypt Data on Removable Media</t>
  </si>
  <si>
    <t>Encrypt Sensitive Data in Transit</t>
  </si>
  <si>
    <t>Encrypt Sensitive Data at Rest</t>
  </si>
  <si>
    <t>Test Data Recovery</t>
  </si>
  <si>
    <t>Utilize an Active Discovery Tool</t>
  </si>
  <si>
    <t>Use Dynamic Host Configuration Protocol (DHCP) Logging to Update Enterprise Asset Inventory</t>
  </si>
  <si>
    <t>Uninstall or Disable Unnecessary Services on Enterprise Assets and Software</t>
  </si>
  <si>
    <t>Configure Trusted DNS Servers on Enterprise Assets</t>
  </si>
  <si>
    <t>Enforce Automatic Device Lockout on Portable End-User Devices</t>
  </si>
  <si>
    <t>Enforce Remote Wipe Capability on Portable End-User Devices</t>
  </si>
  <si>
    <t>Collect Command-Line Audit Logs</t>
  </si>
  <si>
    <t>Configure Automatic Anti-Malware Scanning of Removable Media</t>
  </si>
  <si>
    <t>Enable Anti-Exploitation Features</t>
  </si>
  <si>
    <t>Centrally Manage Anti-Malware Software</t>
  </si>
  <si>
    <t>Use Behavior-Based Anti-Malware Software</t>
  </si>
  <si>
    <t>Ensure Remote Devices Utilize a VPN and are Connecting to an Enterprise’s AAA Infrastructure</t>
  </si>
  <si>
    <t>Deploy a Host-Based Intrusion Detection Solution</t>
  </si>
  <si>
    <t>Manage Access Control for Remote Assets</t>
  </si>
  <si>
    <t>Conduct Role-Specific Security Awareness and Skills Training</t>
  </si>
  <si>
    <t>Establish and Maintain a Service Provider Management Policy</t>
  </si>
  <si>
    <t>Classify Service Providers</t>
  </si>
  <si>
    <t>Ensure Service Provider Contracts Include Security Requirements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</si>
  <si>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</si>
  <si>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</si>
  <si>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</si>
  <si>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</si>
  <si>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</si>
  <si>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a Penetration Testing Program</t>
  </si>
  <si>
    <t>Segment Data Processing and Storage Based on Sensitivity</t>
  </si>
  <si>
    <t>Standardize Time Synchronization</t>
  </si>
  <si>
    <t>Collect Detailed Audit Logs</t>
  </si>
  <si>
    <t>Collect DNS Query Audit Logs</t>
  </si>
  <si>
    <t>Collect URL Request Audit Logs</t>
  </si>
  <si>
    <t>Centralize Audit Logs</t>
  </si>
  <si>
    <t>Retain Audit Logs</t>
  </si>
  <si>
    <t>Conduct Audit Log Reviews</t>
  </si>
  <si>
    <t>Maintain and Enforce Network-Based URL Filters</t>
  </si>
  <si>
    <t>Implement DMARC</t>
  </si>
  <si>
    <t>Block Unnecessary File Types</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</si>
  <si>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</si>
  <si>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</si>
  <si>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</si>
  <si>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</si>
  <si>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</si>
  <si>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Centralize Security Event Alerting</t>
  </si>
  <si>
    <t>Deploy a Network Intrusion Detection Solution</t>
  </si>
  <si>
    <t>Perform Traffic Filtering Between Network Segments</t>
  </si>
  <si>
    <t xml:space="preserve">Collect Network Traffic Flow Logs </t>
  </si>
  <si>
    <t>Perform Periodic External Penetration Tests</t>
  </si>
  <si>
    <t>Remediate Penetration Test Findings</t>
  </si>
  <si>
    <t>Establish and Maintain an Inventory of Service Accounts</t>
  </si>
  <si>
    <t>Centralize Account Management</t>
  </si>
  <si>
    <t>Establish and Maintain an Inventory of Authentication and Authorization Systems</t>
  </si>
  <si>
    <t>Centralize Access Control</t>
  </si>
  <si>
    <t>Establish and Manage an Inventory of Third-Party Software Components</t>
  </si>
  <si>
    <t>Criteria</t>
  </si>
  <si>
    <t>Remote</t>
  </si>
  <si>
    <t>Unlikely</t>
  </si>
  <si>
    <t>As likely as not</t>
  </si>
  <si>
    <t>Likely</t>
  </si>
  <si>
    <t>Certain</t>
  </si>
  <si>
    <t>Impact</t>
  </si>
  <si>
    <t>Acceptable Risk is less than …</t>
  </si>
  <si>
    <t>To maintain our market position as the best custom widgets manufacturer.</t>
  </si>
  <si>
    <t>Impact Magnitude</t>
  </si>
  <si>
    <t>All orders would be produced within specifications and on time and without unplanned effort.</t>
  </si>
  <si>
    <t>We could not meet our mission.</t>
  </si>
  <si>
    <t>All orders would be produced within specifications and on time, but some may require unplanned effort to stay within tolerance metrics.</t>
  </si>
  <si>
    <t>Few orders each quarter (outside of our tolerance metrics) may miss targets, but could be corrected with adjustments or discounts.</t>
  </si>
  <si>
    <t xml:space="preserve">We would repeatedly miss targets outside of tolerance metrics, requiring regular adjustments or discounts per quarter, or would require significant re-investment to operate regularly within our tolerance metrics. </t>
  </si>
  <si>
    <t>To achieve our profit goals each year.</t>
  </si>
  <si>
    <t>Leave this blank</t>
  </si>
  <si>
    <t>Ranked as #1 in all categories in annual "Custom Widget World" Magazine poll.</t>
  </si>
  <si>
    <t>Ranked as #1 in only one category of "Custom Widget World" Magazine poll for only one year.</t>
  </si>
  <si>
    <t>Not ranked #1 in any category of "Custom Widget World" Magazine poll for one year.</t>
  </si>
  <si>
    <t>Not ranked in top three in any category of "Custom Widget World" Magazine poll for two years or more.</t>
  </si>
  <si>
    <t>Unable to rank well in annual "Custom Widget World" Magazine poll.</t>
  </si>
  <si>
    <t>Describe a condition where one or few others would be harmed to a degree that you could correct.</t>
  </si>
  <si>
    <t>To protect our customers from harm due to loss of their intellectual property.</t>
  </si>
  <si>
    <t>Describe a condition where others would not be harmed.</t>
  </si>
  <si>
    <t>Asset Name</t>
  </si>
  <si>
    <t>Automated or fixed values on the Risk Analysis side of the Risk Register. While the worksheet is in protected mode, these values cannot be changed.</t>
  </si>
  <si>
    <t>Automated or fixed values on the Risk Treatment side of the Risk Register. While the worksheet is in protected mode, these values cannot be changed.</t>
  </si>
  <si>
    <t>Title</t>
  </si>
  <si>
    <t>The unique CIS Safeguard identifier, as published in the CIS Controls.</t>
  </si>
  <si>
    <t>The title of the CIS Safeguard, as published in the CIS Controls.</t>
  </si>
  <si>
    <t>The asset class, as published in the CIS Controls.</t>
  </si>
  <si>
    <t>A score of '1' through '5' designating the reliability of a Safeguard's effectiveness against threats.</t>
  </si>
  <si>
    <t>An automatically calculated value to represent how common the related threat is as a cause for reported cybersecurity incidents.</t>
  </si>
  <si>
    <t>The magnitude of harm that a successful threat would cause to your Mission.</t>
  </si>
  <si>
    <t>The magnitude of harm that a successful threat would cause to your Operational Objectives.</t>
  </si>
  <si>
    <t>The magnitude of harm that a successful threat would cause to your Obligations.</t>
  </si>
  <si>
    <t>A statement about whether the enterprise will accept or reduce the risk.</t>
  </si>
  <si>
    <t>The description of the CIS Safeguard, as published in the CIS Controls.</t>
  </si>
  <si>
    <t>A brief description of how the Safeguard will be implemented and operated in the enterprise.</t>
  </si>
  <si>
    <t>A score of '1' through '5' designating the planned reliability of a Safeguard's effectiveness against threats.</t>
  </si>
  <si>
    <t>An automatically calculated value to represent how commonly the related threat would be the cause of a cybersecurity incident, given the planned Safeguard.</t>
  </si>
  <si>
    <t>A determination of whether the planned Safeguard is reasonable and acceptable.</t>
  </si>
  <si>
    <t>An estimate of how much the Safeguard is expected to cost.</t>
  </si>
  <si>
    <t>When the Safeguard is planned for completion of implementation (which quarter).</t>
  </si>
  <si>
    <t>When the Safeguard is planned for completion of implementation (which year).</t>
  </si>
  <si>
    <t>CIS CSAT Pro</t>
  </si>
  <si>
    <t>Instructions for Importing CIS CSAT Pro Scores into CIS RAM</t>
  </si>
  <si>
    <t>Note: Please ensure that your enterprise's method for scoring Safeguards in CSAT Pro aligns closely enough with the CIS RAM Maturity Scores (defined below). Adjustments may need to be made based on your current scoring.</t>
  </si>
  <si>
    <t>CIS CSAT Pro for CIS Controls v8.0</t>
  </si>
  <si>
    <t>CSAT Pro Export Score</t>
  </si>
  <si>
    <t>CSAT Pro Score (Stripped)</t>
  </si>
  <si>
    <t>CIS RAM Maturity Score Final</t>
  </si>
  <si>
    <t>CIS-Hosted CSAT</t>
  </si>
  <si>
    <t>Instructions for Importing CIS-Hosted CSAT Scores into CIS RAM</t>
  </si>
  <si>
    <r>
      <t xml:space="preserve">Note: This method will average the four scoring categories in CIS-Hosted CSAT for each Safeguard and aligns those averages with the CIS RAM Maturity Scores.  Please review the CIS RAM Maturity Scores, </t>
    </r>
    <r>
      <rPr>
        <b/>
        <u/>
        <sz val="11"/>
        <color rgb="FFFF0000"/>
        <rFont val="Arial"/>
        <family val="2"/>
      </rPr>
      <t>as defined below</t>
    </r>
    <r>
      <rPr>
        <b/>
        <sz val="11"/>
        <color rgb="FFFF0000"/>
        <rFont val="Arial"/>
        <family val="2"/>
      </rPr>
      <t>, to ensure this method aligns closely enough for your enterprise's scoring practices.</t>
    </r>
  </si>
  <si>
    <t>CIS-Hosted CSAT Maturity Scores</t>
  </si>
  <si>
    <t>Policy Defined</t>
  </si>
  <si>
    <t>Control Implemented</t>
  </si>
  <si>
    <t>Control Automated</t>
  </si>
  <si>
    <t>Control Reported</t>
  </si>
  <si>
    <t>No Policy</t>
  </si>
  <si>
    <t>Not Implemented</t>
  </si>
  <si>
    <t>Not Automated</t>
  </si>
  <si>
    <t>Not Reported</t>
  </si>
  <si>
    <t>Informal Policy</t>
  </si>
  <si>
    <t>Parts of Policy Implemented</t>
  </si>
  <si>
    <t>Parts of Policy Automated</t>
  </si>
  <si>
    <t>Parts of Policy Reported</t>
  </si>
  <si>
    <t>Partially Written Policy</t>
  </si>
  <si>
    <t>Implemented on Some Systems</t>
  </si>
  <si>
    <t>Automated on Some Systems</t>
  </si>
  <si>
    <t>Reported on Some Systems</t>
  </si>
  <si>
    <t>Written Policy</t>
  </si>
  <si>
    <t>Implemented on Most Systems</t>
  </si>
  <si>
    <t>Automated on Most Systems</t>
  </si>
  <si>
    <t>Reported on Most Systems</t>
  </si>
  <si>
    <t>Approved Written Policy</t>
  </si>
  <si>
    <t>Implemented on All Systems</t>
  </si>
  <si>
    <t>Automated on All Systems</t>
  </si>
  <si>
    <t>Reported on All Systems</t>
  </si>
  <si>
    <t>Unknown - Unscored</t>
  </si>
  <si>
    <t>None</t>
  </si>
  <si>
    <t>Unknown - N/A</t>
  </si>
  <si>
    <t>Not Applicable</t>
  </si>
  <si>
    <t>CIS-Hosted CSAT Values From XLSX Export</t>
  </si>
  <si>
    <t>Calculated Numerical Score</t>
  </si>
  <si>
    <t>CIS RAM Maturity Score Average</t>
  </si>
  <si>
    <t>CIS-Hosted CSAT for CIS Controls v8.0</t>
  </si>
  <si>
    <t>https://www.cisecurity.org/controls/v8/</t>
  </si>
  <si>
    <t>Join our Community where you can discuss the CIS Controls with our global army of experts and volunteers!</t>
  </si>
  <si>
    <t>https://workbench.cisecurity.org/dashboard</t>
  </si>
  <si>
    <t>CIS CSAT (Controls Self Assessment Tool)</t>
  </si>
  <si>
    <t>TWO TYPES:</t>
  </si>
  <si>
    <t>https://csat.cisecurity.org/</t>
  </si>
  <si>
    <t>https://www.cisecurity.org/controls/cis-controls-self-assessment-tool-cis-csat/</t>
  </si>
  <si>
    <t>5 (81-100%)</t>
  </si>
  <si>
    <t>3 (41-60%)</t>
  </si>
  <si>
    <t>4 (61-80%)</t>
  </si>
  <si>
    <t>2 (21-40%)</t>
  </si>
  <si>
    <t>Not Available</t>
  </si>
  <si>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mission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</si>
  <si>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operational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</si>
  <si>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financial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</si>
  <si>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obligations (harm, to others)  were acceptable, or unacceptable.</t>
    </r>
  </si>
  <si>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</si>
  <si>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</si>
  <si>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</si>
  <si>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</si>
  <si>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</si>
  <si>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</si>
  <si>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</si>
  <si>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</si>
  <si>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</si>
  <si>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</si>
  <si>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</si>
  <si>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</si>
  <si>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</si>
  <si>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</si>
  <si>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</si>
  <si>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</si>
  <si>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</si>
  <si>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</si>
  <si>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</si>
  <si>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</si>
  <si>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</si>
  <si>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</si>
  <si>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</si>
  <si>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</si>
  <si>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</si>
  <si>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</si>
  <si>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</si>
  <si>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</si>
  <si>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</si>
  <si>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 xml:space="preserve">Configure trusted DNS servers on enterprise assets. Example implementations include: configuring assets to use enterprise-controlled DNS servers and/or reputable externally accessible DNS servers. </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</si>
  <si>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</si>
  <si>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</si>
  <si>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</si>
  <si>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</si>
  <si>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</si>
  <si>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</si>
  <si>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</si>
  <si>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 through a directory or identity service.</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</si>
  <si>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</si>
  <si>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</si>
  <si>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</si>
  <si>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</si>
  <si>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</si>
  <si>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</si>
  <si>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</si>
  <si>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</si>
  <si>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</si>
  <si>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</si>
  <si>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application updates on enterprise assets through automated patch management on a monthly, or more frequent, basis.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</si>
  <si>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</si>
  <si>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</si>
  <si>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</si>
  <si>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</si>
  <si>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</si>
  <si>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</si>
  <si>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</si>
  <si>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</si>
  <si>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</si>
  <si>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</si>
  <si>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</si>
  <si>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</si>
  <si>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</si>
  <si>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</si>
  <si>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</si>
  <si>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</si>
  <si>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</si>
  <si>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anti-malware software on all enterprise assets.</t>
  </si>
  <si>
    <t>Configure automatic updates for anti-malware signature files on all enterprise assets.</t>
  </si>
  <si>
    <t>Disable autorun and autoplay auto-execute functionality for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</si>
  <si>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</si>
  <si>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</si>
  <si>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</si>
  <si>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</si>
  <si>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</si>
  <si>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</si>
  <si>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</si>
  <si>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</si>
  <si>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</si>
  <si>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</si>
  <si>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</si>
  <si>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</si>
  <si>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</si>
  <si>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</si>
  <si>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</si>
  <si>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</si>
  <si>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</si>
  <si>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</si>
  <si>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</si>
  <si>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</si>
  <si>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</si>
  <si>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Collect network traffic flow logs and/or network traffic to review and alert upon from network devices.</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</si>
  <si>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</si>
  <si>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</si>
  <si>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</si>
  <si>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</si>
  <si>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</si>
  <si>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</si>
  <si>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</si>
  <si>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</si>
  <si>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</si>
  <si>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</si>
  <si>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</si>
  <si>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</si>
  <si>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</si>
  <si>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</si>
  <si>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</si>
  <si>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</si>
  <si>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</si>
  <si>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</si>
  <si>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</si>
  <si>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</si>
  <si>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</si>
  <si>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</si>
  <si>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</si>
  <si>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</si>
  <si>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</si>
  <si>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</si>
  <si>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</si>
  <si>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</si>
  <si>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</si>
  <si>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</si>
  <si>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</si>
  <si>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</si>
  <si>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</si>
  <si>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</si>
  <si>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policy for remediation scope and prioritization.</t>
  </si>
  <si>
    <t>16.10</t>
  </si>
  <si>
    <t>IG1</t>
  </si>
  <si>
    <t>IG2</t>
  </si>
  <si>
    <t>x</t>
  </si>
  <si>
    <t>Risk Treatment Safeguard Impact to Financial Objectives</t>
  </si>
  <si>
    <t>Reasonable Annual Cost</t>
  </si>
  <si>
    <t>Asset Classes</t>
  </si>
  <si>
    <t>Used to associate Safeguards with Asset Classes</t>
  </si>
  <si>
    <t>Expectancy Criteria</t>
  </si>
  <si>
    <t>Expectancy Score</t>
  </si>
  <si>
    <t>Expectancy</t>
  </si>
  <si>
    <t>Vulnerabilities</t>
  </si>
  <si>
    <t>Risk Treatment
Safeguard Expectancy Score</t>
  </si>
  <si>
    <t>The product of the Expectancy and the highest of the three Impacts.</t>
  </si>
  <si>
    <t>The product of the Expectancy and the highest of the three impacts, given the planned Safeguard.</t>
  </si>
  <si>
    <t>Expectancy Scores</t>
  </si>
  <si>
    <t>Used for "Expectancy Score" and "Risk Treatment Safeguard Expectancy Score"</t>
  </si>
  <si>
    <t>Our Implementation</t>
  </si>
  <si>
    <t>Reduce</t>
  </si>
  <si>
    <t>Accept</t>
  </si>
  <si>
    <t>Example Manufacturer</t>
  </si>
  <si>
    <t>Evidence of Implementation</t>
  </si>
  <si>
    <t>How would you concisely describe the benefit that your enterprise provides your customers, clients, constituents, or the public? This is why they engage in this risk with you.</t>
  </si>
  <si>
    <t>Response</t>
  </si>
  <si>
    <t>What observable evidence would you have that your mission would be compromised so badly that it could not be achieved?</t>
  </si>
  <si>
    <t>What observable evidence would you have that your operational objectives would be compromised so badly that they could not be achieved?</t>
  </si>
  <si>
    <t>What harm may foreseeably come to others as a result of a cybersecurity incident?</t>
  </si>
  <si>
    <t>Describe a condition where others would not be harmed to a degree that required correction or compensation.</t>
  </si>
  <si>
    <t>Describe a condition where many others would be harmed to a degree that you could correct, or where few others are harmed to a degree that others would always have a small degree of impairment.</t>
  </si>
  <si>
    <t>Describe a condition where others would be irreparably harmed.</t>
  </si>
  <si>
    <t>Safeguard would reliably prevent the threat.</t>
  </si>
  <si>
    <t>Safeguard would reliably prevent most occurrences of the threat.</t>
  </si>
  <si>
    <t>Safeguard would prevent as many threat occurrences as it would miss.</t>
  </si>
  <si>
    <t>Safeguard would prevent few threat occurrences.</t>
  </si>
  <si>
    <t>Safeguard would not prevent threat occurrences.</t>
  </si>
  <si>
    <t>We would start to invest against risks to prevent this expectancy and impact, or higher.</t>
  </si>
  <si>
    <t>Reliably produce just-in-time, custom widgets that meet demanding resiliency and design specifications, and within market-leading turnaround times.</t>
  </si>
  <si>
    <t>No customer would suffer a loss of competitive advantage.</t>
  </si>
  <si>
    <t>One or few customers may be concerned about potential loss of competitive advantage, but no harm would result.</t>
  </si>
  <si>
    <t>One or few customers would suffer minor loss of competitive advantage, but they could be made whole within a fiscal year.</t>
  </si>
  <si>
    <t>Many customers would suffer minor loss of competitive advantage, or one to few customers would suffer harm that would require significant business investment or planning to recover.</t>
  </si>
  <si>
    <t xml:space="preserve">We would not be able to protect our customers from losses due to intellectual property theft. </t>
  </si>
  <si>
    <t>Red</t>
  </si>
  <si>
    <t>Yellow</t>
  </si>
  <si>
    <t>Green</t>
  </si>
  <si>
    <t>Risk Levels</t>
  </si>
  <si>
    <t>Green indicates that the risk evaluates as “acceptable.”</t>
  </si>
  <si>
    <r>
      <t>Red indicates that the risk is “urgent.”</t>
    </r>
    <r>
      <rPr>
        <sz val="8"/>
        <color rgb="FF1B2B38"/>
        <rFont val="Arial"/>
        <family val="2"/>
      </rPr>
      <t> </t>
    </r>
  </si>
  <si>
    <t>Yellow indicates that the risk is “unacceptably high, but not urgent.”</t>
  </si>
  <si>
    <t>Use Default or Custom Responses</t>
  </si>
  <si>
    <t>The Implementation Group, as published in the CIS Controls.</t>
  </si>
  <si>
    <t>A brief description of how the Safeguard is already implemented and operated in the enterprise.</t>
  </si>
  <si>
    <t>The magnitude of harm that a successful threat would cause to your Financial Objectives.</t>
  </si>
  <si>
    <t>An optional field used to input the name of an individual asset to distinguish its risks from other Asset Class risks.</t>
  </si>
  <si>
    <t>An optional field used to record a vulnerability with a specific asset, such as a vulnerability in an application, as an example.</t>
  </si>
  <si>
    <t>Automated or fixed values on the Reasonable Annual Cost side of the Risk Register. While the worksheet is in protected mode, these values cannot be changed.</t>
  </si>
  <si>
    <t xml:space="preserve">The total Risk Treatment Safeguard Cost for the year. </t>
  </si>
  <si>
    <t>The year the total cost was incurred.</t>
  </si>
  <si>
    <t xml:space="preserve">Whether or not the total cost falls above or below the acceptable limit, based on the Acceptable Criteria for the enterprise's Financial Objectives. </t>
  </si>
  <si>
    <t>Used to calculate "Expectancy Score" and "Risk Treatment Safeguard Expectancy Score"</t>
  </si>
  <si>
    <t>An automatically calculated value to represent how commonly the related threat would be the cause of a cybersecurity incident, given your current Safeguard and the reported commonality of the attack.</t>
  </si>
  <si>
    <t>An evaluation of the risk as negligible, acceptable, unacceptable, high, or catastrophic.</t>
  </si>
  <si>
    <t>v8 Safeguard #</t>
  </si>
  <si>
    <t>Proof to show how the Safeguard is implemented and operated in the enterprise.</t>
  </si>
  <si>
    <t>IG3</t>
  </si>
  <si>
    <t>Implement Code-Level Security Checks</t>
  </si>
  <si>
    <t>Conduct Application Penetration Testing</t>
  </si>
  <si>
    <t>4.10</t>
  </si>
  <si>
    <t>3.10</t>
  </si>
  <si>
    <t>Deploy and Maintain Email Server Anti-Malware Protections</t>
  </si>
  <si>
    <t>8.10</t>
  </si>
  <si>
    <t>Allowlist Authorized Scripts</t>
  </si>
  <si>
    <t>Deploy a Host-Based Intrusion Prevention Solution</t>
  </si>
  <si>
    <t>Perform Application Layer Filtering</t>
  </si>
  <si>
    <t>13.10</t>
  </si>
  <si>
    <t>Establish and Maintain Dedicated Computing Resources for All Administrative Work</t>
  </si>
  <si>
    <t>Perform Periodic Internal Penetration Tests</t>
  </si>
  <si>
    <t>Define and Maintain Role-Based Access Control</t>
  </si>
  <si>
    <t>Deploy a Network Intrusion Prevention Solution</t>
  </si>
  <si>
    <t>Securely Decommission Service Providers</t>
  </si>
  <si>
    <t>Use a Passive Asset Discovery Tool</t>
  </si>
  <si>
    <t>Deploy a Data Loss Prevention Solution</t>
  </si>
  <si>
    <t>Log Sensitive Data Access</t>
  </si>
  <si>
    <t>Separate Enterprise Workspaces on Mobile End-User Devices</t>
  </si>
  <si>
    <t>Collect Service Provider Logs</t>
  </si>
  <si>
    <t>Deploy Port-Level Access Control</t>
  </si>
  <si>
    <t>Tune Security Event Alerting Thresholds</t>
  </si>
  <si>
    <t>Assess Service Providers</t>
  </si>
  <si>
    <t>Monitor Service Providers</t>
  </si>
  <si>
    <t>Conduct Threat Modeling</t>
  </si>
  <si>
    <t>Establish and Maintain Security Incident Thresholds</t>
  </si>
  <si>
    <t>Validate Security Measures</t>
  </si>
  <si>
    <t>Use a passive discovery tool to identify assets connected to the enterprise’s network. Review and use scans to update the enterprise’s asset inventory at least weekly,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</si>
  <si>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</si>
  <si>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</si>
  <si>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</si>
  <si>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</si>
  <si>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t>Ensure separate enterprise workspaces are used on mobile end-user devices, where supported. Example implementations include using an Apple® Configuration Profile or Android™ Work Profile to separate enterprise applications and data from personal applications and data.</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</si>
  <si>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</si>
  <si>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</si>
  <si>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</si>
  <si>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Collect service provider logs, where supported. Example implementations include collecting authentication and authorization events, data creation and disposal events, and user management events.</t>
  </si>
  <si>
    <t>Deploy and maintain email server anti-malware protections, such as attachment scanning and/or sandboxing.</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</si>
  <si>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</si>
  <si>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</si>
  <si>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</si>
  <si>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Deploy port-level access control. Port-level access control utilizes 802.1x, or similar network access control protocols, such as certificates, and may incorporate user and/or device authentication.</t>
  </si>
  <si>
    <t>Perform application layer filtering. Example implementations include a filtering proxy, application layer firewall, or gateway.</t>
  </si>
  <si>
    <t>Tune security event alerting thresholds monthly, or more frequently.</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</si>
  <si>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</si>
  <si>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</si>
  <si>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</si>
  <si>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r>
      <t>Establish and Manage an Inventory of Third</t>
    </r>
    <r>
      <rPr>
        <sz val="12"/>
        <color rgb="FFFF5630"/>
        <rFont val="Arial"/>
        <family val="2"/>
      </rPr>
      <t>-</t>
    </r>
    <r>
      <rPr>
        <sz val="12"/>
        <color theme="1"/>
        <rFont val="Arial"/>
        <family val="2"/>
      </rPr>
      <t>Party Software Components</t>
    </r>
  </si>
  <si>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</si>
  <si>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</si>
  <si>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</si>
  <si>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</si>
  <si>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</si>
  <si>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</si>
  <si>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Threats</t>
  </si>
  <si>
    <t>Alerts and correlation in the SIEM have not been fine-tuned to threats in our specific networks.</t>
  </si>
  <si>
    <t>Recently published threats that are detectable by evaluating correlated indicators may exploit systems undetected.</t>
  </si>
  <si>
    <t>All network devices, systems, and applications send logs to the tiered repository.</t>
  </si>
  <si>
    <t>Some systems' log services may be stopped as part of a well-funded attack.</t>
  </si>
  <si>
    <t>Well-funded attackers may block evidence of their attacks by shutting down logging services.</t>
  </si>
  <si>
    <t>Some unlikely attack methods may flood the network with messages, making threats difficult to analyze.</t>
  </si>
  <si>
    <t>If some system clocks stray from others in the network, log analysis may become difficult.</t>
  </si>
  <si>
    <t>Attackers exploit a system whose clock is not synced with other networked systems, making correlation and detection difficult for us.</t>
  </si>
  <si>
    <t>The SIEM alerts on rules that are provided by the vendor, but we have not tuned the rules to signs of internal misuse.</t>
  </si>
  <si>
    <t>Insider abuse of systems and data would appear indistinguishable from normal use.</t>
  </si>
  <si>
    <t>Personnel may abuse their access to system configurations, records, or network resources undetected.</t>
  </si>
  <si>
    <t>Q3</t>
  </si>
  <si>
    <t>The "Log Management Standard" applies to all systems in the enterprise.</t>
  </si>
  <si>
    <r>
      <t>Establish and maintain an audit log management process that defines the enterprise’s logging requirements. At a minimum, address the collection, review, and retention of audit logs for enterprise assets.</t>
    </r>
    <r>
      <rPr>
        <b/>
        <sz val="10"/>
        <color theme="1"/>
        <rFont val="Arial"/>
        <family val="2"/>
      </rPr>
      <t xml:space="preserve"> </t>
    </r>
    <r>
      <rPr>
        <sz val="10"/>
        <color theme="1"/>
        <rFont val="Arial"/>
        <family val="2"/>
      </rPr>
      <t>Review and update documentation annually, or when significant enterprise changes occur that could impact this Safeguard.</t>
    </r>
  </si>
  <si>
    <t>Risks Associated with Ransomware</t>
  </si>
  <si>
    <t>Risks Associated with Malware</t>
  </si>
  <si>
    <t>Average</t>
  </si>
  <si>
    <t>Unacceptable Count</t>
  </si>
  <si>
    <t>Risks Associated with Web App Hacking</t>
  </si>
  <si>
    <t>The mission would remain intact.</t>
  </si>
  <si>
    <t>This mission would not be perfectly achieved, but could be recovered within normal operations.</t>
  </si>
  <si>
    <t>This mission would not be achieved, and would require short-term, unplanned efforts, resources, or investments to recover.</t>
  </si>
  <si>
    <t>This mission would not be achieved. If significant, unplanned efforts, resources, or investments are not made, the mission may not ever be achievable.</t>
  </si>
  <si>
    <t>The mission would not be achievable.</t>
  </si>
  <si>
    <t>Growth plan would be intact.</t>
  </si>
  <si>
    <t>Growth plan would be off target, but within variance.</t>
  </si>
  <si>
    <t>Growth plan would be out of variance, but can be recovered within a fiscal year.</t>
  </si>
  <si>
    <t>Growth plan would be out of variance, and may require multiple years to correct.</t>
  </si>
  <si>
    <t>We would not be able to grow.</t>
  </si>
  <si>
    <t>No harm could foreseeably result.</t>
  </si>
  <si>
    <t>Any harm that could result would not require correction, repair, or compensation to make the harmed parties "whole."</t>
  </si>
  <si>
    <t>Correctible harm may occur to one or few others.</t>
  </si>
  <si>
    <t>Correctible harm may occur to many others, or harm that can be partially corrected for a few others may occur.</t>
  </si>
  <si>
    <t>We would not be able to protect others from any degree of harm.</t>
  </si>
  <si>
    <t>Risks Associated with Targeted Intrusions</t>
  </si>
  <si>
    <t>Risks Associated with Insider and Privilege Misuse</t>
  </si>
  <si>
    <t>Encrypt data on end-user devices containing sensitive data. Example implementations can include: Windows BitLocker®, Apple FileVault®, Linux® dm-crypt.</t>
  </si>
  <si>
    <t xml:space="preserve">Log sensitive data access, including modification and disposal. </t>
  </si>
  <si>
    <t>Perform automated vulnerability scans of internal enterprise assets on a quarterly, or more frequent, basis. Conduct both authenticated and unauthenticated scans, using a SCAP-compliant vulnerability scanning tool.</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</si>
  <si>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</si>
  <si>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command-line audit logs. Example implementations include collecting audit logs from PowerShell®, BASH™, and remote administrative terminals.</t>
  </si>
  <si>
    <r>
      <t>1)</t>
    </r>
    <r>
      <rPr>
        <sz val="7"/>
        <color rgb="FF1B2B38"/>
        <rFont val="Times New Roman"/>
        <family val="1"/>
      </rPr>
      <t xml:space="preserve">     </t>
    </r>
    <r>
      <rPr>
        <sz val="9"/>
        <color rgb="FF1B2B38"/>
        <rFont val="Arial"/>
        <family val="2"/>
      </rPr>
      <t>In CIS CSAT Pro, filter on IG1, IG2, and IG3 and Export Filtered CSV.</t>
    </r>
  </si>
  <si>
    <r>
      <t>a.</t>
    </r>
    <r>
      <rPr>
        <sz val="7"/>
        <color rgb="FF1B2B38"/>
        <rFont val="Times New Roman"/>
        <family val="1"/>
      </rPr>
      <t xml:space="preserve">     </t>
    </r>
    <r>
      <rPr>
        <sz val="9"/>
        <color rgb="FF1B2B38"/>
        <rFont val="Arial"/>
        <family val="2"/>
      </rPr>
      <t>Go to the Assessment Summary page for the assessment of interest (this is reachable from the Assessment Summary tab at the top of the Assessment Dashboard for that assessment).</t>
    </r>
  </si>
  <si>
    <r>
      <t>b.</t>
    </r>
    <r>
      <rPr>
        <sz val="7"/>
        <color rgb="FF1B2B38"/>
        <rFont val="Times New Roman"/>
        <family val="1"/>
      </rPr>
      <t xml:space="preserve">     </t>
    </r>
    <r>
      <rPr>
        <sz val="9"/>
        <color rgb="FF1B2B38"/>
        <rFont val="Arial"/>
        <family val="2"/>
      </rPr>
      <t xml:space="preserve">All three IGs should be displayed by default when navigating to the Assessment Summary page without needing filtering. </t>
    </r>
  </si>
  <si>
    <r>
      <t>c.</t>
    </r>
    <r>
      <rPr>
        <sz val="7"/>
        <color rgb="FF1B2B38"/>
        <rFont val="Times New Roman"/>
        <family val="1"/>
      </rPr>
      <t xml:space="preserve">     </t>
    </r>
    <r>
      <rPr>
        <sz val="9"/>
        <color rgb="FF1B2B38"/>
        <rFont val="Arial"/>
        <family val="2"/>
      </rPr>
      <t>Click the "Export Filtered CSV" button to export the report.</t>
    </r>
  </si>
  <si>
    <r>
      <t>2)</t>
    </r>
    <r>
      <rPr>
        <sz val="7"/>
        <color rgb="FF1B2B38"/>
        <rFont val="Times New Roman"/>
        <family val="1"/>
      </rPr>
      <t xml:space="preserve">     </t>
    </r>
    <r>
      <rPr>
        <sz val="9"/>
        <color rgb="FF1B2B38"/>
        <rFont val="Arial"/>
        <family val="2"/>
      </rPr>
      <t>Copy your scores from the exported CSAT Pro CSV file to the CIS RAM for IG3 Workbook.</t>
    </r>
  </si>
  <si>
    <r>
      <t>b.</t>
    </r>
    <r>
      <rPr>
        <sz val="7"/>
        <color rgb="FF1B2B38"/>
        <rFont val="Times New Roman"/>
        <family val="1"/>
      </rPr>
      <t xml:space="preserve">     </t>
    </r>
    <r>
      <rPr>
        <sz val="9"/>
        <color rgb="FF1B2B38"/>
        <rFont val="Arial"/>
        <family val="2"/>
      </rPr>
      <t>Go to the “CIS CSAT Pro” tab in the CIS RAM for IG3 Workbook.</t>
    </r>
  </si>
  <si>
    <r>
      <t>c.</t>
    </r>
    <r>
      <rPr>
        <sz val="7"/>
        <color rgb="FF1B2B38"/>
        <rFont val="Times New Roman"/>
        <family val="1"/>
      </rPr>
      <t xml:space="preserve">     </t>
    </r>
    <r>
      <rPr>
        <sz val="9"/>
        <color rgb="FF1B2B38"/>
        <rFont val="Arial"/>
        <family val="2"/>
      </rPr>
      <t>Note that CIS RAM for IG3 is only available for CIS Controls v8.</t>
    </r>
  </si>
  <si>
    <r>
      <t>d.</t>
    </r>
    <r>
      <rPr>
        <sz val="7"/>
        <color rgb="FF1B2B38"/>
        <rFont val="Times New Roman"/>
        <family val="1"/>
      </rPr>
      <t xml:space="preserve">     </t>
    </r>
    <r>
      <rPr>
        <sz val="9"/>
        <color rgb="FF1B2B38"/>
        <rFont val="Arial"/>
        <family val="2"/>
      </rPr>
      <t>Paste the copied data into the appropriate section of the “CIS CSAT Pro” tab.</t>
    </r>
  </si>
  <si>
    <r>
      <t>3)</t>
    </r>
    <r>
      <rPr>
        <sz val="7"/>
        <color rgb="FF1B2B38"/>
        <rFont val="Times New Roman"/>
        <family val="1"/>
      </rPr>
      <t xml:space="preserve">     </t>
    </r>
    <r>
      <rPr>
        <sz val="9"/>
        <color rgb="FF1B2B38"/>
        <rFont val="Arial"/>
        <family val="2"/>
      </rPr>
      <t xml:space="preserve">Note: Adjustments may need to be made based on your scoring from CSAT to CIS RAM. </t>
    </r>
  </si>
  <si>
    <r>
      <t>4)</t>
    </r>
    <r>
      <rPr>
        <sz val="7"/>
        <color rgb="FF1B2B38"/>
        <rFont val="Times New Roman"/>
        <family val="1"/>
      </rPr>
      <t xml:space="preserve">     </t>
    </r>
    <r>
      <rPr>
        <sz val="9"/>
        <color rgb="FF1B2B38"/>
        <rFont val="Arial"/>
        <family val="2"/>
      </rPr>
      <t xml:space="preserve">Once scores are final, go to the tab, “3a. Risk Register Controls v8,” for v8 of the CIS Controls. </t>
    </r>
  </si>
  <si>
    <r>
      <t>5)</t>
    </r>
    <r>
      <rPr>
        <sz val="7"/>
        <color rgb="FF1B2B38"/>
        <rFont val="Times New Roman"/>
        <family val="1"/>
      </rPr>
      <t xml:space="preserve">     </t>
    </r>
    <r>
      <rPr>
        <sz val="9"/>
        <color rgb="FF1B2B38"/>
        <rFont val="Arial"/>
        <family val="2"/>
      </rPr>
      <t xml:space="preserve">Copy the scores in the “CIS RAM Maturity Score Final” column into the “Safeguard Maturity Score” column of the tab, “3a. Risk Register Controls v8,” for v8 of the CIS Controls. </t>
    </r>
  </si>
  <si>
    <r>
      <t>a.</t>
    </r>
    <r>
      <rPr>
        <sz val="7"/>
        <color rgb="FF1B2B38"/>
        <rFont val="Times New Roman"/>
        <family val="1"/>
      </rPr>
      <t xml:space="preserve">     </t>
    </r>
    <r>
      <rPr>
        <sz val="9"/>
        <color rgb="FF1B2B38"/>
        <rFont val="Arial"/>
        <family val="2"/>
      </rPr>
      <t>Right-click to copy and “Paste Special” as “Values” (e.g., 1,2,3).</t>
    </r>
  </si>
  <si>
    <r>
      <t>b.</t>
    </r>
    <r>
      <rPr>
        <sz val="7"/>
        <color rgb="FF1B2B38"/>
        <rFont val="Times New Roman"/>
        <family val="1"/>
      </rPr>
      <t xml:space="preserve">     </t>
    </r>
    <r>
      <rPr>
        <sz val="9"/>
        <color rgb="FF1B2B38"/>
        <rFont val="Arial"/>
        <family val="2"/>
      </rPr>
      <t>Note: Values of ‘N’ and ‘DIV/0!’ may copy over from the “CIS CSAT Pro” and “CIS-Hosted CSAT” tabs, if present. If copied, these values can be deleted from the “Safeguard Maturity Score” cell and will not affect the functionality of the CIS RAM Risk Register.</t>
    </r>
  </si>
  <si>
    <t>CIS CSAT Pro for CIS Controls v8</t>
  </si>
  <si>
    <t>CIS-Hosted CSAT for CIS Controls v8</t>
  </si>
  <si>
    <r>
      <t>1)</t>
    </r>
    <r>
      <rPr>
        <sz val="7"/>
        <color rgb="FF1B2B38"/>
        <rFont val="Times New Roman"/>
        <family val="1"/>
      </rPr>
      <t xml:space="preserve">     </t>
    </r>
    <r>
      <rPr>
        <sz val="9"/>
        <color rgb="FF1B2B38"/>
        <rFont val="Arial"/>
        <family val="2"/>
      </rPr>
      <t>In CIS-Hosted CSAT, filter on IG1, IG2, and IG3 and export the filtered Safeguards.</t>
    </r>
  </si>
  <si>
    <r>
      <t>a.</t>
    </r>
    <r>
      <rPr>
        <sz val="7"/>
        <color rgb="FF1B2B38"/>
        <rFont val="Times New Roman"/>
        <family val="1"/>
      </rPr>
      <t xml:space="preserve">     </t>
    </r>
    <r>
      <rPr>
        <sz val="9"/>
        <color rgb="FF1B2B38"/>
        <rFont val="Arial"/>
        <family val="2"/>
      </rPr>
      <t>Go to the All Controls page for the assessment of interest (this is reachable from the All Controls link on the menu on the left under “Current Assessment”).</t>
    </r>
  </si>
  <si>
    <r>
      <t>b.</t>
    </r>
    <r>
      <rPr>
        <sz val="7"/>
        <color rgb="FF1B2B38"/>
        <rFont val="Times New Roman"/>
        <family val="1"/>
      </rPr>
      <t xml:space="preserve">     </t>
    </r>
    <r>
      <rPr>
        <sz val="9"/>
        <color rgb="FF1B2B38"/>
        <rFont val="Arial"/>
        <family val="2"/>
      </rPr>
      <t>Click the Filter button.</t>
    </r>
  </si>
  <si>
    <r>
      <t>c.</t>
    </r>
    <r>
      <rPr>
        <sz val="7"/>
        <color rgb="FF1B2B38"/>
        <rFont val="Times New Roman"/>
        <family val="1"/>
      </rPr>
      <t xml:space="preserve">     </t>
    </r>
    <r>
      <rPr>
        <sz val="9"/>
        <color rgb="FF1B2B38"/>
        <rFont val="Arial"/>
        <family val="2"/>
      </rPr>
      <t>Select “Group 1,” “Group 2,” and “Group 3” for the Implementation Group filter and click Filter.</t>
    </r>
  </si>
  <si>
    <r>
      <t>d.</t>
    </r>
    <r>
      <rPr>
        <sz val="7"/>
        <color rgb="FF1B2B38"/>
        <rFont val="Times New Roman"/>
        <family val="1"/>
      </rPr>
      <t xml:space="preserve">     </t>
    </r>
    <r>
      <rPr>
        <sz val="9"/>
        <color rgb="FF1B2B38"/>
        <rFont val="Arial"/>
        <family val="2"/>
      </rPr>
      <t>Check to see if any of these Safeguards are in the blue (Not Assessed) state. You can see this in the “#” column – there will be a colored circle in each row by the Safeguard number.  Any Safeguards that have a blue circle there will not export; if you have any blue Safeguards and you want to continue these steps, one way to get them out of the blue state is to:</t>
    </r>
  </si>
  <si>
    <r>
      <t xml:space="preserve">                                          </t>
    </r>
    <r>
      <rPr>
        <sz val="9"/>
        <color rgb="FF1B2B38"/>
        <rFont val="Arial"/>
        <family val="2"/>
      </rPr>
      <t>i.</t>
    </r>
    <r>
      <rPr>
        <sz val="7"/>
        <color rgb="FF1B2B38"/>
        <rFont val="Times New Roman"/>
        <family val="1"/>
      </rPr>
      <t xml:space="preserve">    </t>
    </r>
    <r>
      <rPr>
        <sz val="9"/>
        <color rgb="FF1B2B38"/>
        <rFont val="Arial"/>
        <family val="2"/>
      </rPr>
      <t>Select the checkbox next to each blue Safeguard.</t>
    </r>
  </si>
  <si>
    <r>
      <t xml:space="preserve">                                         </t>
    </r>
    <r>
      <rPr>
        <sz val="9"/>
        <color rgb="FF1B2B38"/>
        <rFont val="Arial"/>
        <family val="2"/>
      </rPr>
      <t>ii.</t>
    </r>
    <r>
      <rPr>
        <sz val="7"/>
        <color rgb="FF1B2B38"/>
        <rFont val="Times New Roman"/>
        <family val="1"/>
      </rPr>
      <t xml:space="preserve">    </t>
    </r>
    <r>
      <rPr>
        <sz val="9"/>
        <color rgb="FF1B2B38"/>
        <rFont val="Arial"/>
        <family val="2"/>
      </rPr>
      <t>Select “Mark as Applicable” from the Bulk Action option dropdown and click the “Save” button next to the dropdown. Please note: If any of the selected Safeguards were not applicable, this will make them applicable.</t>
    </r>
  </si>
  <si>
    <r>
      <t>e.</t>
    </r>
    <r>
      <rPr>
        <sz val="7"/>
        <color rgb="FF1B2B38"/>
        <rFont val="Times New Roman"/>
        <family val="1"/>
      </rPr>
      <t xml:space="preserve">     </t>
    </r>
    <r>
      <rPr>
        <sz val="9"/>
        <color rgb="FF1B2B38"/>
        <rFont val="Arial"/>
        <family val="2"/>
      </rPr>
      <t>Click the Download Report button to export the report.</t>
    </r>
  </si>
  <si>
    <r>
      <t>2)</t>
    </r>
    <r>
      <rPr>
        <sz val="7"/>
        <color rgb="FF1B2B38"/>
        <rFont val="Times New Roman"/>
        <family val="1"/>
      </rPr>
      <t xml:space="preserve">     </t>
    </r>
    <r>
      <rPr>
        <sz val="9"/>
        <color rgb="FF1B2B38"/>
        <rFont val="Arial"/>
        <family val="2"/>
      </rPr>
      <t>Copy your scores from the exported CIS-Hosted CSAT XLSX file to the CIS RAM for IG3 Workbook.</t>
    </r>
  </si>
  <si>
    <r>
      <t>a.</t>
    </r>
    <r>
      <rPr>
        <sz val="7"/>
        <color rgb="FF1B2B38"/>
        <rFont val="Times New Roman"/>
        <family val="1"/>
      </rPr>
      <t xml:space="preserve">     </t>
    </r>
    <r>
      <rPr>
        <sz val="9"/>
        <color rgb="FF1B2B38"/>
        <rFont val="Arial"/>
        <family val="2"/>
      </rPr>
      <t>In the CIS-Hosted CSAT XLSX file, copy the contents of columns E through H (labeled Policy Defined, Control Implemented, Control Automated, and Control Reported) excluding the heading row.</t>
    </r>
  </si>
  <si>
    <r>
      <t>b.</t>
    </r>
    <r>
      <rPr>
        <sz val="7"/>
        <color rgb="FF1B2B38"/>
        <rFont val="Times New Roman"/>
        <family val="1"/>
      </rPr>
      <t xml:space="preserve">     </t>
    </r>
    <r>
      <rPr>
        <sz val="9"/>
        <color rgb="FF1B2B38"/>
        <rFont val="Arial"/>
        <family val="2"/>
      </rPr>
      <t>Go to the “CIS-Hosted CSAT” tab in the CIS RAM for IG3 Workbook.</t>
    </r>
  </si>
  <si>
    <r>
      <t>c.</t>
    </r>
    <r>
      <rPr>
        <sz val="7"/>
        <color rgb="FF1B2B38"/>
        <rFont val="Times New Roman"/>
        <family val="1"/>
      </rPr>
      <t xml:space="preserve">     </t>
    </r>
    <r>
      <rPr>
        <sz val="9"/>
        <color rgb="FF1B2B38"/>
        <rFont val="Arial"/>
        <family val="2"/>
      </rPr>
      <t>Paste the copied data into the appropriate section of the “CIS-Hosted CSAT” tab.</t>
    </r>
  </si>
  <si>
    <r>
      <t>d.</t>
    </r>
    <r>
      <rPr>
        <sz val="7"/>
        <color rgb="FF1B2B38"/>
        <rFont val="Times New Roman"/>
        <family val="1"/>
      </rPr>
      <t xml:space="preserve">     </t>
    </r>
    <r>
      <rPr>
        <sz val="9"/>
        <color rgb="FF1B2B38"/>
        <rFont val="Arial"/>
        <family val="2"/>
      </rPr>
      <t>For instance, for Controls v8, you might copy the cells from E2:E154 over to H2:H154 from the CIS-Hosted CSAT XLSX file, select cell C14 in the “CIS-Hosted CSAT” tab in the CIS RAM for IG3 Workbook and paste them there.</t>
    </r>
  </si>
  <si>
    <r>
      <t>e.</t>
    </r>
    <r>
      <rPr>
        <sz val="7"/>
        <color rgb="FF1B2B38"/>
        <rFont val="Times New Roman"/>
        <family val="1"/>
      </rPr>
      <t xml:space="preserve">     </t>
    </r>
    <r>
      <rPr>
        <sz val="9"/>
        <color rgb="FF1B2B38"/>
        <rFont val="Arial"/>
        <family val="2"/>
      </rPr>
      <t>For instance, for Controls v8, you might copy cells E2 to E154 from the CSAT Pro CSV to C5 to C157 in the “CIS CSAT Pro” tab of the CIS RAM for IG3 Workbook.</t>
    </r>
  </si>
  <si>
    <t>a.     In the CSAT Pro CSV file, copy the contents of column E (labeled “Sub-Control Score”) excluding the heading row.</t>
  </si>
  <si>
    <t>Defends Against Targeted Intrusions</t>
  </si>
  <si>
    <t>Defends Against Insider and Privilege Misuse</t>
  </si>
  <si>
    <t>NIST CSF Security Function</t>
  </si>
  <si>
    <t>Identify</t>
  </si>
  <si>
    <t>Respond</t>
  </si>
  <si>
    <t>Detect</t>
  </si>
  <si>
    <t>Protect</t>
  </si>
  <si>
    <t>Recover</t>
  </si>
  <si>
    <t>Defends Against All Attack Types</t>
  </si>
  <si>
    <t>Defends Against Ransomware</t>
  </si>
  <si>
    <t>Defends Against Malware</t>
  </si>
  <si>
    <t>Defends Against Web Application Hacking</t>
  </si>
  <si>
    <t>Mapping between the NIST CSF Security Functions and CIS Safeguards, as published in the CIS Controls.</t>
  </si>
  <si>
    <t>CIS RAM v2.1 for IG3</t>
  </si>
  <si>
    <t>CDM Attack Type Risks</t>
  </si>
  <si>
    <t>No</t>
  </si>
  <si>
    <t>Yes</t>
  </si>
  <si>
    <t>Custom</t>
  </si>
  <si>
    <t>Fixed 'Y' or 'N' value that states whether the CIS Safeguard in a given row defends against the Attack Type.</t>
  </si>
  <si>
    <t>A potential or foreseeable event that could compromise the security of information assets.</t>
  </si>
  <si>
    <t>An automatically calculated value, on a scale of '1' to '5' that states how many of the top five Attack Types the CIS Safeguard in a given row defends against.</t>
  </si>
  <si>
    <t>We use a tiered log repository. Three months are stored in the primary repository. One year is stored in archives. We do not use more than 50% of available space.</t>
  </si>
  <si>
    <t>Each system uses a primary and secondary time server hosted by authoritative services.</t>
  </si>
  <si>
    <t>New threats that create tremendous log messaging may require more storage space, but bursts would be detectable in days with enough time to respond.</t>
  </si>
  <si>
    <t>Develop scenarios in which personnel abuse access. Develop SIEM alerts based on those scenarios. Update annually.</t>
  </si>
  <si>
    <r>
      <t>Encrypt data on end-user devices containing sensitive data. Example implementations can include: Windows BitLocker</t>
    </r>
    <r>
      <rPr>
        <vertAlign val="superscript"/>
        <sz val="12"/>
        <color theme="1"/>
        <rFont val="Arial"/>
        <family val="2"/>
      </rPr>
      <t>®</t>
    </r>
    <r>
      <rPr>
        <sz val="10"/>
        <color theme="1"/>
        <rFont val="Arial"/>
        <family val="2"/>
      </rPr>
      <t>, Apple FileVault</t>
    </r>
    <r>
      <rPr>
        <vertAlign val="superscript"/>
        <sz val="10"/>
        <color theme="1"/>
        <rFont val="Arial"/>
        <family val="2"/>
      </rPr>
      <t>®</t>
    </r>
    <r>
      <rPr>
        <sz val="10"/>
        <color theme="1"/>
        <rFont val="Arial"/>
        <family val="2"/>
      </rPr>
      <t>, Linux</t>
    </r>
    <r>
      <rPr>
        <vertAlign val="superscript"/>
        <sz val="10"/>
        <color theme="1"/>
        <rFont val="Arial"/>
        <family val="2"/>
      </rPr>
      <t>®</t>
    </r>
    <r>
      <rPr>
        <sz val="10"/>
        <color theme="1"/>
        <rFont val="Arial"/>
        <family val="2"/>
      </rPr>
      <t xml:space="preserve"> dm-crypt.</t>
    </r>
  </si>
  <si>
    <t>This is a free tool with a dynamic list of the CIS Safeguards that can be filtered by Implementation Groups and mappings to multiple frameworks.</t>
  </si>
  <si>
    <t>https://www.cisecurity.org/controls/v8</t>
  </si>
  <si>
    <t>Overview: The CIS Controls® Self Assessment Tool, also known as CIS CSAT, enables organizations to assess and track their implementation of the CIS Controls for Versions 8 and 7.1. The CIS Controls are a prioritized set of consensus-developed security best practices used by organizations around the world to defend against cyber threats.</t>
  </si>
  <si>
    <r>
      <rPr>
        <b/>
        <sz val="8"/>
        <color theme="1"/>
        <rFont val="Arial"/>
        <family val="2"/>
      </rPr>
      <t xml:space="preserve">CIS-Hosted CSAT: </t>
    </r>
    <r>
      <rPr>
        <sz val="8"/>
        <color theme="1"/>
        <rFont val="Arial"/>
        <family val="2"/>
      </rPr>
      <t>The CIS-hosted version of CIS CSAT is free to every organization for use in a non-commercial capacity to conduct CIS Controls assessments of their organization. (released January 2019)</t>
    </r>
  </si>
  <si>
    <r>
      <rPr>
        <b/>
        <sz val="8"/>
        <color theme="1"/>
        <rFont val="Arial"/>
        <family val="2"/>
      </rPr>
      <t>CIS CSAT Pro:</t>
    </r>
    <r>
      <rPr>
        <sz val="8"/>
        <color theme="1"/>
        <rFont val="Arial"/>
        <family val="2"/>
      </rPr>
      <t xml:space="preserve"> The on-premises version of CIS CSAT is available exclusively for CIS SecureSuite Members. This version offers additional features and benefits: Save time by using a simplified scoring method with a reduced number of questions, Decide whether to opt in to share data and see how scores compare to industry average, Greater flexibility with organization trees for tracking organizations, sub-organizations, and assessments, Assign users to different roles for different organizations/sub-organizations as well as greater separation of administrative and non-administrative roles, Track multiple concurrent assessments in the same organization, Easily access your tasks, assessments, and organizations from a consolidated home page, Includes CIS Controls Safeguard mappings to NIST CSF, NIST SP 800-53, and PCI. (released August 2020)</t>
    </r>
  </si>
  <si>
    <t>The CIS RAM for IG3 Workbook protects most cells in the Risk Register and lookup tables to prevent users from accidentally changing the formulas and lookups that automate the risk analysis. 
If users are confident in their use of Microsoft® Excel and wish to modify values, such as Risk Acceptance Criteria, they may “unprotect” the document by going to the “Review” tab in the Excel menu and selecting the “Unprotect sheet” button. However, guidance for maintenance of the Workbook, formulas, lookups, and protected cells is beyond the scope of this document.
Additionally, CIS RAM v2.1 for IG3 is customized to incorporate values from the CIS CDM v2.0 analysis. In some instances, enterprises may choose to deviate from the data inputs that are pre-populated in the Workbook. However, guidance for deviations is beyond the scope of this document.</t>
  </si>
  <si>
    <t>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t>
  </si>
  <si>
    <t>All data on this page is considered sample data only, and is not meant to reflect any one individual organization's CSAT/RAM scoring. Only to be used for demonstration purposes.</t>
  </si>
  <si>
    <t>All data on this page is considered sample data only, and is not meant to reflect an individual organization's risk register. Only to be used for demonstration purposes.</t>
  </si>
  <si>
    <t>All data on this page is considered sample data only, and is not meant to reflect any one individual organization's Impact Criteria Survey. Only to be used for demonstration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</si>
</sst>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
    <numFmt numFmtId="166" formatCode="[$-F800]dddd\,\ mmmm\ dd\,\ yyyy"/>
  </numFmts>
  <fonts count="52" x14ac:knownFonts="1">
    <font>
      <sz val="11"/>
      <color theme="1"/>
      <name val="Calibri"/>
      <family val="2"/>
      <scheme val="minor"/>
    </font>
    <font>
      <sz val="11"/>
      <color theme="1"/>
      <name val="Arial"/>
      <family val="2"/>
    </font>
    <font>
      <sz val="11"/>
      <color theme="1"/>
      <name val="Calibri"/>
      <family val="2"/>
      <scheme val="minor"/>
    </font>
    <font>
      <b/>
      <sz val="10"/>
      <color theme="0"/>
      <name val="Arial"/>
      <family val="2"/>
    </font>
    <font>
      <b/>
      <sz val="10"/>
      <color theme="1"/>
      <name val="Arial"/>
      <family val="2"/>
    </font>
    <font>
      <sz val="10"/>
      <color theme="1"/>
      <name val="Arial"/>
      <family val="2"/>
    </font>
    <font>
      <b/>
      <i/>
      <u/>
      <sz val="10"/>
      <color rgb="FF7030A0"/>
      <name val="Arial"/>
      <family val="2"/>
    </font>
    <font>
      <sz val="10"/>
      <color rgb="FF000000"/>
      <name val="Arial"/>
      <family val="2"/>
    </font>
    <font>
      <i/>
      <sz val="10"/>
      <color rgb="FF000000"/>
      <name val="Arial"/>
      <family val="2"/>
    </font>
    <font>
      <i/>
      <sz val="10"/>
      <name val="Arial"/>
      <family val="2"/>
    </font>
    <font>
      <b/>
      <i/>
      <u/>
      <sz val="10"/>
      <color rgb="FF000000"/>
      <name val="Arial"/>
      <family val="2"/>
    </font>
    <font>
      <b/>
      <sz val="11"/>
      <color theme="1"/>
      <name val="Arial"/>
      <family val="2"/>
    </font>
    <font>
      <sz val="11"/>
      <color theme="1"/>
      <name val="Arial"/>
      <family val="2"/>
    </font>
    <font>
      <b/>
      <sz val="12"/>
      <color theme="1"/>
      <name val="Arial"/>
      <family val="2"/>
    </font>
    <font>
      <b/>
      <i/>
      <sz val="10"/>
      <color theme="0"/>
      <name val="Arial"/>
      <family val="2"/>
    </font>
    <font>
      <sz val="12"/>
      <color theme="1"/>
      <name val="Arial"/>
      <family val="2"/>
    </font>
    <font>
      <i/>
      <sz val="10"/>
      <color theme="1"/>
      <name val="Arial"/>
      <family val="2"/>
    </font>
    <font>
      <b/>
      <sz val="36"/>
      <color theme="1"/>
      <name val="Arial"/>
      <family val="2"/>
    </font>
    <font>
      <b/>
      <sz val="22"/>
      <color theme="1"/>
      <name val="Arial"/>
      <family val="2"/>
    </font>
    <font>
      <sz val="20"/>
      <color theme="1"/>
      <name val="Arial"/>
      <family val="2"/>
    </font>
    <font>
      <b/>
      <sz val="12"/>
      <color rgb="FFFF0000"/>
      <name val="Arial"/>
      <family val="2"/>
    </font>
    <font>
      <sz val="11"/>
      <color rgb="FF1B2B38"/>
      <name val="Arial"/>
      <family val="2"/>
    </font>
    <font>
      <b/>
      <sz val="35"/>
      <color theme="1"/>
      <name val="Arial"/>
      <family val="2"/>
    </font>
    <font>
      <b/>
      <sz val="11"/>
      <color rgb="FFFF0000"/>
      <name val="Arial"/>
      <family val="2"/>
    </font>
    <font>
      <b/>
      <u/>
      <sz val="11"/>
      <color rgb="FFFF0000"/>
      <name val="Arial"/>
      <family val="2"/>
    </font>
    <font>
      <i/>
      <sz val="11"/>
      <color theme="1"/>
      <name val="Arial"/>
      <family val="2"/>
    </font>
    <font>
      <sz val="4"/>
      <color theme="1"/>
      <name val="Arial"/>
      <family val="2"/>
    </font>
    <font>
      <b/>
      <i/>
      <sz val="10"/>
      <color theme="1"/>
      <name val="Arial"/>
      <family val="2"/>
    </font>
    <font>
      <sz val="8"/>
      <color rgb="FF1B2B38"/>
      <name val="Arial"/>
      <family val="2"/>
    </font>
    <font>
      <sz val="8"/>
      <name val="Calibri"/>
      <family val="2"/>
      <scheme val="minor"/>
    </font>
    <font>
      <b/>
      <sz val="11"/>
      <color theme="0"/>
      <name val="Arial"/>
      <family val="2"/>
    </font>
    <font>
      <b/>
      <sz val="12"/>
      <color theme="0"/>
      <name val="Arial"/>
      <family val="2"/>
    </font>
    <font>
      <b/>
      <sz val="20"/>
      <color rgb="FFFF0000"/>
      <name val="Arial"/>
      <family val="2"/>
    </font>
    <font>
      <sz val="9"/>
      <color indexed="81"/>
      <name val="Tahoma"/>
      <family val="2"/>
    </font>
    <font>
      <vertAlign val="superscript"/>
      <sz val="12"/>
      <color theme="1"/>
      <name val="Arial"/>
      <family val="2"/>
    </font>
    <font>
      <sz val="12"/>
      <color rgb="FFFF5630"/>
      <name val="Arial"/>
      <family val="2"/>
    </font>
    <font>
      <b/>
      <sz val="18"/>
      <color rgb="FFFF0000"/>
      <name val="Arial"/>
      <family val="2"/>
    </font>
    <font>
      <sz val="9"/>
      <color rgb="FF1B2B38"/>
      <name val="Arial"/>
      <family val="2"/>
    </font>
    <font>
      <sz val="7"/>
      <color rgb="FF1B2B38"/>
      <name val="Times New Roman"/>
      <family val="1"/>
    </font>
    <font>
      <sz val="10"/>
      <color rgb="FFFF0000"/>
      <name val="Arial"/>
      <family val="2"/>
    </font>
    <font>
      <b/>
      <sz val="10"/>
      <color rgb="FF39B54A"/>
      <name val="Arial"/>
      <family val="2"/>
    </font>
    <font>
      <sz val="10"/>
      <name val="Arial"/>
      <family val="2"/>
    </font>
    <font>
      <b/>
      <sz val="25"/>
      <color rgb="FF0086BF"/>
      <name val="Arial"/>
      <family val="2"/>
    </font>
    <font>
      <sz val="15"/>
      <color theme="0"/>
      <name val="Arial"/>
      <family val="2"/>
    </font>
    <font>
      <b/>
      <i/>
      <sz val="10"/>
      <name val="Arial"/>
      <family val="2"/>
    </font>
    <font>
      <b/>
      <sz val="10"/>
      <name val="Arial"/>
      <family val="2"/>
    </font>
    <font>
      <vertAlign val="superscript"/>
      <sz val="10"/>
      <color theme="1"/>
      <name val="Arial"/>
      <family val="2"/>
    </font>
    <font>
      <sz val="12"/>
      <color theme="1"/>
      <name val="Calibri"/>
      <family val="2"/>
      <scheme val="minor"/>
    </font>
    <font>
      <sz val="8"/>
      <color theme="1"/>
      <name val="Arial"/>
      <family val="2"/>
    </font>
    <font>
      <u/>
      <sz val="12"/>
      <color theme="10"/>
      <name val="Calibri"/>
      <family val="2"/>
      <scheme val="minor"/>
    </font>
    <font>
      <sz val="8"/>
      <color rgb="FF0086BF"/>
      <name val="Arial"/>
      <family val="2"/>
    </font>
    <font>
      <b/>
      <sz val="8"/>
      <color theme="1"/>
      <name val="Arial"/>
      <family val="2"/>
    </font>
  </fonts>
  <fills count="24">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rgb="FF92D050"/>
        <bgColor indexed="64"/>
      </patternFill>
    </fill>
    <fill>
      <patternFill patternType="solid">
        <fgColor rgb="FF00206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A391F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0"/>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7635"/>
        <bgColor indexed="64"/>
      </patternFill>
    </fill>
    <fill>
      <patternFill patternType="solid">
        <fgColor theme="8" tint="0.79998168889431442"/>
        <bgColor indexed="64"/>
      </patternFill>
    </fill>
    <fill>
      <patternFill patternType="solid">
        <fgColor rgb="FF0086BF"/>
        <bgColor indexed="64"/>
      </patternFill>
    </fill>
    <fill>
      <patternFill patternType="solid">
        <fgColor rgb="FFDADCDE"/>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left>
      <right style="thin">
        <color theme="0"/>
      </right>
      <top/>
      <bottom style="thick">
        <color theme="0"/>
      </bottom>
      <diagonal/>
    </border>
    <border>
      <left style="thin">
        <color theme="1"/>
      </left>
      <right style="thin">
        <color theme="1"/>
      </right>
      <top style="thin">
        <color theme="1"/>
      </top>
      <bottom style="thin">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ck">
        <color theme="0"/>
      </bottom>
      <diagonal/>
    </border>
    <border>
      <left/>
      <right/>
      <top style="medium">
        <color indexed="64"/>
      </top>
      <bottom style="thick">
        <color theme="0"/>
      </bottom>
      <diagonal/>
    </border>
    <border>
      <left/>
      <right style="medium">
        <color indexed="64"/>
      </right>
      <top style="medium">
        <color indexed="64"/>
      </top>
      <bottom style="thick">
        <color theme="0"/>
      </bottom>
      <diagonal/>
    </border>
    <border>
      <left style="medium">
        <color indexed="64"/>
      </left>
      <right style="thin">
        <color theme="0"/>
      </right>
      <top/>
      <bottom style="thick">
        <color theme="0"/>
      </bottom>
      <diagonal/>
    </border>
    <border>
      <left style="thin">
        <color theme="0"/>
      </left>
      <right style="medium">
        <color indexed="64"/>
      </right>
      <top/>
      <bottom style="thick">
        <color theme="0"/>
      </bottom>
      <diagonal/>
    </border>
    <border>
      <left style="medium">
        <color indexed="64"/>
      </left>
      <right style="thin">
        <color theme="0"/>
      </right>
      <top style="thin">
        <color theme="0"/>
      </top>
      <bottom style="thin">
        <color theme="0"/>
      </bottom>
      <diagonal/>
    </border>
    <border>
      <left style="medium">
        <color indexed="64"/>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medium">
        <color indexed="64"/>
      </left>
      <right style="medium">
        <color indexed="64"/>
      </right>
      <top style="thin">
        <color theme="0"/>
      </top>
      <bottom style="medium">
        <color indexed="64"/>
      </bottom>
      <diagonal/>
    </border>
    <border>
      <left style="thick">
        <color indexed="64"/>
      </left>
      <right style="thin">
        <color indexed="64"/>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theme="0"/>
      </right>
      <top style="thick">
        <color theme="0"/>
      </top>
      <bottom style="thin">
        <color theme="0"/>
      </bottom>
      <diagonal/>
    </border>
    <border>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style="thin">
        <color theme="0"/>
      </left>
      <right/>
      <top style="thin">
        <color theme="0"/>
      </top>
      <bottom style="thin">
        <color theme="0"/>
      </bottom>
      <diagonal/>
    </border>
    <border>
      <left style="thin">
        <color theme="1"/>
      </left>
      <right style="thin">
        <color theme="1"/>
      </right>
      <top/>
      <bottom style="thin">
        <color theme="1"/>
      </bottom>
      <diagonal/>
    </border>
    <border>
      <left style="thin">
        <color indexed="64"/>
      </left>
      <right style="medium">
        <color indexed="64"/>
      </right>
      <top style="thin">
        <color indexed="64"/>
      </top>
      <bottom style="medium">
        <color indexed="64"/>
      </bottom>
      <diagonal/>
    </border>
    <border>
      <left style="medium">
        <color indexed="64"/>
      </left>
      <right style="thin">
        <color theme="0"/>
      </right>
      <top/>
      <bottom style="thin">
        <color theme="0"/>
      </bottom>
      <diagonal/>
    </border>
    <border>
      <left style="medium">
        <color indexed="64"/>
      </left>
      <right style="medium">
        <color indexed="64"/>
      </right>
      <top/>
      <bottom style="thin">
        <color theme="0"/>
      </bottom>
      <diagonal/>
    </border>
    <border>
      <left style="medium">
        <color indexed="64"/>
      </left>
      <right style="medium">
        <color indexed="64"/>
      </right>
      <top style="medium">
        <color indexed="64"/>
      </top>
      <bottom style="medium">
        <color indexed="64"/>
      </bottom>
      <diagonal/>
    </border>
    <border>
      <left style="medium">
        <color indexed="64"/>
      </left>
      <right style="thin">
        <color theme="0"/>
      </right>
      <top style="thin">
        <color theme="0"/>
      </top>
      <bottom/>
      <diagonal/>
    </border>
    <border>
      <left style="medium">
        <color indexed="64"/>
      </left>
      <right style="medium">
        <color indexed="64"/>
      </right>
      <top style="thin">
        <color theme="0"/>
      </top>
      <bottom/>
      <diagonal/>
    </border>
    <border>
      <left style="medium">
        <color indexed="64"/>
      </left>
      <right style="medium">
        <color indexed="64"/>
      </right>
      <top style="medium">
        <color indexed="64"/>
      </top>
      <bottom style="thin">
        <color theme="0"/>
      </bottom>
      <diagonal/>
    </border>
    <border>
      <left style="thin">
        <color indexed="64"/>
      </left>
      <right style="medium">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ck">
        <color theme="0"/>
      </top>
      <bottom style="thin">
        <color theme="0"/>
      </bottom>
      <diagonal/>
    </border>
    <border>
      <left/>
      <right/>
      <top style="medium">
        <color indexed="64"/>
      </top>
      <bottom style="thin">
        <color theme="0"/>
      </bottom>
      <diagonal/>
    </border>
    <border>
      <left/>
      <right/>
      <top style="thin">
        <color theme="0"/>
      </top>
      <bottom style="thin">
        <color theme="0"/>
      </bottom>
      <diagonal/>
    </border>
    <border>
      <left/>
      <right/>
      <top style="thin">
        <color theme="0"/>
      </top>
      <bottom style="medium">
        <color indexed="64"/>
      </bottom>
      <diagonal/>
    </border>
  </borders>
  <cellStyleXfs count="5">
    <xf numFmtId="0" fontId="0" fillId="0" borderId="0"/>
    <xf numFmtId="9" fontId="2" fillId="0" borderId="0" applyFont="0" applyFill="0" applyBorder="0" applyAlignment="0" applyProtection="0"/>
    <xf numFmtId="44" fontId="2" fillId="0" borderId="0" applyFont="0" applyFill="0" applyBorder="0" applyAlignment="0" applyProtection="0"/>
    <xf numFmtId="0" fontId="47" fillId="0" borderId="0"/>
    <xf numFmtId="0" fontId="49" fillId="0" borderId="0" applyNumberFormat="0" applyFill="0" applyBorder="0" applyAlignment="0" applyProtection="0"/>
  </cellStyleXfs>
  <cellXfs count="373">
    <xf numFmtId="0" fontId="0" fillId="0" borderId="0" xfId="0"/>
    <xf numFmtId="0" fontId="4" fillId="7" borderId="1" xfId="0" applyFont="1" applyFill="1" applyBorder="1" applyAlignment="1">
      <alignment horizontal="left" vertical="center"/>
    </xf>
    <xf numFmtId="0" fontId="5" fillId="0" borderId="0" xfId="0" applyFont="1"/>
    <xf numFmtId="0" fontId="5" fillId="5" borderId="0" xfId="0" applyFont="1" applyFill="1" applyAlignment="1">
      <alignment horizontal="center" vertical="center"/>
    </xf>
    <xf numFmtId="0" fontId="5" fillId="5" borderId="0" xfId="0" applyFont="1" applyFill="1" applyAlignment="1">
      <alignment horizontal="left" vertical="center" wrapText="1"/>
    </xf>
    <xf numFmtId="0" fontId="4" fillId="6" borderId="0" xfId="0" applyFont="1" applyFill="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0" fontId="4" fillId="3" borderId="0" xfId="0" applyFont="1" applyFill="1" applyAlignment="1">
      <alignment horizontal="center" vertical="center" wrapText="1"/>
    </xf>
    <xf numFmtId="0" fontId="5" fillId="0" borderId="0" xfId="0" applyFont="1" applyAlignment="1">
      <alignment wrapText="1"/>
    </xf>
    <xf numFmtId="0" fontId="5" fillId="5" borderId="0" xfId="0" applyFont="1" applyFill="1" applyAlignment="1">
      <alignment horizontal="center" vertical="center" wrapText="1"/>
    </xf>
    <xf numFmtId="0" fontId="7" fillId="0" borderId="0" xfId="0" applyFont="1" applyFill="1" applyAlignment="1" applyProtection="1">
      <alignment horizontal="left" vertical="center" wrapText="1"/>
      <protection locked="0"/>
    </xf>
    <xf numFmtId="1" fontId="6" fillId="0" borderId="0" xfId="0" applyNumberFormat="1" applyFont="1" applyFill="1" applyAlignment="1" applyProtection="1">
      <alignment horizontal="center" vertical="center" wrapText="1"/>
      <protection locked="0"/>
    </xf>
    <xf numFmtId="0" fontId="7" fillId="0" borderId="0" xfId="0" applyFont="1" applyFill="1" applyAlignment="1">
      <alignment horizontal="center" vertical="center" wrapText="1"/>
    </xf>
    <xf numFmtId="164" fontId="7" fillId="0" borderId="0" xfId="2" applyNumberFormat="1" applyFont="1" applyFill="1" applyAlignment="1" applyProtection="1">
      <alignment horizontal="center" vertical="center" wrapText="1"/>
      <protection locked="0"/>
    </xf>
    <xf numFmtId="1" fontId="7" fillId="0" borderId="0" xfId="0" applyNumberFormat="1" applyFont="1" applyFill="1" applyAlignment="1" applyProtection="1">
      <alignment horizontal="center" vertical="center" wrapText="1"/>
      <protection locked="0"/>
    </xf>
    <xf numFmtId="44" fontId="5" fillId="0" borderId="0" xfId="2" applyFont="1" applyAlignment="1">
      <alignment horizontal="right" vertical="center"/>
    </xf>
    <xf numFmtId="0" fontId="5" fillId="5" borderId="0" xfId="0" applyFont="1" applyFill="1"/>
    <xf numFmtId="0" fontId="5" fillId="0" borderId="0" xfId="0" applyFont="1" applyAlignment="1">
      <alignment horizontal="center" vertical="center" wrapText="1"/>
    </xf>
    <xf numFmtId="0" fontId="4" fillId="8" borderId="1" xfId="0" applyFont="1" applyFill="1" applyBorder="1" applyAlignment="1">
      <alignment horizontal="left" vertical="center" wrapText="1"/>
    </xf>
    <xf numFmtId="0" fontId="4" fillId="6" borderId="0" xfId="0" applyFont="1" applyFill="1" applyAlignment="1" applyProtection="1">
      <alignment horizontal="center" vertical="center" wrapText="1"/>
    </xf>
    <xf numFmtId="0" fontId="8" fillId="0" borderId="0" xfId="0" applyNumberFormat="1" applyFont="1" applyFill="1" applyAlignment="1">
      <alignment horizontal="center" vertical="center" wrapText="1"/>
    </xf>
    <xf numFmtId="0" fontId="3" fillId="9" borderId="1" xfId="0" applyFont="1" applyFill="1" applyBorder="1" applyAlignment="1">
      <alignment horizontal="center" vertical="center" wrapText="1"/>
    </xf>
    <xf numFmtId="0" fontId="9" fillId="0" borderId="0" xfId="0" applyNumberFormat="1" applyFont="1" applyFill="1" applyAlignment="1">
      <alignment horizontal="center" vertical="center" wrapText="1"/>
    </xf>
    <xf numFmtId="1" fontId="10" fillId="0" borderId="0" xfId="0" applyNumberFormat="1" applyFont="1" applyFill="1" applyAlignment="1" applyProtection="1">
      <alignment horizontal="left" vertical="center" wrapText="1"/>
      <protection locked="0"/>
    </xf>
    <xf numFmtId="0" fontId="12" fillId="0" borderId="0" xfId="0" applyFont="1"/>
    <xf numFmtId="0" fontId="4" fillId="0" borderId="1" xfId="0" applyFont="1" applyBorder="1" applyAlignment="1">
      <alignment horizontal="left" vertical="center"/>
    </xf>
    <xf numFmtId="0" fontId="5" fillId="0" borderId="0" xfId="0" applyFont="1" applyAlignment="1">
      <alignment horizontal="center" wrapText="1"/>
    </xf>
    <xf numFmtId="0" fontId="4" fillId="0" borderId="0" xfId="0" applyFont="1" applyFill="1" applyAlignment="1" applyProtection="1">
      <alignment horizontal="center" vertical="center" wrapText="1"/>
    </xf>
    <xf numFmtId="0" fontId="14" fillId="6" borderId="0" xfId="0" applyFont="1" applyFill="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wrapText="1"/>
    </xf>
    <xf numFmtId="0" fontId="15" fillId="0" borderId="0" xfId="0" applyFont="1"/>
    <xf numFmtId="0" fontId="4" fillId="7" borderId="12" xfId="0" applyFont="1" applyFill="1" applyBorder="1" applyAlignment="1">
      <alignment horizontal="left" vertical="center"/>
    </xf>
    <xf numFmtId="0" fontId="4" fillId="7" borderId="13" xfId="0" applyFont="1" applyFill="1" applyBorder="1" applyAlignment="1">
      <alignment horizontal="center" vertical="center"/>
    </xf>
    <xf numFmtId="0" fontId="13" fillId="8" borderId="1" xfId="0" applyFont="1" applyFill="1" applyBorder="1" applyAlignment="1">
      <alignment vertical="center"/>
    </xf>
    <xf numFmtId="0" fontId="15" fillId="0" borderId="0" xfId="0" applyFont="1" applyAlignment="1">
      <alignment horizontal="left" vertical="center"/>
    </xf>
    <xf numFmtId="0" fontId="4" fillId="7" borderId="1" xfId="0" applyFont="1" applyFill="1" applyBorder="1" applyAlignment="1">
      <alignment horizontal="center" wrapText="1"/>
    </xf>
    <xf numFmtId="0" fontId="3" fillId="9" borderId="15" xfId="0" applyFont="1" applyFill="1" applyBorder="1" applyAlignment="1">
      <alignment horizontal="center" vertical="center" wrapText="1"/>
    </xf>
    <xf numFmtId="0" fontId="5" fillId="0" borderId="0" xfId="0" applyFont="1" applyProtection="1">
      <protection locked="0"/>
    </xf>
    <xf numFmtId="0" fontId="18" fillId="8" borderId="16" xfId="0" applyFont="1" applyFill="1" applyBorder="1" applyAlignment="1" applyProtection="1">
      <alignment horizontal="center" vertical="center" wrapText="1"/>
      <protection locked="0"/>
    </xf>
    <xf numFmtId="0" fontId="19" fillId="0" borderId="0" xfId="0" applyFont="1" applyAlignment="1" applyProtection="1">
      <alignment wrapText="1"/>
      <protection locked="0"/>
    </xf>
    <xf numFmtId="0" fontId="5" fillId="0" borderId="0" xfId="0" applyFont="1" applyAlignment="1" applyProtection="1">
      <alignment wrapText="1"/>
      <protection locked="0"/>
    </xf>
    <xf numFmtId="0" fontId="5" fillId="0" borderId="0" xfId="0" applyFont="1" applyAlignment="1" applyProtection="1">
      <alignment horizontal="center" wrapText="1"/>
      <protection locked="0"/>
    </xf>
    <xf numFmtId="0" fontId="5" fillId="0" borderId="0" xfId="0" applyFont="1" applyAlignment="1" applyProtection="1">
      <alignment horizontal="center" vertical="center" wrapText="1"/>
      <protection locked="0"/>
    </xf>
    <xf numFmtId="0" fontId="5" fillId="0" borderId="0" xfId="0" applyFont="1" applyBorder="1" applyAlignment="1" applyProtection="1">
      <alignment horizontal="center" vertical="center"/>
      <protection locked="0"/>
    </xf>
    <xf numFmtId="0" fontId="3" fillId="10" borderId="25" xfId="0" applyFont="1" applyFill="1" applyBorder="1" applyAlignment="1" applyProtection="1">
      <alignment horizontal="center" vertical="center" wrapText="1"/>
      <protection locked="0"/>
    </xf>
    <xf numFmtId="0" fontId="3" fillId="10" borderId="14" xfId="0" applyFont="1" applyFill="1" applyBorder="1" applyAlignment="1" applyProtection="1">
      <alignment horizontal="center" vertical="center" wrapText="1"/>
      <protection locked="0"/>
    </xf>
    <xf numFmtId="0" fontId="3" fillId="10" borderId="26"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5" fillId="0" borderId="0" xfId="0" applyFont="1" applyBorder="1" applyAlignment="1" applyProtection="1">
      <alignment horizontal="left" vertical="center"/>
      <protection locked="0"/>
    </xf>
    <xf numFmtId="0" fontId="7" fillId="14" borderId="27" xfId="0" applyNumberFormat="1" applyFont="1" applyFill="1" applyBorder="1" applyAlignment="1" applyProtection="1">
      <alignment horizontal="center" vertical="center" wrapText="1"/>
      <protection locked="0"/>
    </xf>
    <xf numFmtId="0" fontId="7" fillId="14" borderId="27" xfId="0" applyNumberFormat="1" applyFont="1" applyFill="1" applyBorder="1" applyAlignment="1" applyProtection="1">
      <alignment horizontal="center" vertical="center" wrapText="1"/>
    </xf>
    <xf numFmtId="0" fontId="7" fillId="11" borderId="27" xfId="0" applyNumberFormat="1" applyFont="1" applyFill="1" applyBorder="1" applyAlignment="1" applyProtection="1">
      <alignment horizontal="center" vertical="center" wrapText="1"/>
      <protection locked="0"/>
    </xf>
    <xf numFmtId="0" fontId="7" fillId="11" borderId="27" xfId="0" applyNumberFormat="1" applyFont="1" applyFill="1" applyBorder="1" applyAlignment="1" applyProtection="1">
      <alignment horizontal="center" vertical="center" wrapText="1"/>
    </xf>
    <xf numFmtId="0" fontId="7" fillId="11" borderId="28" xfId="0" applyNumberFormat="1" applyFont="1" applyFill="1" applyBorder="1" applyAlignment="1" applyProtection="1">
      <alignment horizontal="center" vertical="center" wrapText="1"/>
      <protection locked="0"/>
    </xf>
    <xf numFmtId="0" fontId="7" fillId="14" borderId="28" xfId="0" applyNumberFormat="1" applyFont="1" applyFill="1" applyBorder="1" applyAlignment="1" applyProtection="1">
      <alignment horizontal="center" vertical="center" wrapText="1"/>
      <protection locked="0"/>
    </xf>
    <xf numFmtId="0" fontId="5" fillId="0" borderId="0" xfId="0" applyFont="1" applyAlignment="1" applyProtection="1">
      <protection locked="0"/>
    </xf>
    <xf numFmtId="0" fontId="7" fillId="14" borderId="30" xfId="0" applyNumberFormat="1" applyFont="1" applyFill="1" applyBorder="1" applyAlignment="1" applyProtection="1">
      <alignment horizontal="center" vertical="center" wrapText="1"/>
      <protection locked="0"/>
    </xf>
    <xf numFmtId="0" fontId="4" fillId="7" borderId="31" xfId="0" applyFont="1" applyFill="1" applyBorder="1" applyAlignment="1" applyProtection="1">
      <alignment horizontal="center" vertical="center" wrapText="1"/>
    </xf>
    <xf numFmtId="0" fontId="4" fillId="0" borderId="32" xfId="0" applyFont="1" applyBorder="1" applyAlignment="1" applyProtection="1">
      <alignment horizontal="center" vertical="center" wrapText="1"/>
    </xf>
    <xf numFmtId="0" fontId="4" fillId="0" borderId="33" xfId="0" applyFont="1" applyBorder="1" applyAlignment="1" applyProtection="1">
      <alignment horizontal="center" vertical="center" wrapText="1"/>
    </xf>
    <xf numFmtId="0" fontId="4" fillId="7" borderId="34" xfId="0" applyFont="1" applyFill="1" applyBorder="1" applyAlignment="1" applyProtection="1">
      <alignment horizontal="center" vertical="center" wrapText="1"/>
    </xf>
    <xf numFmtId="0" fontId="4" fillId="7" borderId="35" xfId="0" applyFont="1" applyFill="1" applyBorder="1" applyAlignment="1" applyProtection="1">
      <alignment horizontal="center" vertical="center" wrapText="1"/>
    </xf>
    <xf numFmtId="0" fontId="5" fillId="0" borderId="36" xfId="0" applyFont="1" applyBorder="1" applyAlignment="1" applyProtection="1">
      <alignment vertical="center" wrapText="1"/>
    </xf>
    <xf numFmtId="0" fontId="5" fillId="0" borderId="37" xfId="0" applyFont="1" applyBorder="1" applyAlignment="1" applyProtection="1">
      <alignment vertical="center" wrapText="1"/>
    </xf>
    <xf numFmtId="0" fontId="4" fillId="7" borderId="38" xfId="0" applyFont="1" applyFill="1" applyBorder="1" applyAlignment="1" applyProtection="1">
      <alignment horizontal="center" vertical="center" wrapText="1"/>
    </xf>
    <xf numFmtId="0" fontId="4" fillId="7" borderId="39" xfId="0" applyFont="1" applyFill="1" applyBorder="1" applyAlignment="1" applyProtection="1">
      <alignment horizontal="center" vertical="center" wrapText="1"/>
    </xf>
    <xf numFmtId="0" fontId="5" fillId="0" borderId="1" xfId="0" applyFont="1" applyBorder="1" applyAlignment="1" applyProtection="1">
      <alignment vertical="center" wrapText="1"/>
    </xf>
    <xf numFmtId="0" fontId="5" fillId="0" borderId="40" xfId="0" applyFont="1" applyBorder="1" applyAlignment="1" applyProtection="1">
      <alignment vertical="center" wrapText="1"/>
    </xf>
    <xf numFmtId="0" fontId="4" fillId="7" borderId="41" xfId="0" applyFont="1" applyFill="1" applyBorder="1" applyAlignment="1" applyProtection="1">
      <alignment horizontal="center" vertical="center" wrapText="1"/>
    </xf>
    <xf numFmtId="0" fontId="4" fillId="7" borderId="42" xfId="0" applyFont="1" applyFill="1" applyBorder="1" applyAlignment="1" applyProtection="1">
      <alignment horizontal="center" vertical="center" wrapText="1"/>
    </xf>
    <xf numFmtId="0" fontId="5" fillId="0" borderId="43" xfId="0" applyFont="1" applyBorder="1" applyAlignment="1" applyProtection="1">
      <alignment vertical="center" wrapText="1"/>
    </xf>
    <xf numFmtId="0" fontId="5" fillId="0" borderId="44" xfId="0" applyFont="1" applyBorder="1" applyAlignment="1" applyProtection="1">
      <alignment vertical="center" wrapText="1"/>
    </xf>
    <xf numFmtId="0" fontId="4" fillId="7" borderId="45" xfId="0" applyFont="1" applyFill="1" applyBorder="1" applyAlignment="1" applyProtection="1">
      <alignment horizontal="center" vertical="center" wrapText="1"/>
    </xf>
    <xf numFmtId="0" fontId="5" fillId="0" borderId="0" xfId="0" applyFont="1" applyAlignment="1" applyProtection="1">
      <alignment vertical="center"/>
      <protection locked="0"/>
    </xf>
    <xf numFmtId="0" fontId="7" fillId="14" borderId="46" xfId="0" applyNumberFormat="1" applyFont="1" applyFill="1" applyBorder="1" applyAlignment="1" applyProtection="1">
      <alignment horizontal="center" vertical="center" wrapText="1"/>
      <protection locked="0"/>
    </xf>
    <xf numFmtId="0" fontId="0" fillId="0" borderId="0" xfId="0" applyAlignment="1">
      <alignment wrapText="1"/>
    </xf>
    <xf numFmtId="0" fontId="7" fillId="0" borderId="0" xfId="0" applyFont="1" applyFill="1" applyAlignment="1" applyProtection="1">
      <alignment horizontal="center" vertical="center" wrapText="1"/>
      <protection locked="0"/>
    </xf>
    <xf numFmtId="0" fontId="7" fillId="11" borderId="28" xfId="0" applyNumberFormat="1" applyFont="1" applyFill="1" applyBorder="1" applyAlignment="1" applyProtection="1">
      <alignment horizontal="center" vertical="center" wrapText="1"/>
    </xf>
    <xf numFmtId="0" fontId="7" fillId="14" borderId="28" xfId="0" applyNumberFormat="1" applyFont="1" applyFill="1" applyBorder="1" applyAlignment="1" applyProtection="1">
      <alignment horizontal="center" vertical="center" wrapText="1"/>
    </xf>
    <xf numFmtId="0" fontId="7" fillId="14" borderId="27" xfId="0" applyNumberFormat="1" applyFont="1" applyFill="1" applyBorder="1" applyAlignment="1">
      <alignment horizontal="center" vertical="center" wrapText="1"/>
    </xf>
    <xf numFmtId="0" fontId="7" fillId="11" borderId="27" xfId="0" applyNumberFormat="1" applyFont="1" applyFill="1" applyBorder="1" applyAlignment="1">
      <alignment horizontal="center" vertical="center" wrapText="1"/>
    </xf>
    <xf numFmtId="0" fontId="25" fillId="0" borderId="0" xfId="0" applyFont="1" applyBorder="1" applyAlignment="1">
      <alignment horizontal="left" vertical="center" wrapText="1"/>
    </xf>
    <xf numFmtId="0" fontId="26" fillId="12" borderId="0" xfId="0" applyFont="1" applyFill="1" applyBorder="1" applyAlignment="1">
      <alignment horizontal="left" vertical="center" wrapText="1"/>
    </xf>
    <xf numFmtId="0" fontId="26" fillId="0" borderId="0" xfId="0" applyFont="1"/>
    <xf numFmtId="0" fontId="5" fillId="0" borderId="0" xfId="0" applyFont="1" applyAlignment="1">
      <alignment horizontal="center"/>
    </xf>
    <xf numFmtId="0" fontId="7" fillId="0" borderId="0" xfId="0" applyNumberFormat="1" applyFont="1" applyFill="1" applyAlignment="1" applyProtection="1">
      <alignment horizontal="center" vertical="center" wrapText="1"/>
      <protection locked="0"/>
    </xf>
    <xf numFmtId="0" fontId="5" fillId="0" borderId="0" xfId="0" applyFont="1" applyBorder="1" applyAlignment="1">
      <alignment horizontal="left" vertical="center" wrapText="1"/>
    </xf>
    <xf numFmtId="0" fontId="12" fillId="0" borderId="0" xfId="0" applyFont="1" applyAlignment="1">
      <alignment vertical="center"/>
    </xf>
    <xf numFmtId="0" fontId="11" fillId="0" borderId="0" xfId="0" applyFont="1" applyBorder="1" applyAlignment="1">
      <alignment horizontal="left" vertical="center" wrapText="1"/>
    </xf>
    <xf numFmtId="0" fontId="26" fillId="0" borderId="0" xfId="0" applyFont="1" applyAlignment="1">
      <alignment vertical="center"/>
    </xf>
    <xf numFmtId="0" fontId="5" fillId="12" borderId="0" xfId="0" applyFont="1" applyFill="1" applyBorder="1" applyAlignment="1">
      <alignment horizontal="left" vertical="center"/>
    </xf>
    <xf numFmtId="0" fontId="5" fillId="12" borderId="0" xfId="0" applyFont="1" applyFill="1" applyBorder="1" applyAlignment="1">
      <alignment horizontal="left" vertical="center" wrapText="1"/>
    </xf>
    <xf numFmtId="0" fontId="28" fillId="0" borderId="0" xfId="0" applyFont="1" applyAlignment="1">
      <alignment vertical="center" wrapText="1"/>
    </xf>
    <xf numFmtId="0" fontId="16" fillId="8" borderId="1" xfId="0" applyFont="1" applyFill="1" applyBorder="1" applyAlignment="1">
      <alignment vertical="center" wrapText="1"/>
    </xf>
    <xf numFmtId="0" fontId="5" fillId="0" borderId="1" xfId="0" applyFont="1" applyBorder="1" applyAlignment="1" applyProtection="1">
      <alignment vertical="center" wrapText="1"/>
      <protection locked="0"/>
    </xf>
    <xf numFmtId="0" fontId="5" fillId="0" borderId="6" xfId="0" applyFont="1" applyBorder="1" applyAlignment="1" applyProtection="1">
      <alignment horizontal="center" vertical="center"/>
      <protection locked="0"/>
    </xf>
    <xf numFmtId="0" fontId="5" fillId="0" borderId="9" xfId="0" applyFont="1" applyBorder="1" applyAlignment="1" applyProtection="1">
      <alignment horizontal="center"/>
      <protection locked="0"/>
    </xf>
    <xf numFmtId="0" fontId="8" fillId="0" borderId="0" xfId="0" applyNumberFormat="1" applyFont="1" applyFill="1" applyAlignment="1" applyProtection="1">
      <alignment horizontal="center" vertical="center" wrapText="1"/>
    </xf>
    <xf numFmtId="0" fontId="3" fillId="2" borderId="1" xfId="0" applyFont="1" applyFill="1" applyBorder="1" applyAlignment="1" applyProtection="1">
      <alignment horizontal="left" vertical="center"/>
    </xf>
    <xf numFmtId="14" fontId="5" fillId="0" borderId="0" xfId="0" applyNumberFormat="1" applyFont="1" applyAlignment="1" applyProtection="1">
      <alignment horizontal="left" vertical="center"/>
    </xf>
    <xf numFmtId="0" fontId="5" fillId="0" borderId="0" xfId="0" applyFont="1" applyAlignment="1" applyProtection="1">
      <alignment horizontal="center" vertical="center"/>
    </xf>
    <xf numFmtId="0" fontId="5" fillId="0" borderId="0" xfId="0" applyFont="1" applyAlignment="1" applyProtection="1">
      <alignment horizontal="left" vertical="center"/>
    </xf>
    <xf numFmtId="9" fontId="5" fillId="0" borderId="0" xfId="1" applyNumberFormat="1" applyFont="1" applyAlignment="1" applyProtection="1">
      <alignment horizontal="center" vertical="center"/>
    </xf>
    <xf numFmtId="0" fontId="5" fillId="0" borderId="0" xfId="0" applyNumberFormat="1" applyFont="1" applyAlignment="1" applyProtection="1">
      <alignment horizontal="center" vertical="center"/>
    </xf>
    <xf numFmtId="0" fontId="7" fillId="0" borderId="0" xfId="0" applyFont="1" applyFill="1" applyAlignment="1" applyProtection="1">
      <alignment horizontal="left" vertical="center" wrapText="1"/>
    </xf>
    <xf numFmtId="9" fontId="5" fillId="0" borderId="0" xfId="1" applyFont="1" applyAlignment="1" applyProtection="1">
      <alignment horizontal="center" vertical="center"/>
    </xf>
    <xf numFmtId="0" fontId="5" fillId="0" borderId="0" xfId="0" applyFont="1" applyFill="1" applyProtection="1"/>
    <xf numFmtId="9" fontId="5" fillId="0" borderId="0" xfId="1" applyFont="1" applyFill="1" applyAlignment="1" applyProtection="1">
      <alignment horizontal="center" vertical="center"/>
    </xf>
    <xf numFmtId="0" fontId="5" fillId="0" borderId="0" xfId="0" applyFont="1" applyFill="1" applyAlignment="1" applyProtection="1">
      <alignment horizontal="center" vertical="center"/>
    </xf>
    <xf numFmtId="0" fontId="5" fillId="0" borderId="0" xfId="0" applyFont="1" applyProtection="1"/>
    <xf numFmtId="0" fontId="4" fillId="9" borderId="0" xfId="0" applyFont="1" applyFill="1" applyAlignment="1">
      <alignment horizontal="center"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4" fillId="9" borderId="0" xfId="0" applyFont="1" applyFill="1" applyAlignment="1" applyProtection="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30" fillId="5" borderId="5" xfId="0" applyFont="1" applyFill="1" applyBorder="1" applyAlignment="1">
      <alignment horizontal="center" vertical="center" wrapText="1"/>
    </xf>
    <xf numFmtId="0" fontId="5" fillId="0" borderId="15" xfId="0" applyFont="1" applyBorder="1" applyAlignment="1">
      <alignment horizontal="left" vertical="center" wrapText="1"/>
    </xf>
    <xf numFmtId="0" fontId="31" fillId="10" borderId="14" xfId="0" applyFont="1" applyFill="1" applyBorder="1" applyAlignment="1">
      <alignment horizontal="center" vertical="center" wrapText="1"/>
    </xf>
    <xf numFmtId="0" fontId="1" fillId="0" borderId="0" xfId="0" applyFont="1" applyAlignment="1">
      <alignment vertical="center"/>
    </xf>
    <xf numFmtId="0" fontId="1" fillId="0" borderId="0" xfId="0" applyFont="1" applyBorder="1" applyAlignment="1">
      <alignment horizontal="left" vertical="center" wrapText="1"/>
    </xf>
    <xf numFmtId="0" fontId="1" fillId="5" borderId="0"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5" fillId="0" borderId="1" xfId="0" applyFont="1" applyBorder="1" applyAlignment="1" applyProtection="1">
      <alignment horizontal="left" vertical="center" wrapText="1"/>
      <protection locked="0"/>
    </xf>
    <xf numFmtId="0" fontId="31" fillId="9" borderId="1" xfId="0" applyFont="1" applyFill="1" applyBorder="1" applyAlignment="1">
      <alignment horizontal="center" vertical="center" wrapText="1"/>
    </xf>
    <xf numFmtId="165" fontId="5" fillId="7" borderId="1" xfId="0" applyNumberFormat="1" applyFont="1" applyFill="1" applyBorder="1" applyAlignment="1">
      <alignment horizontal="left" vertical="center" wrapText="1"/>
    </xf>
    <xf numFmtId="0" fontId="1" fillId="0" borderId="0" xfId="0" applyFont="1" applyAlignment="1">
      <alignment horizontal="left" vertical="center" wrapText="1"/>
    </xf>
    <xf numFmtId="0" fontId="30" fillId="5" borderId="47" xfId="0" applyFont="1" applyFill="1" applyBorder="1" applyAlignment="1">
      <alignment horizontal="center" vertical="center" wrapText="1"/>
    </xf>
    <xf numFmtId="0" fontId="11" fillId="7" borderId="1" xfId="0" applyFont="1" applyFill="1" applyBorder="1" applyAlignment="1">
      <alignment horizontal="left" vertical="center"/>
    </xf>
    <xf numFmtId="0" fontId="13" fillId="8" borderId="1" xfId="0" applyFont="1" applyFill="1" applyBorder="1" applyAlignment="1">
      <alignment horizontal="center" vertical="center"/>
    </xf>
    <xf numFmtId="0" fontId="0" fillId="0" borderId="0" xfId="0" applyAlignment="1">
      <alignment horizontal="center"/>
    </xf>
    <xf numFmtId="0" fontId="30" fillId="4" borderId="48" xfId="0" applyFont="1" applyFill="1" applyBorder="1" applyAlignment="1">
      <alignment horizontal="center" vertical="center" wrapText="1"/>
    </xf>
    <xf numFmtId="0" fontId="30" fillId="6" borderId="11" xfId="0" applyFont="1" applyFill="1" applyBorder="1" applyAlignment="1">
      <alignment horizontal="center" vertical="center" wrapText="1"/>
    </xf>
    <xf numFmtId="0" fontId="30" fillId="9" borderId="11" xfId="0" applyFont="1" applyFill="1" applyBorder="1" applyAlignment="1">
      <alignment horizontal="center" vertical="center" wrapText="1"/>
    </xf>
    <xf numFmtId="0" fontId="30" fillId="6" borderId="49" xfId="0" applyFont="1" applyFill="1" applyBorder="1" applyAlignment="1">
      <alignment horizontal="center" vertical="center" wrapText="1"/>
    </xf>
    <xf numFmtId="0" fontId="4" fillId="0" borderId="4" xfId="0" applyFont="1" applyBorder="1" applyAlignment="1">
      <alignment horizontal="center" vertical="center"/>
    </xf>
    <xf numFmtId="0" fontId="16" fillId="0" borderId="1" xfId="0" applyFont="1" applyBorder="1" applyAlignment="1">
      <alignment horizontal="left" vertical="center" wrapText="1"/>
    </xf>
    <xf numFmtId="0" fontId="16" fillId="0" borderId="2" xfId="0" applyFont="1" applyBorder="1" applyAlignment="1">
      <alignment horizontal="left" vertical="center" wrapText="1"/>
    </xf>
    <xf numFmtId="0" fontId="4" fillId="0" borderId="4" xfId="0" applyFont="1" applyBorder="1" applyAlignment="1">
      <alignment horizontal="left" vertical="center"/>
    </xf>
    <xf numFmtId="0" fontId="4" fillId="0" borderId="6" xfId="0" applyFont="1" applyBorder="1" applyAlignment="1">
      <alignment horizontal="left" vertical="center"/>
    </xf>
    <xf numFmtId="0" fontId="11" fillId="7" borderId="9" xfId="0" applyFont="1" applyFill="1" applyBorder="1" applyAlignment="1">
      <alignment horizontal="left" vertical="center"/>
    </xf>
    <xf numFmtId="0" fontId="5" fillId="0" borderId="7" xfId="0" applyFont="1" applyBorder="1" applyAlignment="1">
      <alignment horizontal="left" vertical="center" wrapText="1"/>
    </xf>
    <xf numFmtId="0" fontId="1" fillId="0" borderId="48" xfId="0" applyFont="1" applyBorder="1" applyAlignment="1">
      <alignment horizontal="center" vertical="center"/>
    </xf>
    <xf numFmtId="0" fontId="1" fillId="0" borderId="11" xfId="0" applyFont="1" applyBorder="1" applyAlignment="1">
      <alignment horizontal="center" vertical="center"/>
    </xf>
    <xf numFmtId="0" fontId="1" fillId="0" borderId="49" xfId="0" applyFont="1" applyBorder="1" applyAlignment="1">
      <alignment horizontal="center" vertical="center"/>
    </xf>
    <xf numFmtId="0" fontId="5" fillId="0" borderId="2" xfId="0" applyFont="1" applyBorder="1" applyAlignment="1">
      <alignment vertical="center" wrapText="1"/>
    </xf>
    <xf numFmtId="0" fontId="4" fillId="0" borderId="6" xfId="0" applyFont="1" applyBorder="1" applyAlignment="1">
      <alignment horizontal="center" vertical="center"/>
    </xf>
    <xf numFmtId="0" fontId="5" fillId="0" borderId="7" xfId="0" applyFont="1" applyBorder="1" applyAlignment="1">
      <alignment vertical="center" wrapText="1"/>
    </xf>
    <xf numFmtId="0" fontId="5" fillId="0" borderId="0" xfId="0" applyFont="1" applyAlignment="1">
      <alignment vertical="center"/>
    </xf>
    <xf numFmtId="0" fontId="4" fillId="8" borderId="1" xfId="0" applyFont="1" applyFill="1" applyBorder="1" applyAlignment="1">
      <alignment vertical="center" wrapText="1"/>
    </xf>
    <xf numFmtId="0" fontId="4" fillId="0" borderId="0" xfId="0" applyFont="1" applyBorder="1" applyAlignment="1">
      <alignment horizontal="left" vertical="center" wrapText="1"/>
    </xf>
    <xf numFmtId="0" fontId="16" fillId="0" borderId="0" xfId="0" applyFont="1" applyBorder="1" applyAlignment="1">
      <alignment horizontal="left" vertical="center" wrapText="1"/>
    </xf>
    <xf numFmtId="165" fontId="5" fillId="0" borderId="1" xfId="0" applyNumberFormat="1" applyFont="1" applyBorder="1" applyAlignment="1">
      <alignment horizontal="left" vertical="center" wrapText="1"/>
    </xf>
    <xf numFmtId="0" fontId="4" fillId="0" borderId="9" xfId="0" applyFont="1" applyBorder="1" applyAlignment="1">
      <alignment horizontal="left" vertical="center"/>
    </xf>
    <xf numFmtId="0" fontId="30" fillId="13" borderId="4" xfId="0" applyFont="1" applyFill="1" applyBorder="1" applyAlignment="1">
      <alignment horizontal="center" vertical="center"/>
    </xf>
    <xf numFmtId="0" fontId="30" fillId="13" borderId="1" xfId="0" applyFont="1" applyFill="1" applyBorder="1" applyAlignment="1">
      <alignment horizontal="center"/>
    </xf>
    <xf numFmtId="0" fontId="13" fillId="8" borderId="1" xfId="0" applyFont="1" applyFill="1" applyBorder="1" applyAlignment="1">
      <alignment horizontal="left" vertical="center" wrapText="1"/>
    </xf>
    <xf numFmtId="0" fontId="5" fillId="0" borderId="51" xfId="0" applyFont="1" applyBorder="1" applyAlignment="1">
      <alignment horizontal="left" vertical="center" wrapText="1"/>
    </xf>
    <xf numFmtId="0" fontId="11" fillId="7" borderId="1" xfId="0" applyFont="1" applyFill="1" applyBorder="1" applyAlignment="1">
      <alignment horizontal="left" vertical="center" wrapText="1"/>
    </xf>
    <xf numFmtId="0" fontId="11" fillId="7" borderId="9" xfId="0" applyFont="1" applyFill="1" applyBorder="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wrapText="1"/>
    </xf>
    <xf numFmtId="0" fontId="1" fillId="0" borderId="11" xfId="0" applyFont="1" applyBorder="1" applyAlignment="1">
      <alignment horizontal="center" vertical="center" wrapText="1"/>
    </xf>
    <xf numFmtId="0" fontId="1" fillId="0" borderId="49" xfId="0" applyFont="1" applyBorder="1" applyAlignment="1">
      <alignment horizontal="center" vertical="center" wrapText="1"/>
    </xf>
    <xf numFmtId="0" fontId="4" fillId="0" borderId="1" xfId="0" applyFont="1" applyBorder="1" applyAlignment="1">
      <alignment horizontal="left" vertical="center" wrapText="1"/>
    </xf>
    <xf numFmtId="0" fontId="4" fillId="0" borderId="9" xfId="0" applyFont="1" applyBorder="1" applyAlignment="1">
      <alignment horizontal="left" vertical="center" wrapText="1"/>
    </xf>
    <xf numFmtId="0" fontId="30" fillId="13" borderId="4" xfId="0" applyFont="1" applyFill="1" applyBorder="1" applyAlignment="1">
      <alignment horizontal="center" vertical="center" wrapText="1"/>
    </xf>
    <xf numFmtId="0" fontId="30" fillId="13" borderId="1" xfId="0" applyFont="1" applyFill="1" applyBorder="1" applyAlignment="1">
      <alignment horizontal="center" wrapText="1"/>
    </xf>
    <xf numFmtId="0" fontId="5" fillId="0" borderId="6" xfId="0" applyFont="1" applyBorder="1" applyAlignment="1" applyProtection="1">
      <alignment horizontal="center" vertical="center" wrapText="1"/>
      <protection locked="0"/>
    </xf>
    <xf numFmtId="0" fontId="5" fillId="0" borderId="9" xfId="0" applyFont="1" applyBorder="1" applyAlignment="1" applyProtection="1">
      <alignment horizontal="center" wrapText="1"/>
      <protection locked="0"/>
    </xf>
    <xf numFmtId="0" fontId="4" fillId="7" borderId="12" xfId="0" applyFont="1" applyFill="1" applyBorder="1" applyAlignment="1">
      <alignment horizontal="left" vertical="center" wrapText="1"/>
    </xf>
    <xf numFmtId="0" fontId="4" fillId="7" borderId="13" xfId="0" applyFont="1" applyFill="1" applyBorder="1" applyAlignment="1">
      <alignment horizontal="center" vertical="center" wrapText="1"/>
    </xf>
    <xf numFmtId="44" fontId="5" fillId="0" borderId="1" xfId="2" applyFont="1" applyBorder="1" applyAlignment="1">
      <alignment horizontal="left" vertical="center" wrapText="1"/>
    </xf>
    <xf numFmtId="0" fontId="5" fillId="0" borderId="9" xfId="0" applyFont="1" applyBorder="1" applyAlignment="1">
      <alignment horizontal="left" vertical="center" wrapText="1"/>
    </xf>
    <xf numFmtId="0" fontId="15" fillId="0" borderId="0" xfId="0" applyFont="1" applyAlignment="1">
      <alignment horizontal="center"/>
    </xf>
    <xf numFmtId="0" fontId="13" fillId="7" borderId="9" xfId="0" applyFont="1" applyFill="1" applyBorder="1" applyAlignment="1">
      <alignment horizontal="center" vertical="center" wrapText="1"/>
    </xf>
    <xf numFmtId="0" fontId="7" fillId="14" borderId="53" xfId="0" applyNumberFormat="1" applyFont="1" applyFill="1" applyBorder="1" applyAlignment="1" applyProtection="1">
      <alignment horizontal="center" vertical="center" wrapText="1"/>
      <protection locked="0"/>
    </xf>
    <xf numFmtId="0" fontId="7" fillId="14" borderId="54" xfId="0" applyNumberFormat="1" applyFont="1" applyFill="1" applyBorder="1" applyAlignment="1" applyProtection="1">
      <alignment horizontal="center" vertical="center" wrapText="1"/>
      <protection locked="0"/>
    </xf>
    <xf numFmtId="0" fontId="5" fillId="0" borderId="40" xfId="0" applyFont="1" applyFill="1" applyBorder="1" applyAlignment="1">
      <alignment vertical="center" wrapText="1"/>
    </xf>
    <xf numFmtId="0" fontId="5" fillId="0" borderId="52" xfId="0" applyFont="1" applyFill="1" applyBorder="1" applyAlignment="1">
      <alignment vertical="center" wrapText="1"/>
    </xf>
    <xf numFmtId="0" fontId="5" fillId="0" borderId="37" xfId="0" applyFont="1" applyFill="1" applyBorder="1" applyAlignment="1">
      <alignment vertical="center" wrapText="1"/>
    </xf>
    <xf numFmtId="0" fontId="5" fillId="5" borderId="0" xfId="0" applyFont="1" applyFill="1" applyAlignment="1">
      <alignment wrapText="1"/>
    </xf>
    <xf numFmtId="0" fontId="5" fillId="0" borderId="1" xfId="0" applyFont="1" applyBorder="1" applyAlignment="1" applyProtection="1">
      <alignment horizontal="left" vertical="center" wrapText="1"/>
    </xf>
    <xf numFmtId="0" fontId="5" fillId="0" borderId="0" xfId="0" applyFont="1" applyAlignment="1" applyProtection="1">
      <alignment horizontal="center" vertical="center" wrapText="1"/>
    </xf>
    <xf numFmtId="0" fontId="4" fillId="0" borderId="2" xfId="0" applyFont="1" applyBorder="1" applyAlignment="1">
      <alignment horizontal="left" vertical="center"/>
    </xf>
    <xf numFmtId="0" fontId="5" fillId="0" borderId="4" xfId="0" applyFont="1" applyBorder="1" applyAlignment="1">
      <alignment wrapText="1"/>
    </xf>
    <xf numFmtId="0" fontId="4" fillId="18" borderId="51" xfId="0" applyFont="1" applyFill="1" applyBorder="1" applyAlignment="1">
      <alignment horizontal="center" vertical="center" wrapText="1"/>
    </xf>
    <xf numFmtId="0" fontId="4" fillId="19" borderId="15"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0" borderId="0" xfId="0" applyNumberFormat="1" applyFont="1" applyFill="1" applyBorder="1" applyAlignment="1" applyProtection="1">
      <alignment horizontal="left" vertical="center" wrapText="1"/>
      <protection locked="0"/>
    </xf>
    <xf numFmtId="0" fontId="7" fillId="0" borderId="0" xfId="0" applyNumberFormat="1" applyFont="1" applyFill="1" applyBorder="1" applyAlignment="1" applyProtection="1">
      <alignment horizontal="center" vertical="center" wrapText="1"/>
      <protection locked="0"/>
    </xf>
    <xf numFmtId="0" fontId="7" fillId="0" borderId="0" xfId="0" applyFont="1" applyFill="1" applyBorder="1" applyAlignment="1">
      <alignment horizontal="center" vertical="center" wrapText="1"/>
    </xf>
    <xf numFmtId="0" fontId="7" fillId="0" borderId="0" xfId="0" applyFont="1" applyFill="1" applyBorder="1" applyAlignment="1" applyProtection="1">
      <alignment horizontal="left" vertical="center" wrapText="1"/>
      <protection locked="0"/>
    </xf>
    <xf numFmtId="1" fontId="6" fillId="0" borderId="0" xfId="0" applyNumberFormat="1" applyFont="1" applyFill="1" applyBorder="1" applyAlignment="1" applyProtection="1">
      <alignment horizontal="center" vertical="center" wrapText="1"/>
      <protection locked="0"/>
    </xf>
    <xf numFmtId="0" fontId="9" fillId="0" borderId="0" xfId="0" applyNumberFormat="1" applyFont="1" applyFill="1" applyBorder="1" applyAlignment="1">
      <alignment horizontal="center" vertical="center" wrapText="1"/>
    </xf>
    <xf numFmtId="0" fontId="7" fillId="0" borderId="0" xfId="0" applyFont="1" applyFill="1" applyBorder="1" applyAlignment="1" applyProtection="1">
      <alignment horizontal="center" vertical="center" wrapText="1"/>
      <protection locked="0"/>
    </xf>
    <xf numFmtId="1" fontId="10" fillId="0" borderId="0" xfId="0" applyNumberFormat="1" applyFont="1" applyFill="1" applyBorder="1" applyAlignment="1" applyProtection="1">
      <alignment horizontal="left" vertical="center" wrapText="1"/>
      <protection locked="0"/>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pplyProtection="1">
      <alignment horizontal="center" vertical="center" wrapText="1"/>
    </xf>
    <xf numFmtId="164" fontId="7" fillId="0" borderId="0" xfId="2" applyNumberFormat="1" applyFont="1" applyFill="1" applyBorder="1" applyAlignment="1" applyProtection="1">
      <alignment horizontal="center" vertical="center" wrapText="1"/>
      <protection locked="0"/>
    </xf>
    <xf numFmtId="1" fontId="7" fillId="0" borderId="0"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wrapText="1"/>
      <protection locked="0"/>
    </xf>
    <xf numFmtId="49" fontId="7" fillId="0" borderId="0" xfId="0" applyNumberFormat="1" applyFont="1" applyFill="1" applyAlignment="1" applyProtection="1">
      <alignment horizontal="center" vertical="center" wrapText="1"/>
      <protection locked="0"/>
    </xf>
    <xf numFmtId="0" fontId="4" fillId="20" borderId="0" xfId="0" applyFont="1" applyFill="1" applyAlignment="1">
      <alignment horizontal="center" vertical="center" wrapText="1"/>
    </xf>
    <xf numFmtId="0" fontId="31" fillId="4" borderId="3" xfId="0" applyFont="1" applyFill="1" applyBorder="1" applyAlignment="1">
      <alignment vertical="center" wrapText="1"/>
    </xf>
    <xf numFmtId="0" fontId="31" fillId="4" borderId="4" xfId="0" applyFont="1" applyFill="1" applyBorder="1" applyAlignment="1">
      <alignment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1" fontId="7" fillId="0" borderId="0" xfId="0" applyNumberFormat="1" applyFont="1" applyFill="1" applyAlignment="1" applyProtection="1">
      <alignment horizontal="left" vertical="center" wrapText="1"/>
      <protection locked="0"/>
    </xf>
    <xf numFmtId="165" fontId="5" fillId="0" borderId="1" xfId="0" applyNumberFormat="1" applyFont="1" applyBorder="1" applyAlignment="1" applyProtection="1">
      <alignment horizontal="left" vertical="center" wrapText="1"/>
      <protection locked="0"/>
    </xf>
    <xf numFmtId="15" fontId="4" fillId="0" borderId="1" xfId="0" applyNumberFormat="1" applyFont="1" applyBorder="1" applyAlignment="1" applyProtection="1">
      <alignment horizontal="left" vertical="center"/>
      <protection locked="0"/>
    </xf>
    <xf numFmtId="0" fontId="4" fillId="0" borderId="1" xfId="0" applyFont="1" applyBorder="1" applyAlignment="1" applyProtection="1">
      <alignment horizontal="center" vertical="center" wrapText="1"/>
      <protection locked="0"/>
    </xf>
    <xf numFmtId="0" fontId="31" fillId="4" borderId="3" xfId="0" applyFont="1" applyFill="1" applyBorder="1" applyAlignment="1">
      <alignment vertical="center" wrapText="1"/>
    </xf>
    <xf numFmtId="0" fontId="31" fillId="4" borderId="4" xfId="0" applyFont="1" applyFill="1" applyBorder="1" applyAlignment="1">
      <alignment vertical="center" wrapText="1"/>
    </xf>
    <xf numFmtId="0" fontId="5" fillId="0" borderId="1" xfId="0" applyFont="1" applyBorder="1" applyAlignment="1" applyProtection="1">
      <alignment horizontal="center" vertical="center"/>
    </xf>
    <xf numFmtId="0" fontId="13" fillId="21" borderId="1" xfId="0" applyFont="1" applyFill="1" applyBorder="1" applyAlignment="1" applyProtection="1">
      <alignment horizontal="center" vertical="center" wrapText="1"/>
      <protection locked="0"/>
    </xf>
    <xf numFmtId="0" fontId="5" fillId="0" borderId="0" xfId="0" applyNumberFormat="1" applyFont="1" applyBorder="1" applyAlignment="1" applyProtection="1">
      <alignment horizontal="left" vertical="center"/>
    </xf>
    <xf numFmtId="166" fontId="5" fillId="0" borderId="0" xfId="0" applyNumberFormat="1" applyFont="1" applyBorder="1" applyAlignment="1" applyProtection="1">
      <alignment horizontal="left" vertical="center"/>
    </xf>
    <xf numFmtId="0" fontId="7" fillId="0" borderId="0" xfId="0" applyNumberFormat="1" applyFont="1" applyFill="1" applyAlignment="1" applyProtection="1">
      <alignment horizontal="left" vertical="center"/>
      <protection locked="0"/>
    </xf>
    <xf numFmtId="0" fontId="3" fillId="20" borderId="50" xfId="0" applyFont="1" applyFill="1" applyBorder="1" applyAlignment="1">
      <alignment horizontal="left" vertical="center" wrapText="1"/>
    </xf>
    <xf numFmtId="0" fontId="13" fillId="8" borderId="9" xfId="0" applyFont="1" applyFill="1" applyBorder="1" applyAlignment="1">
      <alignment horizontal="center" vertical="center" wrapText="1"/>
    </xf>
    <xf numFmtId="0" fontId="5" fillId="0" borderId="40" xfId="0" applyFont="1" applyBorder="1" applyAlignment="1">
      <alignment vertical="center"/>
    </xf>
    <xf numFmtId="0" fontId="5" fillId="6" borderId="1" xfId="0" applyFont="1" applyFill="1" applyBorder="1" applyAlignment="1">
      <alignment horizontal="left" vertical="center" wrapText="1"/>
    </xf>
    <xf numFmtId="0" fontId="5" fillId="6" borderId="1" xfId="0" applyNumberFormat="1" applyFont="1" applyFill="1" applyBorder="1" applyAlignment="1">
      <alignment horizontal="left" vertical="center" wrapText="1"/>
    </xf>
    <xf numFmtId="44" fontId="5" fillId="9" borderId="1" xfId="2" applyFont="1" applyFill="1" applyBorder="1" applyAlignment="1">
      <alignment horizontal="left" vertical="center" wrapText="1"/>
    </xf>
    <xf numFmtId="0" fontId="5" fillId="6" borderId="2" xfId="0" applyNumberFormat="1" applyFont="1" applyFill="1" applyBorder="1" applyAlignment="1">
      <alignment horizontal="left" vertical="center" wrapText="1"/>
    </xf>
    <xf numFmtId="0" fontId="4" fillId="7"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5" borderId="4" xfId="0" applyFont="1" applyFill="1" applyBorder="1" applyAlignment="1">
      <alignment horizontal="left" vertical="center" wrapText="1"/>
    </xf>
    <xf numFmtId="0" fontId="5" fillId="15" borderId="0" xfId="0" applyFont="1" applyFill="1" applyBorder="1" applyAlignment="1">
      <alignment horizontal="left" vertical="center" wrapText="1"/>
    </xf>
    <xf numFmtId="0" fontId="7" fillId="14" borderId="29" xfId="0" applyNumberFormat="1" applyFont="1" applyFill="1" applyBorder="1" applyAlignment="1">
      <alignment horizontal="center" vertical="center" wrapText="1"/>
    </xf>
    <xf numFmtId="0" fontId="7" fillId="14" borderId="29" xfId="0" applyNumberFormat="1" applyFont="1" applyFill="1" applyBorder="1" applyAlignment="1" applyProtection="1">
      <alignment horizontal="center" vertical="center" wrapText="1"/>
      <protection locked="0"/>
    </xf>
    <xf numFmtId="0" fontId="7" fillId="11" borderId="56" xfId="0" applyNumberFormat="1" applyFont="1" applyFill="1" applyBorder="1" applyAlignment="1">
      <alignment horizontal="center" vertical="center" wrapText="1"/>
    </xf>
    <xf numFmtId="0" fontId="7" fillId="11" borderId="56" xfId="0" applyNumberFormat="1" applyFont="1" applyFill="1" applyBorder="1" applyAlignment="1" applyProtection="1">
      <alignment horizontal="center" vertical="center" wrapText="1"/>
      <protection locked="0"/>
    </xf>
    <xf numFmtId="0" fontId="7" fillId="11" borderId="57" xfId="0" applyNumberFormat="1" applyFont="1" applyFill="1" applyBorder="1" applyAlignment="1" applyProtection="1">
      <alignment horizontal="center" vertical="center" wrapText="1"/>
      <protection locked="0"/>
    </xf>
    <xf numFmtId="0" fontId="7" fillId="14" borderId="53" xfId="0" applyNumberFormat="1" applyFont="1" applyFill="1" applyBorder="1" applyAlignment="1">
      <alignment horizontal="center" vertical="center" wrapText="1"/>
    </xf>
    <xf numFmtId="0" fontId="3" fillId="10" borderId="58"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7" fillId="14" borderId="28" xfId="0" applyNumberFormat="1" applyFont="1" applyFill="1" applyBorder="1" applyAlignment="1">
      <alignment horizontal="center" vertical="center" wrapText="1"/>
    </xf>
    <xf numFmtId="0" fontId="7" fillId="11" borderId="28" xfId="0" applyNumberFormat="1" applyFont="1" applyFill="1" applyBorder="1" applyAlignment="1">
      <alignment horizontal="center" vertical="center" wrapText="1"/>
    </xf>
    <xf numFmtId="0" fontId="7" fillId="14" borderId="30" xfId="0" applyNumberFormat="1" applyFont="1" applyFill="1" applyBorder="1" applyAlignment="1">
      <alignment horizontal="center" vertical="center" wrapText="1"/>
    </xf>
    <xf numFmtId="0" fontId="7" fillId="14" borderId="30" xfId="0" applyNumberFormat="1" applyFont="1" applyFill="1" applyBorder="1" applyAlignment="1" applyProtection="1">
      <alignment horizontal="center" vertical="center" wrapText="1"/>
    </xf>
    <xf numFmtId="0" fontId="4" fillId="0" borderId="60" xfId="0" applyFont="1" applyBorder="1" applyAlignment="1" applyProtection="1">
      <alignment horizontal="center" vertical="center" wrapText="1"/>
    </xf>
    <xf numFmtId="0" fontId="4" fillId="0" borderId="59" xfId="0" applyFont="1" applyBorder="1" applyAlignment="1" applyProtection="1">
      <alignment horizontal="center" vertical="center" wrapText="1"/>
    </xf>
    <xf numFmtId="0" fontId="32" fillId="0" borderId="0" xfId="0" applyFont="1" applyFill="1" applyAlignment="1" applyProtection="1">
      <alignment vertical="center" wrapText="1"/>
      <protection locked="0"/>
    </xf>
    <xf numFmtId="0" fontId="0" fillId="0" borderId="0" xfId="0" applyFill="1"/>
    <xf numFmtId="0" fontId="21" fillId="0" borderId="0" xfId="0" applyFont="1" applyFill="1" applyBorder="1" applyAlignment="1">
      <alignment horizontal="left" vertical="center" wrapText="1" indent="2"/>
    </xf>
    <xf numFmtId="0" fontId="18" fillId="8" borderId="55" xfId="0" applyFont="1" applyFill="1" applyBorder="1" applyAlignment="1" applyProtection="1">
      <alignment horizontal="center" vertical="center" wrapText="1"/>
      <protection locked="0"/>
    </xf>
    <xf numFmtId="0" fontId="5" fillId="0" borderId="16" xfId="0" applyFont="1" applyFill="1" applyBorder="1" applyProtection="1">
      <protection locked="0"/>
    </xf>
    <xf numFmtId="0" fontId="21" fillId="0" borderId="0" xfId="0" applyFont="1" applyFill="1" applyBorder="1" applyAlignment="1">
      <alignment horizontal="left" vertical="center" wrapText="1" indent="10"/>
    </xf>
    <xf numFmtId="0" fontId="21" fillId="0" borderId="0" xfId="0" applyFont="1" applyFill="1" applyBorder="1" applyAlignment="1">
      <alignment horizontal="left" vertical="center" wrapText="1" indent="5"/>
    </xf>
    <xf numFmtId="0" fontId="37" fillId="0" borderId="17" xfId="0" applyFont="1" applyBorder="1" applyAlignment="1">
      <alignment horizontal="left" vertical="center" indent="5"/>
    </xf>
    <xf numFmtId="0" fontId="37" fillId="0" borderId="17" xfId="0" applyFont="1" applyBorder="1" applyAlignment="1">
      <alignment horizontal="left" vertical="center" wrapText="1" indent="10"/>
    </xf>
    <xf numFmtId="0" fontId="37" fillId="0" borderId="17" xfId="0" applyFont="1" applyBorder="1" applyAlignment="1">
      <alignment horizontal="left" vertical="center" indent="10"/>
    </xf>
    <xf numFmtId="0" fontId="38" fillId="0" borderId="17" xfId="0" applyFont="1" applyBorder="1" applyAlignment="1">
      <alignment horizontal="left" vertical="center" indent="15"/>
    </xf>
    <xf numFmtId="0" fontId="38" fillId="0" borderId="17" xfId="0" applyFont="1" applyBorder="1" applyAlignment="1">
      <alignment horizontal="left" vertical="center" wrapText="1" indent="15"/>
    </xf>
    <xf numFmtId="0" fontId="37" fillId="0" borderId="17" xfId="0" applyFont="1" applyBorder="1" applyAlignment="1">
      <alignment horizontal="left" vertical="center" wrapText="1" indent="5"/>
    </xf>
    <xf numFmtId="0" fontId="37" fillId="0" borderId="18" xfId="0" applyFont="1" applyBorder="1" applyAlignment="1">
      <alignment horizontal="left" vertical="center" wrapText="1" indent="10"/>
    </xf>
    <xf numFmtId="0" fontId="37" fillId="0" borderId="16" xfId="0" applyFont="1" applyBorder="1" applyAlignment="1">
      <alignment horizontal="left" vertical="center" indent="2"/>
    </xf>
    <xf numFmtId="0" fontId="37" fillId="0" borderId="17" xfId="0" applyFont="1" applyBorder="1" applyAlignment="1">
      <alignment horizontal="left" vertical="center" indent="2"/>
    </xf>
    <xf numFmtId="0" fontId="37" fillId="0" borderId="17" xfId="0" applyFont="1" applyBorder="1" applyAlignment="1">
      <alignment horizontal="left" vertical="center" wrapText="1" indent="2"/>
    </xf>
    <xf numFmtId="0" fontId="37" fillId="0" borderId="18" xfId="0" applyFont="1" applyBorder="1" applyAlignment="1">
      <alignment horizontal="left" vertical="center" wrapText="1" indent="5"/>
    </xf>
    <xf numFmtId="0" fontId="4" fillId="0" borderId="0"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xf>
    <xf numFmtId="0" fontId="39" fillId="0" borderId="0" xfId="0" applyFont="1"/>
    <xf numFmtId="0" fontId="3" fillId="20" borderId="0" xfId="0" applyFont="1" applyFill="1" applyAlignment="1">
      <alignment horizontal="center" vertical="center" wrapText="1"/>
    </xf>
    <xf numFmtId="0" fontId="4" fillId="0" borderId="61" xfId="0" applyFont="1" applyBorder="1" applyAlignment="1">
      <alignment horizontal="center" vertical="center" wrapText="1"/>
    </xf>
    <xf numFmtId="0" fontId="40" fillId="0" borderId="61" xfId="0" applyFont="1" applyBorder="1" applyAlignment="1">
      <alignment horizontal="center" vertical="center" wrapText="1"/>
    </xf>
    <xf numFmtId="0" fontId="4" fillId="0" borderId="62" xfId="0" applyFont="1" applyBorder="1" applyAlignment="1">
      <alignment horizontal="center" vertical="center" wrapText="1"/>
    </xf>
    <xf numFmtId="0" fontId="3" fillId="3" borderId="0" xfId="0" applyFont="1" applyFill="1" applyAlignment="1">
      <alignment horizontal="center" vertical="center" wrapText="1"/>
    </xf>
    <xf numFmtId="0" fontId="5" fillId="0" borderId="40" xfId="0" applyFont="1" applyFill="1" applyBorder="1" applyAlignment="1">
      <alignment vertical="center"/>
    </xf>
    <xf numFmtId="0" fontId="3" fillId="3" borderId="63" xfId="0" applyFont="1" applyFill="1" applyBorder="1" applyAlignment="1">
      <alignment horizontal="left" vertical="center" wrapText="1"/>
    </xf>
    <xf numFmtId="0" fontId="3" fillId="3" borderId="64" xfId="0" applyFont="1" applyFill="1" applyBorder="1" applyAlignment="1">
      <alignment horizontal="left" vertical="center" wrapText="1"/>
    </xf>
    <xf numFmtId="0" fontId="3" fillId="9" borderId="64" xfId="0" applyFont="1" applyFill="1" applyBorder="1" applyAlignment="1">
      <alignment horizontal="left" vertical="center" wrapText="1"/>
    </xf>
    <xf numFmtId="0" fontId="3" fillId="20" borderId="64" xfId="0" applyFont="1" applyFill="1" applyBorder="1" applyAlignment="1">
      <alignment horizontal="left" vertical="center" wrapText="1"/>
    </xf>
    <xf numFmtId="0" fontId="3" fillId="6" borderId="64" xfId="0" applyFont="1" applyFill="1" applyBorder="1" applyAlignment="1" applyProtection="1">
      <alignment horizontal="left" vertical="center" wrapText="1"/>
    </xf>
    <xf numFmtId="0" fontId="3" fillId="3" borderId="65" xfId="0" applyFont="1" applyFill="1" applyBorder="1" applyAlignment="1">
      <alignment horizontal="left" vertical="center" wrapText="1"/>
    </xf>
    <xf numFmtId="0" fontId="3" fillId="5" borderId="63" xfId="0" applyFont="1" applyFill="1" applyBorder="1" applyAlignment="1">
      <alignment horizontal="left" vertical="center" wrapText="1"/>
    </xf>
    <xf numFmtId="0" fontId="3" fillId="5" borderId="64" xfId="0" applyFont="1" applyFill="1" applyBorder="1" applyAlignment="1">
      <alignment horizontal="left" vertical="center" wrapText="1"/>
    </xf>
    <xf numFmtId="0" fontId="3" fillId="6" borderId="63" xfId="0" applyFont="1" applyFill="1" applyBorder="1" applyAlignment="1">
      <alignment horizontal="left" vertical="center" wrapText="1"/>
    </xf>
    <xf numFmtId="0" fontId="3" fillId="10" borderId="64" xfId="0" applyFont="1" applyFill="1" applyBorder="1" applyAlignment="1">
      <alignment horizontal="left" vertical="center" wrapText="1"/>
    </xf>
    <xf numFmtId="0" fontId="3" fillId="9" borderId="64" xfId="0" applyFont="1" applyFill="1" applyBorder="1" applyAlignment="1" applyProtection="1">
      <alignment horizontal="left" vertical="center" wrapText="1"/>
    </xf>
    <xf numFmtId="0" fontId="3" fillId="6" borderId="64" xfId="0" applyFont="1" applyFill="1" applyBorder="1" applyAlignment="1">
      <alignment horizontal="left" vertical="center" wrapText="1"/>
    </xf>
    <xf numFmtId="0" fontId="3" fillId="9" borderId="65" xfId="0" applyFont="1" applyFill="1" applyBorder="1" applyAlignment="1" applyProtection="1">
      <alignment horizontal="left" vertical="center" wrapText="1"/>
    </xf>
    <xf numFmtId="0" fontId="41" fillId="0" borderId="0" xfId="0" applyNumberFormat="1" applyFont="1" applyFill="1" applyBorder="1" applyAlignment="1" applyProtection="1">
      <alignment horizontal="center" vertical="center" wrapText="1"/>
      <protection locked="0"/>
    </xf>
    <xf numFmtId="0" fontId="41" fillId="0" borderId="0" xfId="0" applyNumberFormat="1" applyFont="1" applyFill="1" applyAlignment="1" applyProtection="1">
      <alignment horizontal="center" vertical="center" wrapText="1"/>
      <protection locked="0"/>
    </xf>
    <xf numFmtId="0" fontId="41" fillId="0" borderId="0" xfId="0" applyNumberFormat="1" applyFont="1" applyFill="1" applyBorder="1" applyAlignment="1">
      <alignment horizontal="center" vertical="center" wrapText="1"/>
    </xf>
    <xf numFmtId="0" fontId="41" fillId="0" borderId="0" xfId="0" applyNumberFormat="1" applyFont="1" applyFill="1" applyBorder="1" applyAlignment="1" applyProtection="1">
      <alignment horizontal="center" vertical="center" wrapText="1"/>
    </xf>
    <xf numFmtId="0" fontId="3" fillId="6" borderId="0" xfId="0" applyFont="1" applyFill="1" applyAlignment="1" applyProtection="1">
      <alignment horizontal="center" vertical="center" wrapText="1"/>
    </xf>
    <xf numFmtId="0" fontId="3" fillId="6" borderId="0" xfId="0" applyFont="1" applyFill="1" applyAlignment="1">
      <alignment horizontal="center" vertical="center" wrapText="1"/>
    </xf>
    <xf numFmtId="0" fontId="31" fillId="0" borderId="0" xfId="0" applyFont="1" applyFill="1" applyBorder="1" applyAlignment="1">
      <alignment vertical="center" wrapText="1"/>
    </xf>
    <xf numFmtId="0" fontId="9" fillId="0" borderId="0" xfId="0" applyNumberFormat="1" applyFont="1" applyFill="1" applyAlignment="1" applyProtection="1">
      <alignment horizontal="center" vertical="center" wrapText="1"/>
    </xf>
    <xf numFmtId="0" fontId="8" fillId="0" borderId="0" xfId="0" applyNumberFormat="1" applyFont="1" applyFill="1" applyAlignment="1" applyProtection="1">
      <alignment horizontal="center" vertical="center" wrapText="1"/>
      <protection locked="0"/>
    </xf>
    <xf numFmtId="0" fontId="44" fillId="0" borderId="0" xfId="0" applyNumberFormat="1" applyFont="1" applyFill="1" applyBorder="1" applyAlignment="1" applyProtection="1">
      <alignment horizontal="center" vertical="center" wrapText="1"/>
      <protection locked="0"/>
    </xf>
    <xf numFmtId="0" fontId="9" fillId="0" borderId="0" xfId="0" applyNumberFormat="1" applyFont="1" applyFill="1" applyBorder="1" applyAlignment="1" applyProtection="1">
      <alignment horizontal="center" vertical="center" wrapText="1"/>
      <protection locked="0"/>
    </xf>
    <xf numFmtId="0" fontId="45" fillId="0" borderId="62" xfId="0" applyFont="1" applyBorder="1" applyAlignment="1" applyProtection="1">
      <alignment horizontal="center" vertical="center" wrapText="1"/>
    </xf>
    <xf numFmtId="0" fontId="48" fillId="0" borderId="0" xfId="3" applyFont="1" applyAlignment="1">
      <alignment horizontal="left" vertical="top" wrapText="1"/>
    </xf>
    <xf numFmtId="0" fontId="48" fillId="0" borderId="8" xfId="3" applyFont="1" applyBorder="1" applyAlignment="1">
      <alignment horizontal="left" vertical="top" wrapText="1"/>
    </xf>
    <xf numFmtId="0" fontId="48" fillId="0" borderId="8" xfId="3" applyFont="1" applyBorder="1" applyAlignment="1">
      <alignment horizontal="left" vertical="center" wrapText="1"/>
    </xf>
    <xf numFmtId="0" fontId="50" fillId="0" borderId="0" xfId="4" applyFont="1" applyAlignment="1">
      <alignment horizontal="left" vertical="top" wrapText="1"/>
    </xf>
    <xf numFmtId="0" fontId="50" fillId="0" borderId="0" xfId="4" applyFont="1" applyBorder="1" applyAlignment="1">
      <alignment horizontal="left" vertical="top" wrapText="1"/>
    </xf>
    <xf numFmtId="0" fontId="48" fillId="0" borderId="8" xfId="3" applyFont="1" applyBorder="1" applyAlignment="1">
      <alignment vertical="center" wrapText="1"/>
    </xf>
    <xf numFmtId="0" fontId="50" fillId="0" borderId="0" xfId="4" applyFont="1" applyAlignment="1">
      <alignment vertical="top" wrapText="1"/>
    </xf>
    <xf numFmtId="0" fontId="51" fillId="0" borderId="8" xfId="3" applyFont="1" applyBorder="1" applyAlignment="1">
      <alignment vertical="center" wrapText="1"/>
    </xf>
    <xf numFmtId="0" fontId="48" fillId="0" borderId="0" xfId="3" applyFont="1" applyAlignment="1">
      <alignment vertical="top" wrapText="1"/>
    </xf>
    <xf numFmtId="0" fontId="51" fillId="0" borderId="0" xfId="3" applyFont="1" applyAlignment="1">
      <alignment horizontal="left" vertical="top" wrapText="1"/>
    </xf>
    <xf numFmtId="0" fontId="43" fillId="22" borderId="1" xfId="0" applyFont="1" applyFill="1" applyBorder="1" applyAlignment="1">
      <alignment horizontal="left" vertical="center" wrapText="1"/>
    </xf>
    <xf numFmtId="0" fontId="42" fillId="23" borderId="2" xfId="0" applyFont="1" applyFill="1" applyBorder="1" applyAlignment="1">
      <alignment horizontal="center" vertical="center"/>
    </xf>
    <xf numFmtId="0" fontId="42" fillId="23" borderId="3" xfId="0" applyFont="1" applyFill="1" applyBorder="1" applyAlignment="1">
      <alignment horizontal="center" vertical="center"/>
    </xf>
    <xf numFmtId="0" fontId="42" fillId="23" borderId="4" xfId="0" applyFont="1" applyFill="1" applyBorder="1" applyAlignment="1">
      <alignment horizontal="center" vertical="center"/>
    </xf>
    <xf numFmtId="0" fontId="16" fillId="8" borderId="2" xfId="0" applyFont="1" applyFill="1" applyBorder="1" applyAlignment="1">
      <alignment horizontal="left" vertical="center" wrapText="1"/>
    </xf>
    <xf numFmtId="0" fontId="16" fillId="8" borderId="3" xfId="0" applyFont="1" applyFill="1" applyBorder="1" applyAlignment="1">
      <alignment horizontal="left" vertical="center" wrapText="1"/>
    </xf>
    <xf numFmtId="0" fontId="16" fillId="8" borderId="4"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13" fillId="8" borderId="9" xfId="0" applyFont="1" applyFill="1" applyBorder="1" applyAlignment="1">
      <alignment horizontal="center" vertical="center"/>
    </xf>
    <xf numFmtId="0" fontId="13" fillId="8" borderId="10" xfId="0" applyFont="1" applyFill="1" applyBorder="1" applyAlignment="1">
      <alignment horizontal="center" vertical="center"/>
    </xf>
    <xf numFmtId="0" fontId="13" fillId="8" borderId="11"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31" fillId="4" borderId="1" xfId="0" applyFont="1" applyFill="1" applyBorder="1" applyAlignment="1">
      <alignment horizontal="center" vertical="center" wrapText="1"/>
    </xf>
    <xf numFmtId="0" fontId="13" fillId="8" borderId="9" xfId="0" applyFont="1" applyFill="1" applyBorder="1" applyAlignment="1" applyProtection="1">
      <alignment horizontal="center" vertical="center" wrapText="1"/>
    </xf>
    <xf numFmtId="0" fontId="13" fillId="8" borderId="10" xfId="0" applyFont="1" applyFill="1" applyBorder="1" applyAlignment="1" applyProtection="1">
      <alignment horizontal="center" vertical="center" wrapText="1"/>
    </xf>
    <xf numFmtId="0" fontId="13" fillId="8" borderId="11" xfId="0" applyFont="1" applyFill="1" applyBorder="1" applyAlignment="1" applyProtection="1">
      <alignment horizontal="center" vertical="center" wrapText="1"/>
    </xf>
    <xf numFmtId="0" fontId="5" fillId="0" borderId="2" xfId="0" applyNumberFormat="1" applyFont="1" applyBorder="1" applyAlignment="1" applyProtection="1">
      <alignment horizontal="left" vertical="center"/>
    </xf>
    <xf numFmtId="0" fontId="5" fillId="0" borderId="3" xfId="0" applyNumberFormat="1" applyFont="1" applyBorder="1" applyAlignment="1" applyProtection="1">
      <alignment horizontal="left" vertical="center"/>
    </xf>
    <xf numFmtId="0" fontId="5" fillId="0" borderId="4" xfId="0" applyNumberFormat="1" applyFont="1" applyBorder="1" applyAlignment="1" applyProtection="1">
      <alignment horizontal="left" vertical="center"/>
    </xf>
    <xf numFmtId="166" fontId="5" fillId="0" borderId="2" xfId="0" applyNumberFormat="1" applyFont="1" applyBorder="1" applyAlignment="1" applyProtection="1">
      <alignment horizontal="left" vertical="center"/>
    </xf>
    <xf numFmtId="166" fontId="5" fillId="0" borderId="3" xfId="0" applyNumberFormat="1" applyFont="1" applyBorder="1" applyAlignment="1" applyProtection="1">
      <alignment horizontal="left" vertical="center"/>
    </xf>
    <xf numFmtId="166" fontId="5" fillId="0" borderId="4" xfId="0" applyNumberFormat="1" applyFont="1" applyBorder="1" applyAlignment="1" applyProtection="1">
      <alignment horizontal="left" vertical="center"/>
    </xf>
    <xf numFmtId="0" fontId="31" fillId="4" borderId="2" xfId="0" applyFont="1" applyFill="1" applyBorder="1" applyAlignment="1">
      <alignment vertical="center" wrapText="1"/>
    </xf>
    <xf numFmtId="0" fontId="31" fillId="4" borderId="3" xfId="0" applyFont="1" applyFill="1" applyBorder="1" applyAlignment="1">
      <alignment vertical="center" wrapText="1"/>
    </xf>
    <xf numFmtId="0" fontId="31" fillId="4" borderId="4" xfId="0" applyFont="1" applyFill="1" applyBorder="1" applyAlignment="1">
      <alignment vertical="center" wrapText="1"/>
    </xf>
    <xf numFmtId="0" fontId="31" fillId="4" borderId="16" xfId="0" applyFont="1" applyFill="1" applyBorder="1" applyAlignment="1">
      <alignment horizontal="center" vertical="center" wrapText="1"/>
    </xf>
    <xf numFmtId="0" fontId="31" fillId="4" borderId="17" xfId="0" applyFont="1" applyFill="1" applyBorder="1" applyAlignment="1">
      <alignment horizontal="center" vertical="center" wrapText="1"/>
    </xf>
    <xf numFmtId="0" fontId="31" fillId="4" borderId="18" xfId="0" applyFont="1" applyFill="1" applyBorder="1" applyAlignment="1">
      <alignment horizontal="center" vertical="center" wrapText="1"/>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13" fillId="0" borderId="18" xfId="0" applyFont="1" applyBorder="1" applyAlignment="1">
      <alignment horizontal="center" vertical="center"/>
    </xf>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30" fillId="3" borderId="2" xfId="0" applyFont="1" applyFill="1" applyBorder="1" applyAlignment="1">
      <alignment horizontal="center" vertical="center" wrapText="1"/>
    </xf>
    <xf numFmtId="0" fontId="30" fillId="3" borderId="4" xfId="0" applyFont="1" applyFill="1" applyBorder="1" applyAlignment="1">
      <alignment horizontal="center" vertical="center" wrapText="1"/>
    </xf>
    <xf numFmtId="0" fontId="20" fillId="0" borderId="19" xfId="0" applyFont="1" applyBorder="1" applyAlignment="1" applyProtection="1">
      <alignment horizontal="center" wrapText="1"/>
      <protection locked="0"/>
    </xf>
    <xf numFmtId="0" fontId="20" fillId="0" borderId="21" xfId="0" applyFont="1" applyBorder="1" applyAlignment="1" applyProtection="1">
      <alignment horizontal="center" wrapText="1"/>
      <protection locked="0"/>
    </xf>
    <xf numFmtId="0" fontId="3" fillId="10" borderId="22" xfId="0" applyFont="1" applyFill="1" applyBorder="1" applyAlignment="1" applyProtection="1">
      <alignment horizontal="center" vertical="center" wrapText="1"/>
      <protection locked="0"/>
    </xf>
    <xf numFmtId="0" fontId="3" fillId="10" borderId="23" xfId="0" applyFont="1" applyFill="1" applyBorder="1" applyAlignment="1" applyProtection="1">
      <alignment horizontal="center" vertical="center" wrapText="1"/>
      <protection locked="0"/>
    </xf>
    <xf numFmtId="0" fontId="3" fillId="10" borderId="24" xfId="0" applyFont="1" applyFill="1" applyBorder="1" applyAlignment="1" applyProtection="1">
      <alignment horizontal="center" vertical="center" wrapText="1"/>
      <protection locked="0"/>
    </xf>
    <xf numFmtId="0" fontId="17" fillId="8" borderId="19" xfId="0" applyFont="1" applyFill="1" applyBorder="1" applyAlignment="1" applyProtection="1">
      <alignment horizontal="center" vertical="center"/>
      <protection locked="0"/>
    </xf>
    <xf numFmtId="0" fontId="17" fillId="8" borderId="20" xfId="0" applyFont="1" applyFill="1" applyBorder="1" applyAlignment="1" applyProtection="1">
      <alignment horizontal="center" vertical="center"/>
      <protection locked="0"/>
    </xf>
    <xf numFmtId="0" fontId="17" fillId="8" borderId="21" xfId="0" applyFont="1" applyFill="1" applyBorder="1" applyAlignment="1" applyProtection="1">
      <alignment horizontal="center" vertical="center"/>
      <protection locked="0"/>
    </xf>
    <xf numFmtId="0" fontId="23" fillId="0" borderId="19" xfId="0" applyFont="1" applyBorder="1" applyAlignment="1" applyProtection="1">
      <alignment horizontal="center" vertical="center" wrapText="1"/>
      <protection locked="0"/>
    </xf>
    <xf numFmtId="0" fontId="23" fillId="0" borderId="21" xfId="0" applyFont="1" applyBorder="1" applyAlignment="1" applyProtection="1">
      <alignment horizontal="center" vertical="center" wrapText="1"/>
      <protection locked="0"/>
    </xf>
    <xf numFmtId="0" fontId="3" fillId="10" borderId="58"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22" fillId="8" borderId="19" xfId="0" applyFont="1" applyFill="1" applyBorder="1" applyAlignment="1" applyProtection="1">
      <alignment horizontal="center" vertical="center" wrapText="1"/>
      <protection locked="0"/>
    </xf>
    <xf numFmtId="0" fontId="22" fillId="8" borderId="20" xfId="0" applyFont="1" applyFill="1" applyBorder="1" applyAlignment="1" applyProtection="1">
      <alignment horizontal="center" vertical="center" wrapText="1"/>
      <protection locked="0"/>
    </xf>
    <xf numFmtId="0" fontId="22" fillId="8" borderId="21" xfId="0" applyFont="1" applyFill="1" applyBorder="1" applyAlignment="1" applyProtection="1">
      <alignment horizontal="center" vertical="center" wrapText="1"/>
      <protection locked="0"/>
    </xf>
    <xf numFmtId="0" fontId="20" fillId="16" borderId="0" xfId="0" applyFont="1" applyFill="1" applyBorder="1" applyAlignment="1" applyProtection="1">
      <alignment horizontal="center" vertical="center" wrapText="1"/>
      <protection locked="0"/>
    </xf>
    <xf numFmtId="15" fontId="5" fillId="0" borderId="2" xfId="0" applyNumberFormat="1" applyFont="1" applyBorder="1" applyAlignment="1" applyProtection="1">
      <alignment horizontal="left" vertical="center"/>
    </xf>
    <xf numFmtId="15" fontId="5" fillId="0" borderId="3" xfId="0" applyNumberFormat="1" applyFont="1" applyBorder="1" applyAlignment="1" applyProtection="1">
      <alignment horizontal="left" vertical="center"/>
    </xf>
    <xf numFmtId="0" fontId="32" fillId="17" borderId="0" xfId="0" applyFont="1" applyFill="1" applyAlignment="1" applyProtection="1">
      <alignment horizontal="center" vertical="center" wrapText="1"/>
      <protection locked="0"/>
    </xf>
    <xf numFmtId="0" fontId="36" fillId="17" borderId="0" xfId="0" applyFont="1" applyFill="1" applyAlignment="1" applyProtection="1">
      <alignment horizontal="center" vertical="center" wrapText="1"/>
    </xf>
  </cellXfs>
  <cellStyles count="5">
    <cellStyle name="Currency" xfId="2" builtinId="4"/>
    <cellStyle name="Hyperlink 2" xfId="4" xr:uid="{0985C530-FFC5-4BDB-8F0D-6A3275F78E6F}"/>
    <cellStyle name="Normal" xfId="0" builtinId="0"/>
    <cellStyle name="Normal 2" xfId="3" xr:uid="{26B7B928-3DD6-4D3B-A962-620414B2573A}"/>
    <cellStyle name="Percent" xfId="1" builtinId="5"/>
  </cellStyles>
  <dxfs count="309">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style="thin">
          <color theme="0"/>
        </right>
        <top style="thin">
          <color theme="0"/>
        </top>
        <bottom style="thin">
          <color theme="0"/>
        </bottom>
      </border>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numFmt numFmtId="165" formatCode="&quot;$&quot;#,##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numFmt numFmtId="13" formatCode="0%"/>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alignment horizontal="center" vertical="center" textRotation="0" wrapText="1" indent="0" justifyLastLine="0" shrinkToFit="0" readingOrder="0"/>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fill>
        <patternFill patternType="solid">
          <fgColor indexed="64"/>
          <bgColor theme="0"/>
        </patternFill>
      </fill>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style="thin">
          <color theme="0"/>
        </right>
        <top style="thin">
          <color theme="0"/>
        </top>
        <bottom style="thin">
          <color theme="0"/>
        </bottom>
      </border>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numFmt numFmtId="165" formatCode="&quot;$&quot;#,##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s>
  <tableStyles count="0" defaultTableStyle="TableStyleMedium2" defaultPivotStyle="PivotStyleLight16"/>
  <colors>
    <mruColors>
      <color rgb="FF003B5C"/>
      <color rgb="FFA391F1"/>
      <color rgb="FF007635"/>
      <color rgb="FF008E40"/>
      <color rgb="FFF2F2F2"/>
      <color rgb="FF008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46362</xdr:rowOff>
    </xdr:from>
    <xdr:to>
      <xdr:col>18</xdr:col>
      <xdr:colOff>729086</xdr:colOff>
      <xdr:row>97</xdr:row>
      <xdr:rowOff>138545</xdr:rowOff>
    </xdr:to>
    <xdr:pic>
      <xdr:nvPicPr>
        <xdr:cNvPr id="2" name="Picture 1">
          <a:extLst>
            <a:ext uri="{FF2B5EF4-FFF2-40B4-BE49-F238E27FC236}">
              <a16:creationId xmlns:a16="http://schemas.microsoft.com/office/drawing/2014/main" id="{E2F6058E-DDA6-48F4-95A3-5B6D40DD6A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6362"/>
          <a:ext cx="14445086" cy="185706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5278967</xdr:colOff>
      <xdr:row>41</xdr:row>
      <xdr:rowOff>63500</xdr:rowOff>
    </xdr:to>
    <xdr:sp macro="" textlink="">
      <xdr:nvSpPr>
        <xdr:cNvPr id="2" name="Object 2" hidden="1">
          <a:extLst>
            <a:ext uri="{63B3BB69-23CF-44E3-9099-C40C66FF867C}">
              <a14:compatExt xmlns:a14="http://schemas.microsoft.com/office/drawing/2010/main" spid="_x0000_s1026"/>
            </a:ext>
            <a:ext uri="{FF2B5EF4-FFF2-40B4-BE49-F238E27FC236}">
              <a16:creationId xmlns:a16="http://schemas.microsoft.com/office/drawing/2014/main" id="{493F8F09-ACF4-44E4-A274-422A9BCF0B42}"/>
            </a:ext>
          </a:extLst>
        </xdr:cNvPr>
        <xdr:cNvSpPr/>
      </xdr:nvSpPr>
      <xdr:spPr bwMode="auto">
        <a:xfrm>
          <a:off x="0" y="0"/>
          <a:ext cx="7812617" cy="1004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headEn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4232</xdr:colOff>
      <xdr:row>1</xdr:row>
      <xdr:rowOff>55035</xdr:rowOff>
    </xdr:from>
    <xdr:to>
      <xdr:col>1</xdr:col>
      <xdr:colOff>1578524</xdr:colOff>
      <xdr:row>1</xdr:row>
      <xdr:rowOff>420795</xdr:rowOff>
    </xdr:to>
    <xdr:pic>
      <xdr:nvPicPr>
        <xdr:cNvPr id="3" name="Graphic 2">
          <a:extLst>
            <a:ext uri="{FF2B5EF4-FFF2-40B4-BE49-F238E27FC236}">
              <a16:creationId xmlns:a16="http://schemas.microsoft.com/office/drawing/2014/main" id="{93153DBE-6577-45AB-9A72-96749B8053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107" y="559860"/>
          <a:ext cx="1574292" cy="365760"/>
        </a:xfrm>
        <a:prstGeom prst="rect">
          <a:avLst/>
        </a:prstGeom>
      </xdr:spPr>
    </xdr:pic>
    <xdr:clientData/>
  </xdr:twoCellAnchor>
  <xdr:twoCellAnchor editAs="oneCell">
    <xdr:from>
      <xdr:col>1</xdr:col>
      <xdr:colOff>4233</xdr:colOff>
      <xdr:row>4</xdr:row>
      <xdr:rowOff>55035</xdr:rowOff>
    </xdr:from>
    <xdr:to>
      <xdr:col>1</xdr:col>
      <xdr:colOff>1580049</xdr:colOff>
      <xdr:row>5</xdr:row>
      <xdr:rowOff>67227</xdr:rowOff>
    </xdr:to>
    <xdr:pic>
      <xdr:nvPicPr>
        <xdr:cNvPr id="4" name="Graphic 2">
          <a:extLst>
            <a:ext uri="{FF2B5EF4-FFF2-40B4-BE49-F238E27FC236}">
              <a16:creationId xmlns:a16="http://schemas.microsoft.com/office/drawing/2014/main" id="{3E2331BA-E7A2-4079-936B-E5DA68B9B2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8108" y="2341035"/>
          <a:ext cx="1575816" cy="393192"/>
        </a:xfrm>
        <a:prstGeom prst="rect">
          <a:avLst/>
        </a:prstGeom>
      </xdr:spPr>
    </xdr:pic>
    <xdr:clientData/>
  </xdr:twoCellAnchor>
  <xdr:twoCellAnchor editAs="oneCell">
    <xdr:from>
      <xdr:col>0</xdr:col>
      <xdr:colOff>520697</xdr:colOff>
      <xdr:row>7</xdr:row>
      <xdr:rowOff>50802</xdr:rowOff>
    </xdr:from>
    <xdr:to>
      <xdr:col>1</xdr:col>
      <xdr:colOff>1746247</xdr:colOff>
      <xdr:row>9</xdr:row>
      <xdr:rowOff>110068</xdr:rowOff>
    </xdr:to>
    <xdr:pic>
      <xdr:nvPicPr>
        <xdr:cNvPr id="5" name="Graphic 3">
          <a:extLst>
            <a:ext uri="{FF2B5EF4-FFF2-40B4-BE49-F238E27FC236}">
              <a16:creationId xmlns:a16="http://schemas.microsoft.com/office/drawing/2014/main" id="{1759B285-3943-4B2B-8C66-491CF1E4196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0697" y="3365502"/>
          <a:ext cx="1749425" cy="449791"/>
        </a:xfrm>
        <a:prstGeom prst="rect">
          <a:avLst/>
        </a:prstGeom>
      </xdr:spPr>
    </xdr:pic>
    <xdr:clientData/>
  </xdr:twoCellAnchor>
  <xdr:twoCellAnchor editAs="oneCell">
    <xdr:from>
      <xdr:col>1</xdr:col>
      <xdr:colOff>0</xdr:colOff>
      <xdr:row>10</xdr:row>
      <xdr:rowOff>50802</xdr:rowOff>
    </xdr:from>
    <xdr:to>
      <xdr:col>1</xdr:col>
      <xdr:colOff>1270635</xdr:colOff>
      <xdr:row>12</xdr:row>
      <xdr:rowOff>34928</xdr:rowOff>
    </xdr:to>
    <xdr:pic>
      <xdr:nvPicPr>
        <xdr:cNvPr id="6" name="Graphic 8">
          <a:extLst>
            <a:ext uri="{FF2B5EF4-FFF2-40B4-BE49-F238E27FC236}">
              <a16:creationId xmlns:a16="http://schemas.microsoft.com/office/drawing/2014/main" id="{22EAE56C-24BB-4BD7-9F37-66F31FA0018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3875" y="4260852"/>
          <a:ext cx="1270635" cy="288926"/>
        </a:xfrm>
        <a:prstGeom prst="rect">
          <a:avLst/>
        </a:prstGeom>
      </xdr:spPr>
    </xdr:pic>
    <xdr:clientData/>
  </xdr:twoCellAnchor>
  <xdr:twoCellAnchor editAs="oneCell">
    <xdr:from>
      <xdr:col>1</xdr:col>
      <xdr:colOff>0</xdr:colOff>
      <xdr:row>12</xdr:row>
      <xdr:rowOff>148167</xdr:rowOff>
    </xdr:from>
    <xdr:to>
      <xdr:col>1</xdr:col>
      <xdr:colOff>1617980</xdr:colOff>
      <xdr:row>13</xdr:row>
      <xdr:rowOff>2117</xdr:rowOff>
    </xdr:to>
    <xdr:pic>
      <xdr:nvPicPr>
        <xdr:cNvPr id="7" name="Graphic 4">
          <a:extLst>
            <a:ext uri="{FF2B5EF4-FFF2-40B4-BE49-F238E27FC236}">
              <a16:creationId xmlns:a16="http://schemas.microsoft.com/office/drawing/2014/main" id="{20ADCA98-558C-4BD1-97DD-4A43B7DCAC5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23875" y="4663017"/>
          <a:ext cx="1617980" cy="2825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BDB1C22-0831-455E-9D80-3CB50CFA5053}" name="tblMissionPrompts14" displayName="tblMissionPrompts14" ref="C7:E12" totalsRowShown="0" headerRowDxfId="308" dataDxfId="307">
  <autoFilter ref="C7:E12" xr:uid="{09324F53-4CF9-4A84-865D-5DA67071876A}"/>
  <tableColumns count="3">
    <tableColumn id="1" xr3:uid="{E8430FBC-5569-44AA-B82B-0C3E62C68356}" name="Impact Magnitude" dataDxfId="306"/>
    <tableColumn id="2" xr3:uid="{337C75B1-E855-481A-BF03-DFD2EA770FA3}" name="Prompt" dataDxfId="305"/>
    <tableColumn id="3" xr3:uid="{9A43E525-B93E-40F6-B6FD-66CB43ADAE48}" name="Response" dataDxfId="304"/>
  </tableColumns>
  <tableStyleInfo name="TableStyleMedium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48999-10B6-4E11-B044-B277753047A0}" name="tblMaturityScores" displayName="tblMaturityScores" ref="B18:C23" totalsRowShown="0" headerRowDxfId="175" dataDxfId="174">
  <autoFilter ref="B18:C23" xr:uid="{7B87A968-A3AD-4C4F-82A7-F496D86A46DA}"/>
  <tableColumns count="2">
    <tableColumn id="1" xr3:uid="{DD79982C-A9BA-4C29-9339-25D7077BA225}" name="Maturity Scores" dataDxfId="173"/>
    <tableColumn id="2" xr3:uid="{B95BD2FA-F1A4-4A6B-8B12-4B5DE8ABB09E}" name="Definition" dataDxfId="172"/>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E67D7F-408D-4247-9729-AF2715BBF482}" name="Table5" displayName="Table5" ref="B29:D34" totalsRowShown="0" headerRowDxfId="171" dataDxfId="170">
  <autoFilter ref="B29:D34" xr:uid="{9543C490-5DBE-41CA-B48C-0C5A61F445AA}"/>
  <tableColumns count="3">
    <tableColumn id="1" xr3:uid="{AB1F23FC-EFCD-4F47-981B-1A533DC44E01}" name="Expectancy Scores" dataDxfId="169"/>
    <tableColumn id="2" xr3:uid="{4239A226-FA5E-49A1-86BA-6C89EC06FDE3}" name="Expectancy" dataDxfId="168"/>
    <tableColumn id="3" xr3:uid="{0C12584E-04E3-4DDF-B031-4024B9D8D6D4}" name="Criteria" dataDxfId="167"/>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5C1274-FDB1-4BEB-98FC-B08D4109F889}" name="Table6" displayName="Table6" ref="B40:C41" totalsRowShown="0" headerRowDxfId="166" dataDxfId="165">
  <autoFilter ref="B40:C41" xr:uid="{1F2A4CDB-E353-417D-87C3-37E36339B4E8}"/>
  <tableColumns count="2">
    <tableColumn id="1" xr3:uid="{3DC79FAB-AE52-4C8A-96B3-D0F1100C46B0}" name="Acceptable Risk Score" dataDxfId="164">
      <calculatedColumnFormula>IF(AcceptableRisk&gt;0, "&lt; " &amp; AcceptableRisk, "Complete the Risk Acceptance Criteria table in Enterprise Parameters")</calculatedColumnFormula>
    </tableColumn>
    <tableColumn id="2" xr3:uid="{2716CAD0-D544-4052-A3D6-A853AF68014F}" name="Risk Acceptance Criteria" dataDxfId="163">
      <calculatedColumnFormula>IF(AcceptableRisk&gt;0, "All scores lower than '" &amp; AcceptableRisk &amp; "' may be automatically accepted. All other risks must be reduced.","Complete the Risk Acceptance Criteria table in Enterprise parameters.")</calculatedColumnFormula>
    </tableColumn>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7DE92C-2FC9-4A9B-8B56-9BBAC9A4D18C}" name="tblVCDBIndex" displayName="tblVCDBIndex" ref="B48:E55" totalsRowShown="0" headerRowDxfId="162" dataDxfId="161">
  <autoFilter ref="B48:E55" xr:uid="{3D5FFE15-1BB4-4EF0-B09F-4B164D6A82A7}"/>
  <tableColumns count="4">
    <tableColumn id="1" xr3:uid="{50E1FA10-603D-42D6-8A53-9DE10B2F836D}" name="Asset Class" dataDxfId="160"/>
    <tableColumn id="2" xr3:uid="{A5ADADF0-F404-4FB8-B93B-A9D20A6C8892}" name="Sum of Threat Count / Industry" dataDxfId="159"/>
    <tableColumn id="3" xr3:uid="{E69ACDA9-ACAA-4EEA-9C81-B28906831D41}" name="Percentage" dataDxfId="158" dataCellStyle="Percent">
      <calculatedColumnFormula>tblVCDBIndex[[#This Row],[Sum of Threat Count / Industry]]/$C$47</calculatedColumnFormula>
    </tableColumn>
    <tableColumn id="4" xr3:uid="{287EDDA7-0E69-4366-BA87-DCC60821B9A2}" name="Index" dataDxfId="157">
      <calculatedColumnFormula>IF(tblVCDBIndex[[#This Row],[Percentage]]&lt;0.2,1,IF(tblVCDBIndex[[#This Row],[Percentage]]&lt;0.4,2,IF(tblVCDBIndex[[#This Row],[Percentage]]&lt;0.6,3,IF(tblVCDBIndex[[#This Row],[Percentage]]&lt;0.8,4,5))))</calculatedColumnFormula>
    </tableColumn>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87B67-BF2C-4E30-9E2B-2AF3B21AC2F9}" name="tblHITIndexWeightTable" displayName="tblHITIndexWeightTable" ref="B61:E86" totalsRowShown="0" headerRowDxfId="156" dataDxfId="155">
  <autoFilter ref="B61:E86" xr:uid="{045CA64F-00D5-4A25-A420-B3A85B51667D}"/>
  <sortState ref="C62:E70">
    <sortCondition descending="1" ref="C61:C70"/>
  </sortState>
  <tableColumns count="4">
    <tableColumn id="4" xr3:uid="{42C0E347-189B-4749-AA0C-F2B9D0D43957}" name="VCDB Index Lookup" dataDxfId="154"/>
    <tableColumn id="1" xr3:uid="{54D34524-94CD-466A-B10E-F45894C20F46}" name="Maturity" dataDxfId="153"/>
    <tableColumn id="2" xr3:uid="{6FFDD197-6A58-4063-AFA5-225A42374912}" name="VCDB Index" dataDxfId="152"/>
    <tableColumn id="3" xr3:uid="{2AC0ACC8-58E6-4D9E-9B01-B192A02430C5}" name="Expectancy" dataDxfId="151"/>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47F86D-E0F9-4DBA-AF95-CF1AC686018A}" name="Table10" displayName="Table10" ref="B6:B12" totalsRowShown="0" headerRowDxfId="150" dataDxfId="149">
  <autoFilter ref="B6:B12" xr:uid="{CC22DCD9-5E80-491A-A6DB-255929F03381}"/>
  <tableColumns count="1">
    <tableColumn id="1" xr3:uid="{EAB9E2CC-245E-4CC2-A0A0-5DC2A0BBFAB4}" name="Asset Classes" dataDxfId="148"/>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F5197394-C98A-47C4-9CBC-32571ED11E59}" name="tblMaturityScores1213" displayName="tblMaturityScores1213" ref="I3:J8" totalsRowShown="0" headerRowDxfId="147" dataDxfId="146" tableBorderDxfId="145">
  <autoFilter ref="I3:J8" xr:uid="{ECF99691-39B8-4848-9BB4-E26E83115FB5}"/>
  <tableColumns count="2">
    <tableColumn id="1" xr3:uid="{D15C61DF-9172-462F-A129-7BD2507CE13B}" name="Maturity Scores" dataDxfId="144"/>
    <tableColumn id="2" xr3:uid="{BF18E76D-9C72-4FF8-91DD-95A72DE3BB71}" name="Definition" dataDxfId="143"/>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51622E9C-4AF0-4699-967D-6AFBE7C88591}" name="tblMaturityScores121323" displayName="tblMaturityScores121323" ref="P2:Q7" totalsRowShown="0" headerRowDxfId="142" dataDxfId="141" tableBorderDxfId="140">
  <autoFilter ref="P2:Q7" xr:uid="{93B096CB-86C1-4018-AE0F-75339CB7E9CD}"/>
  <tableColumns count="2">
    <tableColumn id="1" xr3:uid="{9A148BE5-5716-45D4-8A2B-FB9603CD49CC}" name="Maturity Scores" dataDxfId="139"/>
    <tableColumn id="2" xr3:uid="{7B2E1E6F-9365-4B40-A029-AFE4BB02AFA7}" name="Definition" dataDxfId="138"/>
  </tableColumns>
  <tableStyleInfo name="TableStyleMedium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325D08E-D4F8-4674-B472-287D2E2F9B24}" name="tblMissionPrompts1539" displayName="tblMissionPrompts1539" ref="C6:E11" totalsRowShown="0" headerRowDxfId="137" dataDxfId="136">
  <autoFilter ref="C6:E11" xr:uid="{8F20711D-F8B1-48CD-B22F-0A5A0A1C5D3C}"/>
  <tableColumns count="3">
    <tableColumn id="1" xr3:uid="{8DD8C15C-969A-4348-A666-A505EF01B4FB}" name="Impact Magnitude" dataDxfId="135"/>
    <tableColumn id="2" xr3:uid="{F98D7123-521C-4C49-A373-E13109FC035B}" name="Prompt" dataDxfId="134"/>
    <tableColumn id="3" xr3:uid="{54791CCD-0A9A-4145-A347-7827FD2C303D}" name="Response" dataDxfId="133"/>
  </tableColumns>
  <tableStyleInfo name="TableStyleMedium2"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52A6CDA-F661-44DE-9F88-3E2B6F2433F3}" name="tblOperationalObjectivesPrompts1640" displayName="tblOperationalObjectivesPrompts1640" ref="C19:E24" totalsRowShown="0" headerRowDxfId="132" dataDxfId="131">
  <autoFilter ref="C19:E24" xr:uid="{B367AB36-C3FA-43BC-A465-45E7905186F9}"/>
  <tableColumns count="3">
    <tableColumn id="1" xr3:uid="{F305EC84-4891-4445-81A7-24DF93A2E1FA}" name="Impact Magnitude" dataDxfId="130"/>
    <tableColumn id="2" xr3:uid="{B53E6250-0084-44B2-B0FF-8A7450EE55A5}" name="Prompt" dataDxfId="129"/>
    <tableColumn id="3" xr3:uid="{2DB02900-64C1-4EBE-B3C5-26DDDD60C131}" name="Response" dataDxfId="128"/>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23F7C1C-AA2E-407B-B213-D94117A47A8E}" name="tblOperationalObjectivesPrompts26" displayName="tblOperationalObjectivesPrompts26" ref="C20:E25" totalsRowShown="0" headerRowDxfId="303" dataDxfId="302">
  <autoFilter ref="C20:E25" xr:uid="{46EAAD7E-2ACA-4874-86BE-FF0085A8CE13}"/>
  <tableColumns count="3">
    <tableColumn id="1" xr3:uid="{535F53D4-86F0-4A36-887D-9D6631359F32}" name="Impact Magnitude" dataDxfId="301"/>
    <tableColumn id="2" xr3:uid="{CE887ECA-A047-42AB-8C26-95DED5D9B71B}" name="Prompt" dataDxfId="300"/>
    <tableColumn id="3" xr3:uid="{7F9BE9F0-9919-4FE1-B65C-11C6F94EA6C9}" name="Response" dataDxfId="299"/>
  </tableColumns>
  <tableStyleInfo name="TableStyleMedium2"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05BEDC4-1A42-41AA-B7D6-B2DA6EF2DC63}" name="tblFinancialObjectivesPrompts1741" displayName="tblFinancialObjectivesPrompts1741" ref="C32:E37" totalsRowShown="0" headerRowDxfId="127" dataDxfId="126">
  <autoFilter ref="C32:E37" xr:uid="{CDA49DD3-0427-4E3F-8578-C3FCC4E21BFC}"/>
  <tableColumns count="3">
    <tableColumn id="1" xr3:uid="{FAE0EED5-64EE-4E3C-B77A-DC8074C3961C}" name="Impact Magnitude" dataDxfId="125"/>
    <tableColumn id="2" xr3:uid="{71FF4BD6-207E-4C3B-B2EE-F2564853062C}" name="Prompt" dataDxfId="124"/>
    <tableColumn id="3" xr3:uid="{F986A9D7-EBEF-43AD-9C9A-B573F6B1E3A8}" name="Response" dataDxfId="123"/>
  </tableColumns>
  <tableStyleInfo name="TableStyleMedium2"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EF4783F5-0397-4184-8BA5-73D9FEC8A444}" name="tblObligations1842" displayName="tblObligations1842" ref="C45:E50" totalsRowShown="0" headerRowDxfId="122" dataDxfId="121">
  <autoFilter ref="C45:E50" xr:uid="{28D384D7-D4A2-45B2-9A91-0A8B145D46D3}"/>
  <tableColumns count="3">
    <tableColumn id="1" xr3:uid="{22E34050-297D-4ADA-97DC-CE4CC5D2EF15}" name="Impact Magnitude" dataDxfId="120"/>
    <tableColumn id="2" xr3:uid="{DEB9BBB3-938A-49A1-B595-B64230CC6D30}" name="Prompt" dataDxfId="119"/>
    <tableColumn id="3" xr3:uid="{BE2950B3-C8D5-460E-9DB8-27FDD3E0157B}" name="Response" dataDxfId="118"/>
  </tableColumns>
  <tableStyleInfo name="TableStyleMedium2"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B1E71CB-CBAE-40E0-8E43-17E2DBAA543D}" name="tblImpactDefinitions2945" displayName="tblImpactDefinitions2945" ref="C10:G16" totalsRowShown="0" headerRowDxfId="117" dataDxfId="115" headerRowBorderDxfId="116" tableBorderDxfId="114" totalsRowBorderDxfId="113">
  <autoFilter ref="C10:G16" xr:uid="{AC9EE49D-FD97-44FB-9443-D3A906BF843D}"/>
  <tableColumns count="5">
    <tableColumn id="1" xr3:uid="{F3AD8B7F-126A-4CF3-9DC6-D64FF62189DE}" name="Impact Scores" dataDxfId="112"/>
    <tableColumn id="2" xr3:uid="{DED4030E-F551-4AA4-AACF-660E6D67AD55}" name="Mission" dataDxfId="111">
      <calculatedColumnFormula>IF(ISBLANK('Impact Criteria Survey-EXAMPLE'!E6),"",'Impact Criteria Survey-EXAMPLE'!E6)</calculatedColumnFormula>
    </tableColumn>
    <tableColumn id="3" xr3:uid="{20148093-B4B3-4FF0-A110-16D84165B335}" name="Operational Objectives" dataDxfId="110"/>
    <tableColumn id="4" xr3:uid="{7750DC98-5F84-4E4D-B8C7-4B41B5B32211}" name="Financial Objectives" dataDxfId="109" dataCellStyle="Currency"/>
    <tableColumn id="5" xr3:uid="{25D5253D-A1E1-404B-91F1-8630ACB2CCCA}" name="Obligations" dataDxfId="108">
      <calculatedColumnFormula>IF(ISBLANK('1. Impact Criteria Survey '!E41),"",'1. Impact Criteria Survey '!E41)</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9713C22-1B33-45C5-BBE2-3BA67AA909EF}" name="tblLikelihoodDefinitions3147" displayName="tblLikelihoodDefinitions3147" ref="C22:E27" totalsRowShown="0" headerRowDxfId="107" dataDxfId="105" headerRowBorderDxfId="106" tableBorderDxfId="104" totalsRowBorderDxfId="103">
  <autoFilter ref="C22:E27" xr:uid="{6FB9D85E-A6E4-46DD-BB11-47B5DB255A08}"/>
  <tableColumns count="3">
    <tableColumn id="1" xr3:uid="{93F52962-9677-46AA-8CAF-D2BDF21D68D4}" name="Expectancy Score" dataDxfId="102"/>
    <tableColumn id="2" xr3:uid="{4155E0A7-14EB-463C-9E08-EFA0EE4535AB}" name="Expectancy" dataDxfId="101"/>
    <tableColumn id="3" xr3:uid="{3872D790-16D4-4CE4-9D37-0C6E4C687BBF}" name="Criteria" dataDxfId="10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71113D-9135-46F0-9ED3-CC6DD20EB3B3}" name="tblRiskRegister3" displayName="tblRiskRegister3" ref="B12:AR165" totalsRowShown="0" headerRowDxfId="49" dataDxfId="48">
  <autoFilter ref="B12:AR165" xr:uid="{9DD1637E-6A24-4152-BF1D-6C69C54474D3}"/>
  <tableColumns count="43">
    <tableColumn id="33" xr3:uid="{5308C5F2-E2DC-4F32-9A12-F8BF5CD28339}" name="CIS Safeguard #" dataDxfId="47"/>
    <tableColumn id="2" xr3:uid="{BD696B82-5130-4A88-91FA-E054D961FA00}" name="CIS Safeguard Title" dataDxfId="46"/>
    <tableColumn id="36" xr3:uid="{488879F1-DF3F-490F-A147-EA1B0BEC5EE2}" name="Asset Class" dataDxfId="45"/>
    <tableColumn id="29" xr3:uid="{1BB75E74-E379-47A3-940A-EC8CE2A2B5AE}" name="NIST CSF Security Function" dataDxfId="44"/>
    <tableColumn id="35" xr3:uid="{E7201C8B-4173-4520-9D8E-7497525CAA50}" name="IG1" dataDxfId="43"/>
    <tableColumn id="39" xr3:uid="{27ED06B0-06B4-4A88-8F65-DC1D0790716A}" name="IG2" dataDxfId="42"/>
    <tableColumn id="38" xr3:uid="{8CB8D897-90CC-4A02-B17C-D7ED6682802E}" name="IG3" dataDxfId="41"/>
    <tableColumn id="22" xr3:uid="{2795E183-4755-4772-BEBE-2266690459ED}" name="Asset Name" dataDxfId="40"/>
    <tableColumn id="46" xr3:uid="{F2D61E4F-8E4A-4CE4-92F3-47F0D2E112BA}" name="Defends Against Malware" dataDxfId="39"/>
    <tableColumn id="40" xr3:uid="{FF3E6750-7FC3-495A-8BCD-11EC1CDA3C7E}" name="Defends Against Ransomware" dataDxfId="38"/>
    <tableColumn id="45" xr3:uid="{4FF01CBE-FF28-4AC1-86F4-B86601D3228E}" name="Defends Against Web Application Hacking" dataDxfId="37"/>
    <tableColumn id="44" xr3:uid="{5988DEE2-55B0-45F4-894D-610EC44888A2}" name="Defends Against Insider and Privilege Misuse" dataDxfId="36"/>
    <tableColumn id="43" xr3:uid="{623E719B-167D-4038-A43D-35BF5A9D228F}" name="Defends Against Targeted Intrusions" dataDxfId="35"/>
    <tableColumn id="30" xr3:uid="{0BCC1096-63F2-42E2-A20D-A3013B55CE96}" name="Defends Against All Attack Types" dataDxfId="34">
      <calculatedColumnFormula>COUNTIF(#REF!,"Yes")</calculatedColumnFormula>
    </tableColumn>
    <tableColumn id="34" xr3:uid="{3AFCDFFF-D0D4-4335-A4B6-EB625F75B1E2}" name="Our Implementation" dataDxfId="33"/>
    <tableColumn id="32" xr3:uid="{0BD45B54-D381-4929-B101-3DD529289323}" name="Evidence of Implementation" dataDxfId="32"/>
    <tableColumn id="1" xr3:uid="{299EB6A7-E100-4303-9F1F-02F3A28BA64D}" name="Vulnerabilities" dataDxfId="31"/>
    <tableColumn id="20" xr3:uid="{C89BC5FC-9E27-4E50-87CF-48630A75CE1F}" name="Threats" dataDxfId="30"/>
    <tableColumn id="3" xr3:uid="{61259BD6-E176-4EEA-B26A-2D5C3332EF78}" name="Safeguard Maturity Score" dataDxfId="29"/>
    <tableColumn id="27" xr3:uid="{D7F01459-B978-4339-88C3-1FDA2F3C4236}" name="VCDB Index" dataDxfId="28">
      <calculatedColumnFormula>IFERROR(VLOOKUP(tblRiskRegister3[[#This Row],[Asset Class]],tblVCDBIndex[],4,FALSE),"")</calculatedColumnFormula>
    </tableColumn>
    <tableColumn id="9" xr3:uid="{A7E55486-D2E0-4FEA-9C66-2A0F198E6329}" name="Expectancy Score" dataDxfId="27">
      <calculatedColumnFormula>IFERROR(VLOOKUP(10*tblRiskRegister3[[#This Row],[Safeguard Maturity Score]]+tblRiskRegister3[[#This Row],[VCDB Index]],tblHITIndexWeightTable[],4,FALSE),"")</calculatedColumnFormula>
    </tableColumn>
    <tableColumn id="10" xr3:uid="{04742EF4-15DC-481F-9441-57A6561ACACD}" name="Impact to Mission" dataDxfId="26"/>
    <tableColumn id="11" xr3:uid="{0AF81E8D-B24D-4401-9DFC-24071323F73B}" name="Impact to Operational Objectives" dataDxfId="25"/>
    <tableColumn id="4" xr3:uid="{98CE7A82-B037-453E-87B5-F04F64439C80}" name="Impact to Financial Objectives" dataDxfId="24"/>
    <tableColumn id="12" xr3:uid="{9858AFE2-FADF-4237-B415-AF235CEB3440}" name="Impact to Obligations" dataDxfId="23"/>
    <tableColumn id="13" xr3:uid="{337DDE23-A23E-410A-A996-FCD642C7F20F}" name="Risk Score" dataDxfId="22">
      <calculatedColumnFormula>IFERROR(MAX(tblRiskRegister3[[#This Row],[Impact to Mission]:[Impact to Obligations]])*tblRiskRegister3[[#This Row],[Expectancy Score]],"")</calculatedColumnFormula>
    </tableColumn>
    <tableColumn id="14" xr3:uid="{7D445995-FFEA-43FE-BFB9-549E7019445D}" name="Risk Level" dataDxfId="21">
      <calculatedColumnFormula>tblRiskRegister3[[#This Row],[Risk Score]]</calculatedColumnFormula>
    </tableColumn>
    <tableColumn id="25" xr3:uid="{EBFAE778-3C5E-49EC-A673-84F3D75EE614}" name="Risk Treatment Option" dataDxfId="20"/>
    <tableColumn id="5" xr3:uid="{07ADF7F4-0EE8-4821-844E-4F08B5B245C8}" name="Risk Treatment Safeguard" dataDxfId="19"/>
    <tableColumn id="6" xr3:uid="{9FD00EDC-A103-490A-B40F-A5B9C9CBFD46}" name="Risk Treatment_x000a_Safeguard Title" dataDxfId="18"/>
    <tableColumn id="24" xr3:uid="{98A48669-B13C-4FF8-929F-624E7AA05257}" name="Risk Treatment_x000a_Safeguard Description" dataDxfId="17"/>
    <tableColumn id="21" xr3:uid="{CE4B3647-067A-472A-B6F3-83185AB1089D}" name="Our Planned Implementation" dataDxfId="16"/>
    <tableColumn id="7" xr3:uid="{BE8F1A36-EB03-4C6E-BE0A-B7415CF82677}" name="Risk Treatment Safeguard Maturity Score" dataDxfId="15"/>
    <tableColumn id="15" xr3:uid="{C66F481C-6770-414F-8977-E7CA8EE0B370}" name="Risk Treatment_x000a_Safeguard Expectancy Score" dataDxfId="14">
      <calculatedColumnFormula>IFERROR(VLOOKUP(10*tblRiskRegister3[[#This Row],[Risk Treatment Safeguard Maturity Score]]+tblRiskRegister3[[#This Row],[VCDB Index]],tblHITIndexWeightTable[],4,FALSE),"")</calculatedColumnFormula>
    </tableColumn>
    <tableColumn id="16" xr3:uid="{F42780E6-408D-46A4-AF99-EF9112C0505F}" name="Risk Treatment Safeguard Impact to Mission" dataDxfId="13"/>
    <tableColumn id="17" xr3:uid="{1A24A304-FBBB-4BD7-8113-3FD646DB87F3}" name="Risk Treatment Safeguard Impact to Operational Objectives" dataDxfId="12"/>
    <tableColumn id="31" xr3:uid="{C711E09C-468A-4415-AA26-E2ECEE77CA16}" name="Risk Treatment Safeguard Impact to Financial Objectives" dataDxfId="11"/>
    <tableColumn id="18" xr3:uid="{7013CDF2-E374-49E3-9BE3-F66F79A732D1}" name="Risk Treatment Safeguard Impact to Obligations" dataDxfId="10"/>
    <tableColumn id="28" xr3:uid="{7B880DC2-E92C-4B84-A13A-A57BA7565418}" name="Risk Treatment Safeguard Risk Score" dataDxfId="9">
      <calculatedColumnFormula>IFERROR(MAX(tblRiskRegister3[[#This Row],[Risk Treatment Safeguard Impact to Mission]:[Risk Treatment Safeguard Impact to Obligations]])*tblRiskRegister3[[#This Row],[Risk Treatment
Safeguard Expectancy Score]],"")</calculatedColumnFormula>
    </tableColumn>
    <tableColumn id="26" xr3:uid="{B8465335-7498-40A5-89A6-278C1E4E6FA5}" name="Reasonable and Acceptable" dataDxfId="8">
      <calculatedColumnFormula>IF(tblRiskRegister3[[#This Row],[Risk Score]]&gt;AcceptableRisk1,IF(tblRiskRegister3[[#This Row],[Risk Treatment Safeguard Risk Score]]&lt;AcceptableRisk1, IF(tblRiskRegister3[[#This Row],[Risk Treatment Safeguard Risk Score]]&lt;=tblRiskRegister3[[#This Row],[Risk Score]],"Yes","No"),"No"),"Yes")</calculatedColumnFormula>
    </tableColumn>
    <tableColumn id="19" xr3:uid="{4B8BAED3-0BDB-44EB-9801-0868B93EDB86}" name="Risk Treatment Safeguard Cost" dataDxfId="7" dataCellStyle="Currency"/>
    <tableColumn id="8" xr3:uid="{BC47519B-20F0-4622-9B38-EE08CCA4FBB9}" name="Implementation Quarter" dataDxfId="6" dataCellStyle="Currency"/>
    <tableColumn id="23" xr3:uid="{D1C67481-0524-4422-8660-5CB190F21C1A}" name="Implementation Year" dataDxfId="5"/>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52B1B9-C860-4841-BC5C-9D905FABDEB1}" name="tblCostImpacts338" displayName="tblCostImpacts338" ref="AT12:AV22" totalsRowShown="0" headerRowDxfId="4" dataDxfId="3">
  <autoFilter ref="AT12:AV22" xr:uid="{8DF8E5E0-4444-493D-923E-B023F5A18943}"/>
  <tableColumns count="3">
    <tableColumn id="1" xr3:uid="{C56AD738-9730-4948-90BB-805B19EE1314}" name="Impact to Financial Objectives" dataDxfId="2" dataCellStyle="Currency">
      <calculatedColumnFormula>SUMIF(tblRiskRegister3[[#All],[Implementation Year]],"="&amp;tblCostImpacts338[[#This Row],[Year]],tblRiskRegister3[[#All],[Risk Treatment Safeguard Cost]])</calculatedColumnFormula>
    </tableColumn>
    <tableColumn id="2" xr3:uid="{E0057B42-2D10-4BF2-BF17-EF813CD65A8D}" name="Year" dataDxfId="1"/>
    <tableColumn id="3" xr3:uid="{7B5A2159-6DC4-409A-9F57-5B01074388F8}" name="Reasonable?" dataDxfId="0">
      <calculatedColumnFormula>IF(tblCostImpacts338[[#This Row],[Impact to Financial Objectives]]&lt;='Enterprise Parameters-EXAMPLE'!$F$13,"Yes","No")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E169686-DAE3-4361-924C-4E0464623588}" name="tblFinancialObjectivesPrompts27" displayName="tblFinancialObjectivesPrompts27" ref="C33:E38" totalsRowShown="0" headerRowDxfId="298" dataDxfId="297">
  <autoFilter ref="C33:E38" xr:uid="{5B3764C1-C122-4A1D-B915-2B9D03361D63}"/>
  <tableColumns count="3">
    <tableColumn id="1" xr3:uid="{2D34249D-F98C-45AF-983C-A68F4E069883}" name="Impact Magnitude" dataDxfId="296"/>
    <tableColumn id="2" xr3:uid="{EA7E3BD7-6861-4E52-9960-3AE1002DC7EA}" name="Prompt" dataDxfId="295"/>
    <tableColumn id="3" xr3:uid="{520E4071-CBE2-4F78-966A-F4D607031C4B}" name="Response" dataDxfId="29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F4AF5F8-3C64-4617-A0C2-202D26B431E6}" name="tblObligations28" displayName="tblObligations28" ref="C46:E51" totalsRowShown="0" headerRowDxfId="293" dataDxfId="292">
  <autoFilter ref="C46:E51" xr:uid="{614F668E-5111-40F9-AD5F-D214A6D31BA0}"/>
  <tableColumns count="3">
    <tableColumn id="1" xr3:uid="{BF7A29C5-E77A-456C-97B8-6FF6D1DF21CC}" name="Impact Magnitude" dataDxfId="291"/>
    <tableColumn id="2" xr3:uid="{54CB0C56-F545-4FD1-BE16-32AFFA33E1C9}" name="Prompt" dataDxfId="290"/>
    <tableColumn id="3" xr3:uid="{4DC93E75-3D17-411E-98E6-F5062AFA5ED2}" name="Response" dataDxfId="289"/>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B5BA82D-C6DB-4120-95D5-DB050AECF539}" name="tblImpactDefinitions29" displayName="tblImpactDefinitions29" ref="C10:G16" totalsRowShown="0" headerRowDxfId="288" dataDxfId="286" headerRowBorderDxfId="287" tableBorderDxfId="285" totalsRowBorderDxfId="284">
  <autoFilter ref="C10:G16" xr:uid="{8DD03DC5-50FC-44D0-B8F0-179EA60BA403}"/>
  <tableColumns count="5">
    <tableColumn id="1" xr3:uid="{BAC54837-23DB-4BCF-88DA-B6572157BE46}" name="Impact Scores" dataDxfId="283"/>
    <tableColumn id="2" xr3:uid="{24ADE7BD-E00C-40B1-B8DC-CDFF149BC72E}" name="Mission" dataDxfId="282"/>
    <tableColumn id="3" xr3:uid="{AAC3B212-DEAB-47EC-80E4-1B680BFDAA46}" name="Operational Objectives" dataDxfId="281">
      <calculatedColumnFormula>IF(ISBLANK('1. Impact Criteria Survey '!E20),"",'1. Impact Criteria Survey '!E20)</calculatedColumnFormula>
    </tableColumn>
    <tableColumn id="4" xr3:uid="{EB9B0B8C-2509-4335-A81B-418E123B40A7}" name="Financial Objectives" dataDxfId="280" dataCellStyle="Currency"/>
    <tableColumn id="5" xr3:uid="{D767CD6B-9DA6-4491-828E-8889CE62F12E}" name="Obligations" dataDxfId="279">
      <calculatedColumnFormula>IF(ISBLANK('1. Impact Criteria Survey '!E46),"",'1. Impact Criteria Survey '!E46)</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E55E4AD-C6C0-4436-8BF3-425225089402}" name="tblLikelihoodDefinitions31" displayName="tblLikelihoodDefinitions31" ref="C22:E27" totalsRowShown="0" headerRowDxfId="278" dataDxfId="276" headerRowBorderDxfId="277" tableBorderDxfId="275" totalsRowBorderDxfId="274">
  <autoFilter ref="C22:E27" xr:uid="{6531DCC4-4F6C-4E87-91EB-28D5C035F4E3}"/>
  <tableColumns count="3">
    <tableColumn id="1" xr3:uid="{D24B7B20-283F-4D0E-BBE7-F3E8F8377CE5}" name="Expectancy Score" dataDxfId="273"/>
    <tableColumn id="2" xr3:uid="{6030AE4B-E332-4400-8C85-5E7A287CC17B}" name="Expectancy" dataDxfId="272"/>
    <tableColumn id="3" xr3:uid="{FB487DE0-71E3-4A47-B8B4-4553174D12CB}" name="Criteria" dataDxfId="27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51C00C5-B87F-49E2-BC87-136C3E61754D}" name="tblRiskRegister" displayName="tblRiskRegister" ref="B12:AR165" totalsRowShown="0" headerRowDxfId="235" dataDxfId="234">
  <autoFilter ref="B12:AR165" xr:uid="{9DD1637E-6A24-4152-BF1D-6C69C54474D3}"/>
  <tableColumns count="43">
    <tableColumn id="33" xr3:uid="{22B6B5FC-1E7E-402C-BDB3-EF0E6960D5F6}" name="CIS Safeguard #" dataDxfId="233"/>
    <tableColumn id="2" xr3:uid="{982ABEAC-4809-4124-8426-1788708A5167}" name="CIS Safeguard Title" dataDxfId="232"/>
    <tableColumn id="36" xr3:uid="{A310F9F3-A44C-473A-A148-D5D791E6E316}" name="Asset Class" dataDxfId="231"/>
    <tableColumn id="30" xr3:uid="{79009E2F-4A69-4265-BCE0-381060D9B479}" name="NIST CSF Security Function" dataDxfId="230"/>
    <tableColumn id="35" xr3:uid="{0E2F00DD-DA50-4065-B92B-4ADA89584B19}" name="IG1" dataDxfId="229"/>
    <tableColumn id="39" xr3:uid="{262AFEF9-B73B-418C-AEFA-46C5C0EB1AF6}" name="IG2" dataDxfId="228"/>
    <tableColumn id="38" xr3:uid="{949515C3-E6DB-4622-9458-E3A49B690791}" name="IG3" dataDxfId="227"/>
    <tableColumn id="22" xr3:uid="{FD6CEF80-3C2F-4FFC-A41D-FD700FC4EA13}" name="Asset Name" dataDxfId="226"/>
    <tableColumn id="47" xr3:uid="{8613BD4B-D238-437A-AA5B-DB7D5C226A33}" name="Defends Against Malware" dataDxfId="225"/>
    <tableColumn id="46" xr3:uid="{B27B514B-99F6-433F-84DB-57EB20520A12}" name="Defends Against Ransomware" dataDxfId="224"/>
    <tableColumn id="45" xr3:uid="{3C2AD314-CF21-41E6-820F-F5030032D9DE}" name="Defends Against Web Application Hacking" dataDxfId="223"/>
    <tableColumn id="44" xr3:uid="{D3DD3814-75B7-462D-B63B-BF3B44D336FC}" name="Defends Against Insider and Privilege Misuse" dataDxfId="222"/>
    <tableColumn id="43" xr3:uid="{9AE1B491-D35C-4431-A904-3C8DEDC2F2BC}" name="Defends Against Targeted Intrusions" dataDxfId="221"/>
    <tableColumn id="29" xr3:uid="{B0CDB344-2D5A-4DFB-8CD9-469F594F507D}" name="Defends Against All Attack Types" dataDxfId="220">
      <calculatedColumnFormula>COUNTIF(tblRiskRegister[[#This Row],[Defends Against Malware]:[Defends Against Targeted Intrusions]],"Yes")</calculatedColumnFormula>
    </tableColumn>
    <tableColumn id="34" xr3:uid="{E0C41EAD-99CD-4FFD-9AEC-9A3BEB37B0C3}" name="Our Implementation" dataDxfId="219"/>
    <tableColumn id="32" xr3:uid="{5EE95070-0AEA-45EC-B900-26546CD53269}" name="Evidence of Implementation" dataDxfId="218"/>
    <tableColumn id="1" xr3:uid="{4C329DA3-8A00-4882-97D6-E8DED3101F0A}" name="Vulnerabilities" dataDxfId="217"/>
    <tableColumn id="20" xr3:uid="{AA9D5CB6-D0CB-4242-9927-BD6A5B32E368}" name="Threats" dataDxfId="216"/>
    <tableColumn id="3" xr3:uid="{DE32F5DE-4A34-43B1-BD4D-C8C31FDC0ABA}" name="Safeguard Maturity Score" dataDxfId="215"/>
    <tableColumn id="27" xr3:uid="{AF3D0754-0D31-4DD4-948C-B5B61156F301}" name="VCDB Index" dataDxfId="214">
      <calculatedColumnFormula>IFERROR(VLOOKUP(tblRiskRegister[[#This Row],[Asset Class]],tblVCDBIndex[],4,FALSE),"")</calculatedColumnFormula>
    </tableColumn>
    <tableColumn id="9" xr3:uid="{9DFFCE7E-90F3-41AA-AB97-02C29E3056AF}" name="Expectancy Score" dataDxfId="213">
      <calculatedColumnFormula>IFERROR(VLOOKUP(10*tblRiskRegister[[#This Row],[Safeguard Maturity Score]]+tblRiskRegister[[#This Row],[VCDB Index]],tblHITIndexWeightTable[],4,FALSE),"")</calculatedColumnFormula>
    </tableColumn>
    <tableColumn id="10" xr3:uid="{5C8A7569-0154-4ADD-AA40-77A64DEB3054}" name="Impact to Mission" dataDxfId="212"/>
    <tableColumn id="11" xr3:uid="{49D36246-41FB-408C-A888-625D2BA6E5D6}" name="Impact to Operational Objectives" dataDxfId="211"/>
    <tableColumn id="4" xr3:uid="{BCC17CE9-A961-4E9A-B634-3B7856D7A5F9}" name="Impact to Financial Objectives" dataDxfId="210"/>
    <tableColumn id="12" xr3:uid="{A00E3462-7287-475B-B575-7BE7420373C0}" name="Impact to Obligations" dataDxfId="209"/>
    <tableColumn id="13" xr3:uid="{0C576C88-0F5F-451B-A673-5833C54A352D}" name="Risk Score" dataDxfId="208">
      <calculatedColumnFormula>IFERROR(MAX(tblRiskRegister[[#This Row],[Impact to Mission]:[Impact to Obligations]])*tblRiskRegister[[#This Row],[Expectancy Score]],"")</calculatedColumnFormula>
    </tableColumn>
    <tableColumn id="14" xr3:uid="{0D85476C-FDB7-4719-AA34-655D011C000A}" name="Risk Level" dataDxfId="207">
      <calculatedColumnFormula>tblRiskRegister[[#This Row],[Risk Score]]</calculatedColumnFormula>
    </tableColumn>
    <tableColumn id="25" xr3:uid="{FAB984D3-7F70-4E1E-943A-F2D67537C50A}" name="Risk Treatment Option" dataDxfId="206"/>
    <tableColumn id="5" xr3:uid="{054D0362-6301-484F-B8B8-124D5F94144B}" name="Risk Treatment Safeguard" dataDxfId="205"/>
    <tableColumn id="6" xr3:uid="{3975DA05-47EF-468D-B68B-DB1C38B4BECE}" name="Risk Treatment_x000a_Safeguard Title" dataDxfId="204"/>
    <tableColumn id="24" xr3:uid="{4EAC9308-CB78-4935-91A9-49DC03CE6F5E}" name="Risk Treatment_x000a_Safeguard Description" dataDxfId="203"/>
    <tableColumn id="21" xr3:uid="{17E35318-ED01-424F-8275-22B2A36A2166}" name="Our Planned Implementation" dataDxfId="202"/>
    <tableColumn id="7" xr3:uid="{7FC3B1A8-639C-4920-A4AF-6AD34C1B0CCE}" name="Risk Treatment Safeguard Maturity Score" dataDxfId="201"/>
    <tableColumn id="15" xr3:uid="{B4BEB8AC-0439-4C97-B0E5-230255ABDE1D}" name="Risk Treatment_x000a_Safeguard Expectancy Score" dataDxfId="200">
      <calculatedColumnFormula>IFERROR(VLOOKUP(10*tblRiskRegister[[#This Row],[Risk Treatment Safeguard Maturity Score]]+tblRiskRegister[[#This Row],[VCDB Index]],tblHITIndexWeightTable[],4,FALSE),"")</calculatedColumnFormula>
    </tableColumn>
    <tableColumn id="16" xr3:uid="{7E7FF273-7AE3-4B71-8DF7-5103C48270F0}" name="Risk Treatment Safeguard Impact to Mission" dataDxfId="199"/>
    <tableColumn id="17" xr3:uid="{E234E5FC-B87C-49AB-83F7-8F6E031E7C49}" name="Risk Treatment Safeguard Impact to Operational Objectives" dataDxfId="198"/>
    <tableColumn id="31" xr3:uid="{CF8589FA-F045-45CA-B868-242A68896202}" name="Risk Treatment Safeguard Impact to Financial Objectives" dataDxfId="197"/>
    <tableColumn id="18" xr3:uid="{EBA6F3A2-DCB1-4EFD-A655-B0BD5AE910E4}" name="Risk Treatment Safeguard Impact to Obligations" dataDxfId="196"/>
    <tableColumn id="28" xr3:uid="{F7B83DFB-FF9C-43AC-A3BD-70A58A5F15C6}" name="Risk Treatment Safeguard Risk Score" dataDxfId="195">
      <calculatedColumnFormula>IFERROR(MAX(tblRiskRegister[[#This Row],[Risk Treatment Safeguard Impact to Mission]:[Risk Treatment Safeguard Impact to Obligations]])*tblRiskRegister[[#This Row],[Risk Treatment
Safeguard Expectancy Score]],"")</calculatedColumnFormula>
    </tableColumn>
    <tableColumn id="26" xr3:uid="{6F4C4F60-3334-4128-81CE-FC73AD00F16A}" name="Reasonable and Acceptable" dataDxfId="194">
      <calculatedColumnFormula>IF(tblRiskRegister[[#This Row],[Risk Score]]&gt;AcceptableRisk,IF(tblRiskRegister[[#This Row],[Risk Treatment Safeguard Risk Score]]&lt;AcceptableRisk, IF(tblRiskRegister[[#This Row],[Risk Treatment Safeguard Risk Score]]&lt;=tblRiskRegister[[#This Row],[Risk Score]],"Yes","No"),"No"),"Yes")</calculatedColumnFormula>
    </tableColumn>
    <tableColumn id="19" xr3:uid="{15D7A831-919A-42AB-8722-C9CBEADE2F86}" name="Risk Treatment Safeguard Cost" dataDxfId="193" dataCellStyle="Currency"/>
    <tableColumn id="8" xr3:uid="{46272CCA-0793-4A93-9571-5F8AF995DBE7}" name="Implementation Quarter" dataDxfId="192" dataCellStyle="Currency"/>
    <tableColumn id="23" xr3:uid="{49E9853A-BB72-4DAD-AB59-4ABCF73F3CFE}" name="Implementation Year" dataDxfId="19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7567108-5A07-43F6-BCA9-B155B5543AF6}" name="tblCostImpacts33" displayName="tblCostImpacts33" ref="AT12:AV22" totalsRowShown="0" headerRowDxfId="190" dataDxfId="189">
  <autoFilter ref="AT12:AV22" xr:uid="{8DF8E5E0-4444-493D-923E-B023F5A18943}"/>
  <tableColumns count="3">
    <tableColumn id="1" xr3:uid="{AC7F14F8-211B-49A4-9A7C-EE1DC0628C0A}" name="Impact to Financial Objectives" dataDxfId="188" dataCellStyle="Currency">
      <calculatedColumnFormula>SUMIF(tblRiskRegister[[#All],[Implementation Year]],"="&amp;tblCostImpacts33[[#This Row],[Year]],tblRiskRegister[[#All],[Risk Treatment Safeguard Cost]])</calculatedColumnFormula>
    </tableColumn>
    <tableColumn id="2" xr3:uid="{FC34218E-1AA0-45C1-8E86-735B23BFA4D9}" name="Year" dataDxfId="187"/>
    <tableColumn id="3" xr3:uid="{2500527B-152A-4873-A543-6623623C36BE}" name="Reasonable?" dataDxfId="186">
      <calculatedColumnFormula>IF(tblCostImpacts33[[#This Row],[Impact to Financial Objectives]]&lt;='2. Enterprise Parameters'!$F$13,"Yes","No")</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BBA5EBE-03E7-45DE-8727-6AB98509E54B}" name="tblImpactDefinitions2950" displayName="tblImpactDefinitions2950" ref="F3:J10" totalsRowShown="0" headerRowDxfId="185" dataDxfId="183" headerRowBorderDxfId="184" tableBorderDxfId="182" totalsRowBorderDxfId="181">
  <tableColumns count="5">
    <tableColumn id="1" xr3:uid="{85376017-A3CF-4BE2-BB88-4AEB7C755F69}" name="Impact Scores" dataDxfId="180"/>
    <tableColumn id="2" xr3:uid="{04585905-B17C-4E87-8E57-FA4C5971F3D2}" name="Mission" dataDxfId="179"/>
    <tableColumn id="3" xr3:uid="{1ABAD568-DF55-402E-8C78-0E11DCD6F68E}" name="Operational Objectives" dataDxfId="178">
      <calculatedColumnFormula>IF(ISBLANK('1. Impact Criteria Survey '!H38),"",'1. Impact Criteria Survey '!H38)</calculatedColumnFormula>
    </tableColumn>
    <tableColumn id="4" xr3:uid="{D68FB863-1913-4052-8144-35A8F7241910}" name="Financial Objectives" dataDxfId="177" dataCellStyle="Currency"/>
    <tableColumn id="5" xr3:uid="{B1CF1284-FD2F-4F84-B81C-9A9748936E1C}" name="Obligations" dataDxfId="176">
      <calculatedColumnFormula>IF(ISBLANK('1. Impact Criteria Survey '!H64),"",'1. Impact Criteria Survey '!H64)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8.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hyperlink" Target="https://csat.cisecurity.org/" TargetMode="External"/><Relationship Id="rId2" Type="http://schemas.openxmlformats.org/officeDocument/2006/relationships/hyperlink" Target="https://workbench.cisecurity.org/dashboard" TargetMode="External"/><Relationship Id="rId1" Type="http://schemas.openxmlformats.org/officeDocument/2006/relationships/hyperlink" Target="https://www.cisecurity.org/controls/v8" TargetMode="External"/><Relationship Id="rId6" Type="http://schemas.openxmlformats.org/officeDocument/2006/relationships/drawing" Target="../drawings/drawing2.xml"/><Relationship Id="rId5" Type="http://schemas.openxmlformats.org/officeDocument/2006/relationships/hyperlink" Target="https://www.cisecurity.org/controls/v8/" TargetMode="External"/><Relationship Id="rId4" Type="http://schemas.openxmlformats.org/officeDocument/2006/relationships/hyperlink" Target="https://www.cisecurity.org/controls/cis-controls-self-assessment-tool-cis-cs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2B83-8F2B-4B79-B206-22E83925782E}">
  <sheetPr codeName="Sheet1">
    <tabColor rgb="FF003B5C"/>
  </sheetPr>
  <dimension ref="A1"/>
  <sheetViews>
    <sheetView showGridLines="0" tabSelected="1" zoomScale="55" zoomScaleNormal="55" workbookViewId="0">
      <selection activeCell="V68" sqref="V68"/>
    </sheetView>
  </sheetViews>
  <sheetFormatPr defaultColWidth="11.42578125" defaultRowHeight="15" x14ac:dyDescent="0.25"/>
  <sheetData/>
  <sheetProtection sheet="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2C2F8-5635-44AB-BE27-0DAC9F6AA3C4}">
  <sheetPr>
    <tabColor rgb="FFA391F1"/>
  </sheetPr>
  <dimension ref="B1:Q166"/>
  <sheetViews>
    <sheetView showGridLines="0" workbookViewId="0">
      <selection activeCell="B1" sqref="B1:L1"/>
    </sheetView>
  </sheetViews>
  <sheetFormatPr defaultColWidth="9.140625" defaultRowHeight="12.75" x14ac:dyDescent="0.2"/>
  <cols>
    <col min="1" max="1" width="9.140625" style="40"/>
    <col min="2" max="2" width="25" style="44" customWidth="1"/>
    <col min="3" max="3" width="23.140625" style="40" bestFit="1" customWidth="1"/>
    <col min="4" max="4" width="29.7109375" style="40" bestFit="1" customWidth="1"/>
    <col min="5" max="5" width="27.42578125" style="40" bestFit="1" customWidth="1"/>
    <col min="6" max="6" width="25.7109375" style="40" bestFit="1" customWidth="1"/>
    <col min="7" max="7" width="21.42578125" style="40" customWidth="1"/>
    <col min="8" max="8" width="20.42578125" style="40" bestFit="1" customWidth="1"/>
    <col min="9" max="9" width="18.28515625" style="40" bestFit="1" customWidth="1"/>
    <col min="10" max="10" width="16.42578125" style="40" bestFit="1" customWidth="1"/>
    <col min="11" max="12" width="16.85546875" style="40" bestFit="1" customWidth="1"/>
    <col min="13" max="13" width="9.140625" style="40"/>
    <col min="14" max="14" width="123.42578125" style="40" customWidth="1"/>
    <col min="15" max="15" width="9.140625" style="40"/>
    <col min="16" max="16" width="19.7109375" style="40" bestFit="1" customWidth="1"/>
    <col min="17" max="17" width="88.7109375" style="40" customWidth="1"/>
    <col min="18" max="16384" width="9.140625" style="40"/>
  </cols>
  <sheetData>
    <row r="1" spans="2:17" ht="67.5" customHeight="1" thickBot="1" x14ac:dyDescent="0.25">
      <c r="B1" s="365" t="s">
        <v>282</v>
      </c>
      <c r="C1" s="366"/>
      <c r="D1" s="366"/>
      <c r="E1" s="366"/>
      <c r="F1" s="366"/>
      <c r="G1" s="366"/>
      <c r="H1" s="366"/>
      <c r="I1" s="366"/>
      <c r="J1" s="366"/>
      <c r="K1" s="366"/>
      <c r="L1" s="367"/>
      <c r="N1" s="41" t="s">
        <v>283</v>
      </c>
      <c r="P1" s="361" t="s">
        <v>284</v>
      </c>
      <c r="Q1" s="362"/>
    </row>
    <row r="2" spans="2:17" ht="13.5" thickBot="1" x14ac:dyDescent="0.25">
      <c r="N2" s="256"/>
      <c r="P2" s="46" t="s">
        <v>125</v>
      </c>
      <c r="Q2" s="46" t="s">
        <v>4</v>
      </c>
    </row>
    <row r="3" spans="2:17" ht="39.75" customHeight="1" thickTop="1" thickBot="1" x14ac:dyDescent="0.25">
      <c r="B3" s="60" t="s">
        <v>285</v>
      </c>
      <c r="C3" s="250" t="s">
        <v>286</v>
      </c>
      <c r="D3" s="250" t="s">
        <v>287</v>
      </c>
      <c r="E3" s="250" t="s">
        <v>288</v>
      </c>
      <c r="F3" s="251" t="s">
        <v>289</v>
      </c>
      <c r="G3" s="63" t="s">
        <v>285</v>
      </c>
      <c r="N3" s="259" t="s">
        <v>636</v>
      </c>
      <c r="P3" s="46">
        <v>1</v>
      </c>
      <c r="Q3" s="51" t="s">
        <v>104</v>
      </c>
    </row>
    <row r="4" spans="2:17" ht="24" x14ac:dyDescent="0.2">
      <c r="B4" s="64">
        <v>1</v>
      </c>
      <c r="C4" s="65" t="s">
        <v>290</v>
      </c>
      <c r="D4" s="65" t="s">
        <v>291</v>
      </c>
      <c r="E4" s="65" t="s">
        <v>292</v>
      </c>
      <c r="F4" s="66" t="s">
        <v>293</v>
      </c>
      <c r="G4" s="67">
        <v>1</v>
      </c>
      <c r="N4" s="260" t="s">
        <v>637</v>
      </c>
      <c r="P4" s="46">
        <v>2</v>
      </c>
      <c r="Q4" s="51" t="s">
        <v>105</v>
      </c>
    </row>
    <row r="5" spans="2:17" x14ac:dyDescent="0.2">
      <c r="B5" s="68">
        <v>2</v>
      </c>
      <c r="C5" s="69" t="s">
        <v>294</v>
      </c>
      <c r="D5" s="69" t="s">
        <v>295</v>
      </c>
      <c r="E5" s="69" t="s">
        <v>296</v>
      </c>
      <c r="F5" s="70" t="s">
        <v>297</v>
      </c>
      <c r="G5" s="71">
        <v>2</v>
      </c>
      <c r="N5" s="261" t="s">
        <v>638</v>
      </c>
      <c r="P5" s="46">
        <v>3</v>
      </c>
      <c r="Q5" s="51" t="s">
        <v>106</v>
      </c>
    </row>
    <row r="6" spans="2:17" x14ac:dyDescent="0.2">
      <c r="B6" s="68">
        <v>3</v>
      </c>
      <c r="C6" s="69" t="s">
        <v>298</v>
      </c>
      <c r="D6" s="69" t="s">
        <v>299</v>
      </c>
      <c r="E6" s="69" t="s">
        <v>300</v>
      </c>
      <c r="F6" s="70" t="s">
        <v>301</v>
      </c>
      <c r="G6" s="71">
        <v>3</v>
      </c>
      <c r="N6" s="261" t="s">
        <v>639</v>
      </c>
      <c r="P6" s="46">
        <v>4</v>
      </c>
      <c r="Q6" s="51" t="s">
        <v>127</v>
      </c>
    </row>
    <row r="7" spans="2:17" ht="36" x14ac:dyDescent="0.2">
      <c r="B7" s="68">
        <v>4</v>
      </c>
      <c r="C7" s="69" t="s">
        <v>302</v>
      </c>
      <c r="D7" s="69" t="s">
        <v>303</v>
      </c>
      <c r="E7" s="69" t="s">
        <v>304</v>
      </c>
      <c r="F7" s="70" t="s">
        <v>305</v>
      </c>
      <c r="G7" s="71">
        <v>4</v>
      </c>
      <c r="N7" s="260" t="s">
        <v>640</v>
      </c>
      <c r="P7" s="46">
        <v>5</v>
      </c>
      <c r="Q7" s="51" t="s">
        <v>128</v>
      </c>
    </row>
    <row r="8" spans="2:17" x14ac:dyDescent="0.2">
      <c r="B8" s="68">
        <v>5</v>
      </c>
      <c r="C8" s="69" t="s">
        <v>306</v>
      </c>
      <c r="D8" s="69" t="s">
        <v>307</v>
      </c>
      <c r="E8" s="69" t="s">
        <v>308</v>
      </c>
      <c r="F8" s="70" t="s">
        <v>309</v>
      </c>
      <c r="G8" s="71">
        <v>5</v>
      </c>
      <c r="N8" s="262" t="s">
        <v>641</v>
      </c>
    </row>
    <row r="9" spans="2:17" ht="24" x14ac:dyDescent="0.2">
      <c r="B9" s="68" t="s">
        <v>310</v>
      </c>
      <c r="C9" s="69" t="s">
        <v>311</v>
      </c>
      <c r="D9" s="69" t="s">
        <v>311</v>
      </c>
      <c r="E9" s="69" t="s">
        <v>311</v>
      </c>
      <c r="F9" s="70" t="s">
        <v>311</v>
      </c>
      <c r="G9" s="71" t="s">
        <v>310</v>
      </c>
      <c r="N9" s="263" t="s">
        <v>642</v>
      </c>
    </row>
    <row r="10" spans="2:17" ht="13.5" thickBot="1" x14ac:dyDescent="0.25">
      <c r="B10" s="72" t="s">
        <v>312</v>
      </c>
      <c r="C10" s="73" t="s">
        <v>313</v>
      </c>
      <c r="D10" s="73" t="s">
        <v>313</v>
      </c>
      <c r="E10" s="73" t="s">
        <v>313</v>
      </c>
      <c r="F10" s="74" t="s">
        <v>313</v>
      </c>
      <c r="G10" s="75" t="s">
        <v>312</v>
      </c>
      <c r="N10" s="261" t="s">
        <v>643</v>
      </c>
    </row>
    <row r="11" spans="2:17" ht="14.25" thickTop="1" thickBot="1" x14ac:dyDescent="0.25">
      <c r="N11" s="259" t="s">
        <v>644</v>
      </c>
    </row>
    <row r="12" spans="2:17" s="76" customFormat="1" ht="39" customHeight="1" x14ac:dyDescent="0.25">
      <c r="B12" s="244" t="s">
        <v>635</v>
      </c>
      <c r="C12" s="363" t="s">
        <v>314</v>
      </c>
      <c r="D12" s="363"/>
      <c r="E12" s="363"/>
      <c r="F12" s="363"/>
      <c r="G12" s="363" t="s">
        <v>315</v>
      </c>
      <c r="H12" s="363"/>
      <c r="I12" s="363"/>
      <c r="J12" s="363"/>
      <c r="K12" s="363" t="s">
        <v>316</v>
      </c>
      <c r="L12" s="363" t="s">
        <v>281</v>
      </c>
      <c r="N12" s="260" t="s">
        <v>645</v>
      </c>
    </row>
    <row r="13" spans="2:17" s="50" customFormat="1" ht="25.5" x14ac:dyDescent="0.25">
      <c r="B13" s="245" t="s">
        <v>522</v>
      </c>
      <c r="C13" s="245" t="s">
        <v>286</v>
      </c>
      <c r="D13" s="245" t="s">
        <v>287</v>
      </c>
      <c r="E13" s="245" t="s">
        <v>288</v>
      </c>
      <c r="F13" s="245" t="s">
        <v>289</v>
      </c>
      <c r="G13" s="245" t="s">
        <v>286</v>
      </c>
      <c r="H13" s="245" t="s">
        <v>287</v>
      </c>
      <c r="I13" s="245" t="s">
        <v>288</v>
      </c>
      <c r="J13" s="245" t="s">
        <v>289</v>
      </c>
      <c r="K13" s="364"/>
      <c r="L13" s="364"/>
      <c r="N13" s="261" t="s">
        <v>646</v>
      </c>
    </row>
    <row r="14" spans="2:17" x14ac:dyDescent="0.2">
      <c r="B14" s="246">
        <v>1.1000000000000001</v>
      </c>
      <c r="C14" s="57"/>
      <c r="D14" s="57"/>
      <c r="E14" s="57"/>
      <c r="F14" s="57"/>
      <c r="G14" s="81" t="e">
        <f t="shared" ref="G14:G45" si="0">VLOOKUP(C14,$C$4:$G$10,5,FALSE)</f>
        <v>#N/A</v>
      </c>
      <c r="H14" s="81" t="e">
        <f t="shared" ref="H14:H45" si="1">VLOOKUP(D14,$D$4:$G$10,4,FALSE)</f>
        <v>#N/A</v>
      </c>
      <c r="I14" s="81" t="e">
        <f t="shared" ref="I14:I45" si="2">VLOOKUP(E14,$E$4:$G$10,3,FALSE)</f>
        <v>#N/A</v>
      </c>
      <c r="J14" s="81" t="e">
        <f t="shared" ref="J14:J45" si="3">VLOOKUP(F14,$F$4:$G$10,2,FALSE)</f>
        <v>#N/A</v>
      </c>
      <c r="K14" s="81" t="e">
        <f>ROUND(AVERAGE(G14:J14),0)</f>
        <v>#N/A</v>
      </c>
      <c r="L14" s="81" t="e">
        <f>K14</f>
        <v>#N/A</v>
      </c>
      <c r="N14" s="261" t="s">
        <v>647</v>
      </c>
    </row>
    <row r="15" spans="2:17" ht="24" x14ac:dyDescent="0.2">
      <c r="B15" s="247">
        <v>1.2</v>
      </c>
      <c r="C15" s="56"/>
      <c r="D15" s="56"/>
      <c r="E15" s="56"/>
      <c r="F15" s="56"/>
      <c r="G15" s="80" t="e">
        <f t="shared" si="0"/>
        <v>#N/A</v>
      </c>
      <c r="H15" s="80" t="e">
        <f t="shared" si="1"/>
        <v>#N/A</v>
      </c>
      <c r="I15" s="80" t="e">
        <f t="shared" si="2"/>
        <v>#N/A</v>
      </c>
      <c r="J15" s="80" t="e">
        <f t="shared" si="3"/>
        <v>#N/A</v>
      </c>
      <c r="K15" s="80" t="e">
        <f t="shared" ref="K15:K78" si="4">ROUND(AVERAGE(G15:J15),0)</f>
        <v>#N/A</v>
      </c>
      <c r="L15" s="80" t="e">
        <f t="shared" ref="L15:L78" si="5">K15</f>
        <v>#N/A</v>
      </c>
      <c r="N15" s="260" t="s">
        <v>648</v>
      </c>
    </row>
    <row r="16" spans="2:17" x14ac:dyDescent="0.2">
      <c r="B16" s="246">
        <v>1.3</v>
      </c>
      <c r="C16" s="57"/>
      <c r="D16" s="57"/>
      <c r="E16" s="57"/>
      <c r="F16" s="57"/>
      <c r="G16" s="81" t="e">
        <f t="shared" si="0"/>
        <v>#N/A</v>
      </c>
      <c r="H16" s="81" t="e">
        <f t="shared" si="1"/>
        <v>#N/A</v>
      </c>
      <c r="I16" s="81" t="e">
        <f t="shared" si="2"/>
        <v>#N/A</v>
      </c>
      <c r="J16" s="81" t="e">
        <f t="shared" si="3"/>
        <v>#N/A</v>
      </c>
      <c r="K16" s="81" t="e">
        <f t="shared" si="4"/>
        <v>#N/A</v>
      </c>
      <c r="L16" s="81" t="e">
        <f t="shared" si="5"/>
        <v>#N/A</v>
      </c>
      <c r="N16" s="259" t="s">
        <v>629</v>
      </c>
    </row>
    <row r="17" spans="2:14" x14ac:dyDescent="0.2">
      <c r="B17" s="247">
        <v>1.4</v>
      </c>
      <c r="C17" s="56"/>
      <c r="D17" s="56"/>
      <c r="E17" s="56"/>
      <c r="F17" s="56"/>
      <c r="G17" s="80" t="e">
        <f t="shared" si="0"/>
        <v>#N/A</v>
      </c>
      <c r="H17" s="80" t="e">
        <f t="shared" si="1"/>
        <v>#N/A</v>
      </c>
      <c r="I17" s="80" t="e">
        <f t="shared" si="2"/>
        <v>#N/A</v>
      </c>
      <c r="J17" s="80" t="e">
        <f t="shared" si="3"/>
        <v>#N/A</v>
      </c>
      <c r="K17" s="80" t="e">
        <f t="shared" si="4"/>
        <v>#N/A</v>
      </c>
      <c r="L17" s="80" t="e">
        <f t="shared" si="5"/>
        <v>#N/A</v>
      </c>
      <c r="N17" s="259" t="s">
        <v>630</v>
      </c>
    </row>
    <row r="18" spans="2:14" ht="24" x14ac:dyDescent="0.2">
      <c r="B18" s="246">
        <v>1.5</v>
      </c>
      <c r="C18" s="57"/>
      <c r="D18" s="57"/>
      <c r="E18" s="57"/>
      <c r="F18" s="57"/>
      <c r="G18" s="81" t="e">
        <f t="shared" si="0"/>
        <v>#N/A</v>
      </c>
      <c r="H18" s="81" t="e">
        <f t="shared" si="1"/>
        <v>#N/A</v>
      </c>
      <c r="I18" s="81" t="e">
        <f t="shared" si="2"/>
        <v>#N/A</v>
      </c>
      <c r="J18" s="81" t="e">
        <f t="shared" si="3"/>
        <v>#N/A</v>
      </c>
      <c r="K18" s="81" t="e">
        <f t="shared" si="4"/>
        <v>#N/A</v>
      </c>
      <c r="L18" s="81" t="e">
        <f t="shared" si="5"/>
        <v>#N/A</v>
      </c>
      <c r="N18" s="264" t="s">
        <v>631</v>
      </c>
    </row>
    <row r="19" spans="2:14" x14ac:dyDescent="0.2">
      <c r="B19" s="247">
        <v>2.1</v>
      </c>
      <c r="C19" s="56"/>
      <c r="D19" s="56"/>
      <c r="E19" s="56"/>
      <c r="F19" s="56"/>
      <c r="G19" s="80" t="e">
        <f t="shared" si="0"/>
        <v>#N/A</v>
      </c>
      <c r="H19" s="80" t="e">
        <f t="shared" si="1"/>
        <v>#N/A</v>
      </c>
      <c r="I19" s="80" t="e">
        <f t="shared" si="2"/>
        <v>#N/A</v>
      </c>
      <c r="J19" s="80" t="e">
        <f t="shared" si="3"/>
        <v>#N/A</v>
      </c>
      <c r="K19" s="80" t="e">
        <f t="shared" si="4"/>
        <v>#N/A</v>
      </c>
      <c r="L19" s="80" t="e">
        <f t="shared" si="5"/>
        <v>#N/A</v>
      </c>
      <c r="N19" s="260" t="s">
        <v>632</v>
      </c>
    </row>
    <row r="20" spans="2:14" ht="24.75" thickBot="1" x14ac:dyDescent="0.25">
      <c r="B20" s="246">
        <v>2.2000000000000002</v>
      </c>
      <c r="C20" s="57"/>
      <c r="D20" s="57"/>
      <c r="E20" s="57"/>
      <c r="F20" s="57"/>
      <c r="G20" s="81" t="e">
        <f t="shared" si="0"/>
        <v>#N/A</v>
      </c>
      <c r="H20" s="81" t="e">
        <f t="shared" si="1"/>
        <v>#N/A</v>
      </c>
      <c r="I20" s="81" t="e">
        <f t="shared" si="2"/>
        <v>#N/A</v>
      </c>
      <c r="J20" s="81" t="e">
        <f t="shared" si="3"/>
        <v>#N/A</v>
      </c>
      <c r="K20" s="81" t="e">
        <f t="shared" si="4"/>
        <v>#N/A</v>
      </c>
      <c r="L20" s="81" t="e">
        <f t="shared" si="5"/>
        <v>#N/A</v>
      </c>
      <c r="N20" s="265" t="s">
        <v>633</v>
      </c>
    </row>
    <row r="21" spans="2:14" ht="14.25" x14ac:dyDescent="0.2">
      <c r="B21" s="247">
        <v>2.2999999999999998</v>
      </c>
      <c r="C21" s="56"/>
      <c r="D21" s="56"/>
      <c r="E21" s="56"/>
      <c r="F21" s="56"/>
      <c r="G21" s="80" t="e">
        <f t="shared" si="0"/>
        <v>#N/A</v>
      </c>
      <c r="H21" s="80" t="e">
        <f t="shared" si="1"/>
        <v>#N/A</v>
      </c>
      <c r="I21" s="80" t="e">
        <f t="shared" si="2"/>
        <v>#N/A</v>
      </c>
      <c r="J21" s="80" t="e">
        <f t="shared" si="3"/>
        <v>#N/A</v>
      </c>
      <c r="K21" s="80" t="e">
        <f t="shared" si="4"/>
        <v>#N/A</v>
      </c>
      <c r="L21" s="80" t="e">
        <f t="shared" si="5"/>
        <v>#N/A</v>
      </c>
      <c r="N21" s="257"/>
    </row>
    <row r="22" spans="2:14" ht="14.25" x14ac:dyDescent="0.2">
      <c r="B22" s="246">
        <v>2.4</v>
      </c>
      <c r="C22" s="57"/>
      <c r="D22" s="57"/>
      <c r="E22" s="57"/>
      <c r="F22" s="57"/>
      <c r="G22" s="81" t="e">
        <f t="shared" si="0"/>
        <v>#N/A</v>
      </c>
      <c r="H22" s="81" t="e">
        <f t="shared" si="1"/>
        <v>#N/A</v>
      </c>
      <c r="I22" s="81" t="e">
        <f t="shared" si="2"/>
        <v>#N/A</v>
      </c>
      <c r="J22" s="81" t="e">
        <f t="shared" si="3"/>
        <v>#N/A</v>
      </c>
      <c r="K22" s="81" t="e">
        <f t="shared" si="4"/>
        <v>#N/A</v>
      </c>
      <c r="L22" s="81" t="e">
        <f t="shared" si="5"/>
        <v>#N/A</v>
      </c>
      <c r="N22" s="257"/>
    </row>
    <row r="23" spans="2:14" ht="14.25" x14ac:dyDescent="0.2">
      <c r="B23" s="247">
        <v>2.5</v>
      </c>
      <c r="C23" s="56"/>
      <c r="D23" s="56"/>
      <c r="E23" s="56"/>
      <c r="F23" s="56"/>
      <c r="G23" s="80" t="e">
        <f t="shared" si="0"/>
        <v>#N/A</v>
      </c>
      <c r="H23" s="80" t="e">
        <f t="shared" si="1"/>
        <v>#N/A</v>
      </c>
      <c r="I23" s="80" t="e">
        <f t="shared" si="2"/>
        <v>#N/A</v>
      </c>
      <c r="J23" s="80" t="e">
        <f t="shared" si="3"/>
        <v>#N/A</v>
      </c>
      <c r="K23" s="80" t="e">
        <f t="shared" si="4"/>
        <v>#N/A</v>
      </c>
      <c r="L23" s="80" t="e">
        <f t="shared" si="5"/>
        <v>#N/A</v>
      </c>
      <c r="N23" s="258"/>
    </row>
    <row r="24" spans="2:14" x14ac:dyDescent="0.2">
      <c r="B24" s="246">
        <v>2.6</v>
      </c>
      <c r="C24" s="57"/>
      <c r="D24" s="57"/>
      <c r="E24" s="57"/>
      <c r="F24" s="57"/>
      <c r="G24" s="81" t="e">
        <f t="shared" si="0"/>
        <v>#N/A</v>
      </c>
      <c r="H24" s="81" t="e">
        <f t="shared" si="1"/>
        <v>#N/A</v>
      </c>
      <c r="I24" s="81" t="e">
        <f t="shared" si="2"/>
        <v>#N/A</v>
      </c>
      <c r="J24" s="81" t="e">
        <f t="shared" si="3"/>
        <v>#N/A</v>
      </c>
      <c r="K24" s="81" t="e">
        <f t="shared" si="4"/>
        <v>#N/A</v>
      </c>
      <c r="L24" s="81" t="e">
        <f t="shared" si="5"/>
        <v>#N/A</v>
      </c>
    </row>
    <row r="25" spans="2:14" x14ac:dyDescent="0.2">
      <c r="B25" s="247">
        <v>2.7</v>
      </c>
      <c r="C25" s="56"/>
      <c r="D25" s="56"/>
      <c r="E25" s="56"/>
      <c r="F25" s="56"/>
      <c r="G25" s="80" t="e">
        <f t="shared" si="0"/>
        <v>#N/A</v>
      </c>
      <c r="H25" s="80" t="e">
        <f t="shared" si="1"/>
        <v>#N/A</v>
      </c>
      <c r="I25" s="80" t="e">
        <f t="shared" si="2"/>
        <v>#N/A</v>
      </c>
      <c r="J25" s="80" t="e">
        <f t="shared" si="3"/>
        <v>#N/A</v>
      </c>
      <c r="K25" s="80" t="e">
        <f t="shared" si="4"/>
        <v>#N/A</v>
      </c>
      <c r="L25" s="80" t="e">
        <f t="shared" si="5"/>
        <v>#N/A</v>
      </c>
    </row>
    <row r="26" spans="2:14" x14ac:dyDescent="0.2">
      <c r="B26" s="246">
        <v>3.1</v>
      </c>
      <c r="C26" s="57"/>
      <c r="D26" s="57"/>
      <c r="E26" s="57"/>
      <c r="F26" s="57"/>
      <c r="G26" s="81" t="e">
        <f t="shared" si="0"/>
        <v>#N/A</v>
      </c>
      <c r="H26" s="81" t="e">
        <f t="shared" si="1"/>
        <v>#N/A</v>
      </c>
      <c r="I26" s="81" t="e">
        <f t="shared" si="2"/>
        <v>#N/A</v>
      </c>
      <c r="J26" s="81" t="e">
        <f t="shared" si="3"/>
        <v>#N/A</v>
      </c>
      <c r="K26" s="81" t="e">
        <f t="shared" si="4"/>
        <v>#N/A</v>
      </c>
      <c r="L26" s="81" t="e">
        <f t="shared" si="5"/>
        <v>#N/A</v>
      </c>
    </row>
    <row r="27" spans="2:14" x14ac:dyDescent="0.2">
      <c r="B27" s="247">
        <v>3.2</v>
      </c>
      <c r="C27" s="56"/>
      <c r="D27" s="56"/>
      <c r="E27" s="56"/>
      <c r="F27" s="56"/>
      <c r="G27" s="80" t="e">
        <f t="shared" si="0"/>
        <v>#N/A</v>
      </c>
      <c r="H27" s="80" t="e">
        <f t="shared" si="1"/>
        <v>#N/A</v>
      </c>
      <c r="I27" s="80" t="e">
        <f t="shared" si="2"/>
        <v>#N/A</v>
      </c>
      <c r="J27" s="80" t="e">
        <f t="shared" si="3"/>
        <v>#N/A</v>
      </c>
      <c r="K27" s="80" t="e">
        <f t="shared" si="4"/>
        <v>#N/A</v>
      </c>
      <c r="L27" s="80" t="e">
        <f t="shared" si="5"/>
        <v>#N/A</v>
      </c>
    </row>
    <row r="28" spans="2:14" x14ac:dyDescent="0.2">
      <c r="B28" s="246">
        <v>3.3</v>
      </c>
      <c r="C28" s="57"/>
      <c r="D28" s="57"/>
      <c r="E28" s="57"/>
      <c r="F28" s="57"/>
      <c r="G28" s="81" t="e">
        <f t="shared" si="0"/>
        <v>#N/A</v>
      </c>
      <c r="H28" s="81" t="e">
        <f t="shared" si="1"/>
        <v>#N/A</v>
      </c>
      <c r="I28" s="81" t="e">
        <f t="shared" si="2"/>
        <v>#N/A</v>
      </c>
      <c r="J28" s="81" t="e">
        <f t="shared" si="3"/>
        <v>#N/A</v>
      </c>
      <c r="K28" s="81" t="e">
        <f t="shared" si="4"/>
        <v>#N/A</v>
      </c>
      <c r="L28" s="81" t="e">
        <f t="shared" si="5"/>
        <v>#N/A</v>
      </c>
    </row>
    <row r="29" spans="2:14" x14ac:dyDescent="0.2">
      <c r="B29" s="247">
        <v>3.4</v>
      </c>
      <c r="C29" s="56"/>
      <c r="D29" s="56"/>
      <c r="E29" s="56"/>
      <c r="F29" s="56"/>
      <c r="G29" s="80" t="e">
        <f t="shared" si="0"/>
        <v>#N/A</v>
      </c>
      <c r="H29" s="80" t="e">
        <f t="shared" si="1"/>
        <v>#N/A</v>
      </c>
      <c r="I29" s="80" t="e">
        <f t="shared" si="2"/>
        <v>#N/A</v>
      </c>
      <c r="J29" s="80" t="e">
        <f t="shared" si="3"/>
        <v>#N/A</v>
      </c>
      <c r="K29" s="80" t="e">
        <f t="shared" si="4"/>
        <v>#N/A</v>
      </c>
      <c r="L29" s="80" t="e">
        <f t="shared" si="5"/>
        <v>#N/A</v>
      </c>
    </row>
    <row r="30" spans="2:14" x14ac:dyDescent="0.2">
      <c r="B30" s="246">
        <v>3.5</v>
      </c>
      <c r="C30" s="57"/>
      <c r="D30" s="57"/>
      <c r="E30" s="57"/>
      <c r="F30" s="57"/>
      <c r="G30" s="81" t="e">
        <f t="shared" si="0"/>
        <v>#N/A</v>
      </c>
      <c r="H30" s="81" t="e">
        <f t="shared" si="1"/>
        <v>#N/A</v>
      </c>
      <c r="I30" s="81" t="e">
        <f t="shared" si="2"/>
        <v>#N/A</v>
      </c>
      <c r="J30" s="81" t="e">
        <f t="shared" si="3"/>
        <v>#N/A</v>
      </c>
      <c r="K30" s="81" t="e">
        <f t="shared" si="4"/>
        <v>#N/A</v>
      </c>
      <c r="L30" s="81" t="e">
        <f t="shared" si="5"/>
        <v>#N/A</v>
      </c>
    </row>
    <row r="31" spans="2:14" x14ac:dyDescent="0.2">
      <c r="B31" s="247">
        <v>3.6</v>
      </c>
      <c r="C31" s="56"/>
      <c r="D31" s="56"/>
      <c r="E31" s="56"/>
      <c r="F31" s="56"/>
      <c r="G31" s="80" t="e">
        <f t="shared" si="0"/>
        <v>#N/A</v>
      </c>
      <c r="H31" s="80" t="e">
        <f t="shared" si="1"/>
        <v>#N/A</v>
      </c>
      <c r="I31" s="80" t="e">
        <f t="shared" si="2"/>
        <v>#N/A</v>
      </c>
      <c r="J31" s="80" t="e">
        <f t="shared" si="3"/>
        <v>#N/A</v>
      </c>
      <c r="K31" s="80" t="e">
        <f t="shared" si="4"/>
        <v>#N/A</v>
      </c>
      <c r="L31" s="80" t="e">
        <f t="shared" si="5"/>
        <v>#N/A</v>
      </c>
    </row>
    <row r="32" spans="2:14" x14ac:dyDescent="0.2">
      <c r="B32" s="246">
        <v>3.7</v>
      </c>
      <c r="C32" s="57"/>
      <c r="D32" s="57"/>
      <c r="E32" s="57"/>
      <c r="F32" s="57"/>
      <c r="G32" s="81" t="e">
        <f t="shared" si="0"/>
        <v>#N/A</v>
      </c>
      <c r="H32" s="81" t="e">
        <f t="shared" si="1"/>
        <v>#N/A</v>
      </c>
      <c r="I32" s="81" t="e">
        <f t="shared" si="2"/>
        <v>#N/A</v>
      </c>
      <c r="J32" s="81" t="e">
        <f t="shared" si="3"/>
        <v>#N/A</v>
      </c>
      <c r="K32" s="81" t="e">
        <f t="shared" si="4"/>
        <v>#N/A</v>
      </c>
      <c r="L32" s="81" t="e">
        <f t="shared" si="5"/>
        <v>#N/A</v>
      </c>
    </row>
    <row r="33" spans="2:12" x14ac:dyDescent="0.2">
      <c r="B33" s="247">
        <v>3.8</v>
      </c>
      <c r="C33" s="56"/>
      <c r="D33" s="56"/>
      <c r="E33" s="56"/>
      <c r="F33" s="56"/>
      <c r="G33" s="80" t="e">
        <f t="shared" si="0"/>
        <v>#N/A</v>
      </c>
      <c r="H33" s="80" t="e">
        <f t="shared" si="1"/>
        <v>#N/A</v>
      </c>
      <c r="I33" s="80" t="e">
        <f t="shared" si="2"/>
        <v>#N/A</v>
      </c>
      <c r="J33" s="80" t="e">
        <f t="shared" si="3"/>
        <v>#N/A</v>
      </c>
      <c r="K33" s="80" t="e">
        <f t="shared" si="4"/>
        <v>#N/A</v>
      </c>
      <c r="L33" s="80" t="e">
        <f t="shared" si="5"/>
        <v>#N/A</v>
      </c>
    </row>
    <row r="34" spans="2:12" x14ac:dyDescent="0.2">
      <c r="B34" s="246">
        <v>3.9</v>
      </c>
      <c r="C34" s="57"/>
      <c r="D34" s="57"/>
      <c r="E34" s="57"/>
      <c r="F34" s="57"/>
      <c r="G34" s="81" t="e">
        <f t="shared" si="0"/>
        <v>#N/A</v>
      </c>
      <c r="H34" s="81" t="e">
        <f t="shared" si="1"/>
        <v>#N/A</v>
      </c>
      <c r="I34" s="81" t="e">
        <f t="shared" si="2"/>
        <v>#N/A</v>
      </c>
      <c r="J34" s="81" t="e">
        <f t="shared" si="3"/>
        <v>#N/A</v>
      </c>
      <c r="K34" s="81" t="e">
        <f t="shared" si="4"/>
        <v>#N/A</v>
      </c>
      <c r="L34" s="81" t="e">
        <f t="shared" si="5"/>
        <v>#N/A</v>
      </c>
    </row>
    <row r="35" spans="2:12" x14ac:dyDescent="0.2">
      <c r="B35" s="247" t="s">
        <v>528</v>
      </c>
      <c r="C35" s="56"/>
      <c r="D35" s="56"/>
      <c r="E35" s="56"/>
      <c r="F35" s="56"/>
      <c r="G35" s="80" t="e">
        <f t="shared" si="0"/>
        <v>#N/A</v>
      </c>
      <c r="H35" s="80" t="e">
        <f t="shared" si="1"/>
        <v>#N/A</v>
      </c>
      <c r="I35" s="80" t="e">
        <f t="shared" si="2"/>
        <v>#N/A</v>
      </c>
      <c r="J35" s="80" t="e">
        <f t="shared" si="3"/>
        <v>#N/A</v>
      </c>
      <c r="K35" s="80" t="e">
        <f t="shared" si="4"/>
        <v>#N/A</v>
      </c>
      <c r="L35" s="80" t="e">
        <f t="shared" si="5"/>
        <v>#N/A</v>
      </c>
    </row>
    <row r="36" spans="2:12" x14ac:dyDescent="0.2">
      <c r="B36" s="246">
        <v>3.11</v>
      </c>
      <c r="C36" s="57"/>
      <c r="D36" s="57"/>
      <c r="E36" s="57"/>
      <c r="F36" s="57"/>
      <c r="G36" s="81" t="e">
        <f t="shared" si="0"/>
        <v>#N/A</v>
      </c>
      <c r="H36" s="81" t="e">
        <f t="shared" si="1"/>
        <v>#N/A</v>
      </c>
      <c r="I36" s="81" t="e">
        <f t="shared" si="2"/>
        <v>#N/A</v>
      </c>
      <c r="J36" s="81" t="e">
        <f t="shared" si="3"/>
        <v>#N/A</v>
      </c>
      <c r="K36" s="81" t="e">
        <f t="shared" si="4"/>
        <v>#N/A</v>
      </c>
      <c r="L36" s="81" t="e">
        <f t="shared" si="5"/>
        <v>#N/A</v>
      </c>
    </row>
    <row r="37" spans="2:12" x14ac:dyDescent="0.2">
      <c r="B37" s="247">
        <v>3.12</v>
      </c>
      <c r="C37" s="56"/>
      <c r="D37" s="56"/>
      <c r="E37" s="56"/>
      <c r="F37" s="56"/>
      <c r="G37" s="80" t="e">
        <f t="shared" si="0"/>
        <v>#N/A</v>
      </c>
      <c r="H37" s="80" t="e">
        <f t="shared" si="1"/>
        <v>#N/A</v>
      </c>
      <c r="I37" s="80" t="e">
        <f t="shared" si="2"/>
        <v>#N/A</v>
      </c>
      <c r="J37" s="80" t="e">
        <f t="shared" si="3"/>
        <v>#N/A</v>
      </c>
      <c r="K37" s="80" t="e">
        <f t="shared" si="4"/>
        <v>#N/A</v>
      </c>
      <c r="L37" s="80" t="e">
        <f t="shared" si="5"/>
        <v>#N/A</v>
      </c>
    </row>
    <row r="38" spans="2:12" x14ac:dyDescent="0.2">
      <c r="B38" s="246">
        <v>3.13</v>
      </c>
      <c r="C38" s="57"/>
      <c r="D38" s="57"/>
      <c r="E38" s="57"/>
      <c r="F38" s="57"/>
      <c r="G38" s="81" t="e">
        <f t="shared" si="0"/>
        <v>#N/A</v>
      </c>
      <c r="H38" s="81" t="e">
        <f t="shared" si="1"/>
        <v>#N/A</v>
      </c>
      <c r="I38" s="81" t="e">
        <f t="shared" si="2"/>
        <v>#N/A</v>
      </c>
      <c r="J38" s="81" t="e">
        <f t="shared" si="3"/>
        <v>#N/A</v>
      </c>
      <c r="K38" s="81" t="e">
        <f t="shared" si="4"/>
        <v>#N/A</v>
      </c>
      <c r="L38" s="81" t="e">
        <f t="shared" si="5"/>
        <v>#N/A</v>
      </c>
    </row>
    <row r="39" spans="2:12" x14ac:dyDescent="0.2">
      <c r="B39" s="247">
        <v>3.14</v>
      </c>
      <c r="C39" s="56"/>
      <c r="D39" s="56"/>
      <c r="E39" s="56"/>
      <c r="F39" s="56"/>
      <c r="G39" s="80" t="e">
        <f t="shared" si="0"/>
        <v>#N/A</v>
      </c>
      <c r="H39" s="80" t="e">
        <f t="shared" si="1"/>
        <v>#N/A</v>
      </c>
      <c r="I39" s="80" t="e">
        <f t="shared" si="2"/>
        <v>#N/A</v>
      </c>
      <c r="J39" s="80" t="e">
        <f t="shared" si="3"/>
        <v>#N/A</v>
      </c>
      <c r="K39" s="80" t="e">
        <f t="shared" si="4"/>
        <v>#N/A</v>
      </c>
      <c r="L39" s="80" t="e">
        <f t="shared" si="5"/>
        <v>#N/A</v>
      </c>
    </row>
    <row r="40" spans="2:12" x14ac:dyDescent="0.2">
      <c r="B40" s="246">
        <v>4.0999999999999996</v>
      </c>
      <c r="C40" s="57"/>
      <c r="D40" s="57"/>
      <c r="E40" s="57"/>
      <c r="F40" s="57"/>
      <c r="G40" s="81" t="e">
        <f t="shared" si="0"/>
        <v>#N/A</v>
      </c>
      <c r="H40" s="81" t="e">
        <f t="shared" si="1"/>
        <v>#N/A</v>
      </c>
      <c r="I40" s="81" t="e">
        <f t="shared" si="2"/>
        <v>#N/A</v>
      </c>
      <c r="J40" s="81" t="e">
        <f t="shared" si="3"/>
        <v>#N/A</v>
      </c>
      <c r="K40" s="81" t="e">
        <f t="shared" si="4"/>
        <v>#N/A</v>
      </c>
      <c r="L40" s="81" t="e">
        <f t="shared" si="5"/>
        <v>#N/A</v>
      </c>
    </row>
    <row r="41" spans="2:12" x14ac:dyDescent="0.2">
      <c r="B41" s="247">
        <v>4.2</v>
      </c>
      <c r="C41" s="56"/>
      <c r="D41" s="56"/>
      <c r="E41" s="56"/>
      <c r="F41" s="56"/>
      <c r="G41" s="80" t="e">
        <f t="shared" si="0"/>
        <v>#N/A</v>
      </c>
      <c r="H41" s="80" t="e">
        <f t="shared" si="1"/>
        <v>#N/A</v>
      </c>
      <c r="I41" s="80" t="e">
        <f t="shared" si="2"/>
        <v>#N/A</v>
      </c>
      <c r="J41" s="80" t="e">
        <f t="shared" si="3"/>
        <v>#N/A</v>
      </c>
      <c r="K41" s="80" t="e">
        <f t="shared" si="4"/>
        <v>#N/A</v>
      </c>
      <c r="L41" s="80" t="e">
        <f t="shared" si="5"/>
        <v>#N/A</v>
      </c>
    </row>
    <row r="42" spans="2:12" x14ac:dyDescent="0.2">
      <c r="B42" s="246">
        <v>4.3</v>
      </c>
      <c r="C42" s="57"/>
      <c r="D42" s="57"/>
      <c r="E42" s="57"/>
      <c r="F42" s="57"/>
      <c r="G42" s="81" t="e">
        <f t="shared" si="0"/>
        <v>#N/A</v>
      </c>
      <c r="H42" s="81" t="e">
        <f t="shared" si="1"/>
        <v>#N/A</v>
      </c>
      <c r="I42" s="81" t="e">
        <f t="shared" si="2"/>
        <v>#N/A</v>
      </c>
      <c r="J42" s="81" t="e">
        <f t="shared" si="3"/>
        <v>#N/A</v>
      </c>
      <c r="K42" s="81" t="e">
        <f t="shared" si="4"/>
        <v>#N/A</v>
      </c>
      <c r="L42" s="81" t="e">
        <f t="shared" si="5"/>
        <v>#N/A</v>
      </c>
    </row>
    <row r="43" spans="2:12" x14ac:dyDescent="0.2">
      <c r="B43" s="247">
        <v>4.4000000000000004</v>
      </c>
      <c r="C43" s="56"/>
      <c r="D43" s="56"/>
      <c r="E43" s="56"/>
      <c r="F43" s="56"/>
      <c r="G43" s="80" t="e">
        <f t="shared" si="0"/>
        <v>#N/A</v>
      </c>
      <c r="H43" s="80" t="e">
        <f t="shared" si="1"/>
        <v>#N/A</v>
      </c>
      <c r="I43" s="80" t="e">
        <f t="shared" si="2"/>
        <v>#N/A</v>
      </c>
      <c r="J43" s="80" t="e">
        <f t="shared" si="3"/>
        <v>#N/A</v>
      </c>
      <c r="K43" s="80" t="e">
        <f t="shared" si="4"/>
        <v>#N/A</v>
      </c>
      <c r="L43" s="80" t="e">
        <f t="shared" si="5"/>
        <v>#N/A</v>
      </c>
    </row>
    <row r="44" spans="2:12" x14ac:dyDescent="0.2">
      <c r="B44" s="246">
        <v>4.5</v>
      </c>
      <c r="C44" s="57"/>
      <c r="D44" s="57"/>
      <c r="E44" s="57"/>
      <c r="F44" s="57"/>
      <c r="G44" s="81" t="e">
        <f t="shared" si="0"/>
        <v>#N/A</v>
      </c>
      <c r="H44" s="81" t="e">
        <f t="shared" si="1"/>
        <v>#N/A</v>
      </c>
      <c r="I44" s="81" t="e">
        <f t="shared" si="2"/>
        <v>#N/A</v>
      </c>
      <c r="J44" s="81" t="e">
        <f t="shared" si="3"/>
        <v>#N/A</v>
      </c>
      <c r="K44" s="81" t="e">
        <f t="shared" si="4"/>
        <v>#N/A</v>
      </c>
      <c r="L44" s="81" t="e">
        <f t="shared" si="5"/>
        <v>#N/A</v>
      </c>
    </row>
    <row r="45" spans="2:12" x14ac:dyDescent="0.2">
      <c r="B45" s="247">
        <v>4.5999999999999996</v>
      </c>
      <c r="C45" s="56"/>
      <c r="D45" s="56"/>
      <c r="E45" s="56"/>
      <c r="F45" s="56"/>
      <c r="G45" s="80" t="e">
        <f t="shared" si="0"/>
        <v>#N/A</v>
      </c>
      <c r="H45" s="80" t="e">
        <f t="shared" si="1"/>
        <v>#N/A</v>
      </c>
      <c r="I45" s="80" t="e">
        <f t="shared" si="2"/>
        <v>#N/A</v>
      </c>
      <c r="J45" s="80" t="e">
        <f t="shared" si="3"/>
        <v>#N/A</v>
      </c>
      <c r="K45" s="80" t="e">
        <f t="shared" si="4"/>
        <v>#N/A</v>
      </c>
      <c r="L45" s="80" t="e">
        <f t="shared" si="5"/>
        <v>#N/A</v>
      </c>
    </row>
    <row r="46" spans="2:12" x14ac:dyDescent="0.2">
      <c r="B46" s="246">
        <v>4.7</v>
      </c>
      <c r="C46" s="57"/>
      <c r="D46" s="57"/>
      <c r="E46" s="57"/>
      <c r="F46" s="57"/>
      <c r="G46" s="81" t="e">
        <f t="shared" ref="G46:G77" si="6">VLOOKUP(C46,$C$4:$G$10,5,FALSE)</f>
        <v>#N/A</v>
      </c>
      <c r="H46" s="81" t="e">
        <f t="shared" ref="H46:H77" si="7">VLOOKUP(D46,$D$4:$G$10,4,FALSE)</f>
        <v>#N/A</v>
      </c>
      <c r="I46" s="81" t="e">
        <f t="shared" ref="I46:I77" si="8">VLOOKUP(E46,$E$4:$G$10,3,FALSE)</f>
        <v>#N/A</v>
      </c>
      <c r="J46" s="81" t="e">
        <f t="shared" ref="J46:J77" si="9">VLOOKUP(F46,$F$4:$G$10,2,FALSE)</f>
        <v>#N/A</v>
      </c>
      <c r="K46" s="81" t="e">
        <f t="shared" si="4"/>
        <v>#N/A</v>
      </c>
      <c r="L46" s="81" t="e">
        <f t="shared" si="5"/>
        <v>#N/A</v>
      </c>
    </row>
    <row r="47" spans="2:12" x14ac:dyDescent="0.2">
      <c r="B47" s="247">
        <v>4.8</v>
      </c>
      <c r="C47" s="56"/>
      <c r="D47" s="56"/>
      <c r="E47" s="56"/>
      <c r="F47" s="56"/>
      <c r="G47" s="80" t="e">
        <f t="shared" si="6"/>
        <v>#N/A</v>
      </c>
      <c r="H47" s="80" t="e">
        <f t="shared" si="7"/>
        <v>#N/A</v>
      </c>
      <c r="I47" s="80" t="e">
        <f t="shared" si="8"/>
        <v>#N/A</v>
      </c>
      <c r="J47" s="80" t="e">
        <f t="shared" si="9"/>
        <v>#N/A</v>
      </c>
      <c r="K47" s="80" t="e">
        <f t="shared" si="4"/>
        <v>#N/A</v>
      </c>
      <c r="L47" s="80" t="e">
        <f t="shared" si="5"/>
        <v>#N/A</v>
      </c>
    </row>
    <row r="48" spans="2:12" x14ac:dyDescent="0.2">
      <c r="B48" s="246">
        <v>4.9000000000000004</v>
      </c>
      <c r="C48" s="57"/>
      <c r="D48" s="57"/>
      <c r="E48" s="57"/>
      <c r="F48" s="57"/>
      <c r="G48" s="81" t="e">
        <f t="shared" si="6"/>
        <v>#N/A</v>
      </c>
      <c r="H48" s="81" t="e">
        <f t="shared" si="7"/>
        <v>#N/A</v>
      </c>
      <c r="I48" s="81" t="e">
        <f t="shared" si="8"/>
        <v>#N/A</v>
      </c>
      <c r="J48" s="81" t="e">
        <f t="shared" si="9"/>
        <v>#N/A</v>
      </c>
      <c r="K48" s="81" t="e">
        <f t="shared" si="4"/>
        <v>#N/A</v>
      </c>
      <c r="L48" s="81" t="e">
        <f t="shared" si="5"/>
        <v>#N/A</v>
      </c>
    </row>
    <row r="49" spans="2:12" x14ac:dyDescent="0.2">
      <c r="B49" s="247" t="s">
        <v>527</v>
      </c>
      <c r="C49" s="56"/>
      <c r="D49" s="56"/>
      <c r="E49" s="56"/>
      <c r="F49" s="56"/>
      <c r="G49" s="80" t="e">
        <f t="shared" si="6"/>
        <v>#N/A</v>
      </c>
      <c r="H49" s="80" t="e">
        <f t="shared" si="7"/>
        <v>#N/A</v>
      </c>
      <c r="I49" s="80" t="e">
        <f t="shared" si="8"/>
        <v>#N/A</v>
      </c>
      <c r="J49" s="80" t="e">
        <f t="shared" si="9"/>
        <v>#N/A</v>
      </c>
      <c r="K49" s="80" t="e">
        <f t="shared" si="4"/>
        <v>#N/A</v>
      </c>
      <c r="L49" s="80" t="e">
        <f t="shared" si="5"/>
        <v>#N/A</v>
      </c>
    </row>
    <row r="50" spans="2:12" x14ac:dyDescent="0.2">
      <c r="B50" s="246">
        <v>4.1100000000000003</v>
      </c>
      <c r="C50" s="57"/>
      <c r="D50" s="57"/>
      <c r="E50" s="57"/>
      <c r="F50" s="57"/>
      <c r="G50" s="81" t="e">
        <f t="shared" si="6"/>
        <v>#N/A</v>
      </c>
      <c r="H50" s="81" t="e">
        <f t="shared" si="7"/>
        <v>#N/A</v>
      </c>
      <c r="I50" s="81" t="e">
        <f t="shared" si="8"/>
        <v>#N/A</v>
      </c>
      <c r="J50" s="81" t="e">
        <f t="shared" si="9"/>
        <v>#N/A</v>
      </c>
      <c r="K50" s="81" t="e">
        <f t="shared" si="4"/>
        <v>#N/A</v>
      </c>
      <c r="L50" s="81" t="e">
        <f t="shared" si="5"/>
        <v>#N/A</v>
      </c>
    </row>
    <row r="51" spans="2:12" x14ac:dyDescent="0.2">
      <c r="B51" s="247">
        <v>4.12</v>
      </c>
      <c r="C51" s="56"/>
      <c r="D51" s="56"/>
      <c r="E51" s="56"/>
      <c r="F51" s="56"/>
      <c r="G51" s="80" t="e">
        <f t="shared" si="6"/>
        <v>#N/A</v>
      </c>
      <c r="H51" s="80" t="e">
        <f t="shared" si="7"/>
        <v>#N/A</v>
      </c>
      <c r="I51" s="80" t="e">
        <f t="shared" si="8"/>
        <v>#N/A</v>
      </c>
      <c r="J51" s="80" t="e">
        <f t="shared" si="9"/>
        <v>#N/A</v>
      </c>
      <c r="K51" s="80" t="e">
        <f t="shared" si="4"/>
        <v>#N/A</v>
      </c>
      <c r="L51" s="80" t="e">
        <f t="shared" si="5"/>
        <v>#N/A</v>
      </c>
    </row>
    <row r="52" spans="2:12" x14ac:dyDescent="0.2">
      <c r="B52" s="246">
        <v>5.0999999999999996</v>
      </c>
      <c r="C52" s="57"/>
      <c r="D52" s="57"/>
      <c r="E52" s="57"/>
      <c r="F52" s="57"/>
      <c r="G52" s="81" t="e">
        <f t="shared" si="6"/>
        <v>#N/A</v>
      </c>
      <c r="H52" s="81" t="e">
        <f t="shared" si="7"/>
        <v>#N/A</v>
      </c>
      <c r="I52" s="81" t="e">
        <f t="shared" si="8"/>
        <v>#N/A</v>
      </c>
      <c r="J52" s="81" t="e">
        <f t="shared" si="9"/>
        <v>#N/A</v>
      </c>
      <c r="K52" s="81" t="e">
        <f t="shared" si="4"/>
        <v>#N/A</v>
      </c>
      <c r="L52" s="81" t="e">
        <f t="shared" si="5"/>
        <v>#N/A</v>
      </c>
    </row>
    <row r="53" spans="2:12" x14ac:dyDescent="0.2">
      <c r="B53" s="247">
        <v>5.2</v>
      </c>
      <c r="C53" s="56"/>
      <c r="D53" s="56"/>
      <c r="E53" s="56"/>
      <c r="F53" s="56"/>
      <c r="G53" s="80" t="e">
        <f t="shared" si="6"/>
        <v>#N/A</v>
      </c>
      <c r="H53" s="80" t="e">
        <f t="shared" si="7"/>
        <v>#N/A</v>
      </c>
      <c r="I53" s="80" t="e">
        <f t="shared" si="8"/>
        <v>#N/A</v>
      </c>
      <c r="J53" s="80" t="e">
        <f t="shared" si="9"/>
        <v>#N/A</v>
      </c>
      <c r="K53" s="80" t="e">
        <f t="shared" si="4"/>
        <v>#N/A</v>
      </c>
      <c r="L53" s="80" t="e">
        <f t="shared" si="5"/>
        <v>#N/A</v>
      </c>
    </row>
    <row r="54" spans="2:12" x14ac:dyDescent="0.2">
      <c r="B54" s="246">
        <v>5.3</v>
      </c>
      <c r="C54" s="57"/>
      <c r="D54" s="57"/>
      <c r="E54" s="57"/>
      <c r="F54" s="57"/>
      <c r="G54" s="81" t="e">
        <f t="shared" si="6"/>
        <v>#N/A</v>
      </c>
      <c r="H54" s="81" t="e">
        <f t="shared" si="7"/>
        <v>#N/A</v>
      </c>
      <c r="I54" s="81" t="e">
        <f t="shared" si="8"/>
        <v>#N/A</v>
      </c>
      <c r="J54" s="81" t="e">
        <f t="shared" si="9"/>
        <v>#N/A</v>
      </c>
      <c r="K54" s="81" t="e">
        <f t="shared" si="4"/>
        <v>#N/A</v>
      </c>
      <c r="L54" s="81" t="e">
        <f t="shared" si="5"/>
        <v>#N/A</v>
      </c>
    </row>
    <row r="55" spans="2:12" x14ac:dyDescent="0.2">
      <c r="B55" s="247">
        <v>5.4</v>
      </c>
      <c r="C55" s="56"/>
      <c r="D55" s="56"/>
      <c r="E55" s="56"/>
      <c r="F55" s="56"/>
      <c r="G55" s="80" t="e">
        <f t="shared" si="6"/>
        <v>#N/A</v>
      </c>
      <c r="H55" s="80" t="e">
        <f t="shared" si="7"/>
        <v>#N/A</v>
      </c>
      <c r="I55" s="80" t="e">
        <f t="shared" si="8"/>
        <v>#N/A</v>
      </c>
      <c r="J55" s="80" t="e">
        <f t="shared" si="9"/>
        <v>#N/A</v>
      </c>
      <c r="K55" s="80" t="e">
        <f t="shared" si="4"/>
        <v>#N/A</v>
      </c>
      <c r="L55" s="80" t="e">
        <f t="shared" si="5"/>
        <v>#N/A</v>
      </c>
    </row>
    <row r="56" spans="2:12" x14ac:dyDescent="0.2">
      <c r="B56" s="246">
        <v>5.5</v>
      </c>
      <c r="C56" s="57"/>
      <c r="D56" s="57"/>
      <c r="E56" s="57"/>
      <c r="F56" s="57"/>
      <c r="G56" s="81" t="e">
        <f t="shared" si="6"/>
        <v>#N/A</v>
      </c>
      <c r="H56" s="81" t="e">
        <f t="shared" si="7"/>
        <v>#N/A</v>
      </c>
      <c r="I56" s="81" t="e">
        <f t="shared" si="8"/>
        <v>#N/A</v>
      </c>
      <c r="J56" s="81" t="e">
        <f t="shared" si="9"/>
        <v>#N/A</v>
      </c>
      <c r="K56" s="81" t="e">
        <f t="shared" si="4"/>
        <v>#N/A</v>
      </c>
      <c r="L56" s="81" t="e">
        <f t="shared" si="5"/>
        <v>#N/A</v>
      </c>
    </row>
    <row r="57" spans="2:12" x14ac:dyDescent="0.2">
      <c r="B57" s="247">
        <v>5.6</v>
      </c>
      <c r="C57" s="56"/>
      <c r="D57" s="56"/>
      <c r="E57" s="56"/>
      <c r="F57" s="56"/>
      <c r="G57" s="80" t="e">
        <f t="shared" si="6"/>
        <v>#N/A</v>
      </c>
      <c r="H57" s="80" t="e">
        <f t="shared" si="7"/>
        <v>#N/A</v>
      </c>
      <c r="I57" s="80" t="e">
        <f t="shared" si="8"/>
        <v>#N/A</v>
      </c>
      <c r="J57" s="80" t="e">
        <f t="shared" si="9"/>
        <v>#N/A</v>
      </c>
      <c r="K57" s="80" t="e">
        <f t="shared" si="4"/>
        <v>#N/A</v>
      </c>
      <c r="L57" s="80" t="e">
        <f t="shared" si="5"/>
        <v>#N/A</v>
      </c>
    </row>
    <row r="58" spans="2:12" x14ac:dyDescent="0.2">
      <c r="B58" s="246">
        <v>6.1</v>
      </c>
      <c r="C58" s="57"/>
      <c r="D58" s="57"/>
      <c r="E58" s="57"/>
      <c r="F58" s="57"/>
      <c r="G58" s="81" t="e">
        <f t="shared" si="6"/>
        <v>#N/A</v>
      </c>
      <c r="H58" s="81" t="e">
        <f t="shared" si="7"/>
        <v>#N/A</v>
      </c>
      <c r="I58" s="81" t="e">
        <f t="shared" si="8"/>
        <v>#N/A</v>
      </c>
      <c r="J58" s="81" t="e">
        <f t="shared" si="9"/>
        <v>#N/A</v>
      </c>
      <c r="K58" s="81" t="e">
        <f t="shared" si="4"/>
        <v>#N/A</v>
      </c>
      <c r="L58" s="81" t="e">
        <f t="shared" si="5"/>
        <v>#N/A</v>
      </c>
    </row>
    <row r="59" spans="2:12" x14ac:dyDescent="0.2">
      <c r="B59" s="247">
        <v>6.2</v>
      </c>
      <c r="C59" s="56"/>
      <c r="D59" s="56"/>
      <c r="E59" s="56"/>
      <c r="F59" s="56"/>
      <c r="G59" s="80" t="e">
        <f t="shared" si="6"/>
        <v>#N/A</v>
      </c>
      <c r="H59" s="80" t="e">
        <f t="shared" si="7"/>
        <v>#N/A</v>
      </c>
      <c r="I59" s="80" t="e">
        <f t="shared" si="8"/>
        <v>#N/A</v>
      </c>
      <c r="J59" s="80" t="e">
        <f t="shared" si="9"/>
        <v>#N/A</v>
      </c>
      <c r="K59" s="80" t="e">
        <f t="shared" si="4"/>
        <v>#N/A</v>
      </c>
      <c r="L59" s="80" t="e">
        <f t="shared" si="5"/>
        <v>#N/A</v>
      </c>
    </row>
    <row r="60" spans="2:12" x14ac:dyDescent="0.2">
      <c r="B60" s="246">
        <v>6.3</v>
      </c>
      <c r="C60" s="57"/>
      <c r="D60" s="57"/>
      <c r="E60" s="57"/>
      <c r="F60" s="57"/>
      <c r="G60" s="81" t="e">
        <f t="shared" si="6"/>
        <v>#N/A</v>
      </c>
      <c r="H60" s="81" t="e">
        <f t="shared" si="7"/>
        <v>#N/A</v>
      </c>
      <c r="I60" s="81" t="e">
        <f t="shared" si="8"/>
        <v>#N/A</v>
      </c>
      <c r="J60" s="81" t="e">
        <f t="shared" si="9"/>
        <v>#N/A</v>
      </c>
      <c r="K60" s="81" t="e">
        <f t="shared" si="4"/>
        <v>#N/A</v>
      </c>
      <c r="L60" s="81" t="e">
        <f t="shared" si="5"/>
        <v>#N/A</v>
      </c>
    </row>
    <row r="61" spans="2:12" x14ac:dyDescent="0.2">
      <c r="B61" s="247">
        <v>6.4</v>
      </c>
      <c r="C61" s="56"/>
      <c r="D61" s="56"/>
      <c r="E61" s="56"/>
      <c r="F61" s="56"/>
      <c r="G61" s="80" t="e">
        <f t="shared" si="6"/>
        <v>#N/A</v>
      </c>
      <c r="H61" s="80" t="e">
        <f t="shared" si="7"/>
        <v>#N/A</v>
      </c>
      <c r="I61" s="80" t="e">
        <f t="shared" si="8"/>
        <v>#N/A</v>
      </c>
      <c r="J61" s="80" t="e">
        <f t="shared" si="9"/>
        <v>#N/A</v>
      </c>
      <c r="K61" s="80" t="e">
        <f t="shared" si="4"/>
        <v>#N/A</v>
      </c>
      <c r="L61" s="80" t="e">
        <f t="shared" si="5"/>
        <v>#N/A</v>
      </c>
    </row>
    <row r="62" spans="2:12" x14ac:dyDescent="0.2">
      <c r="B62" s="246">
        <v>6.5</v>
      </c>
      <c r="C62" s="57"/>
      <c r="D62" s="57"/>
      <c r="E62" s="57"/>
      <c r="F62" s="57"/>
      <c r="G62" s="81" t="e">
        <f t="shared" si="6"/>
        <v>#N/A</v>
      </c>
      <c r="H62" s="81" t="e">
        <f t="shared" si="7"/>
        <v>#N/A</v>
      </c>
      <c r="I62" s="81" t="e">
        <f t="shared" si="8"/>
        <v>#N/A</v>
      </c>
      <c r="J62" s="81" t="e">
        <f t="shared" si="9"/>
        <v>#N/A</v>
      </c>
      <c r="K62" s="81" t="e">
        <f t="shared" si="4"/>
        <v>#N/A</v>
      </c>
      <c r="L62" s="81" t="e">
        <f t="shared" si="5"/>
        <v>#N/A</v>
      </c>
    </row>
    <row r="63" spans="2:12" x14ac:dyDescent="0.2">
      <c r="B63" s="247">
        <v>6.6</v>
      </c>
      <c r="C63" s="56"/>
      <c r="D63" s="56"/>
      <c r="E63" s="56"/>
      <c r="F63" s="56"/>
      <c r="G63" s="80" t="e">
        <f t="shared" si="6"/>
        <v>#N/A</v>
      </c>
      <c r="H63" s="80" t="e">
        <f t="shared" si="7"/>
        <v>#N/A</v>
      </c>
      <c r="I63" s="80" t="e">
        <f t="shared" si="8"/>
        <v>#N/A</v>
      </c>
      <c r="J63" s="80" t="e">
        <f t="shared" si="9"/>
        <v>#N/A</v>
      </c>
      <c r="K63" s="80" t="e">
        <f t="shared" si="4"/>
        <v>#N/A</v>
      </c>
      <c r="L63" s="80" t="e">
        <f t="shared" si="5"/>
        <v>#N/A</v>
      </c>
    </row>
    <row r="64" spans="2:12" x14ac:dyDescent="0.2">
      <c r="B64" s="246">
        <v>6.7</v>
      </c>
      <c r="C64" s="57"/>
      <c r="D64" s="57"/>
      <c r="E64" s="57"/>
      <c r="F64" s="57"/>
      <c r="G64" s="81" t="e">
        <f t="shared" si="6"/>
        <v>#N/A</v>
      </c>
      <c r="H64" s="81" t="e">
        <f t="shared" si="7"/>
        <v>#N/A</v>
      </c>
      <c r="I64" s="81" t="e">
        <f t="shared" si="8"/>
        <v>#N/A</v>
      </c>
      <c r="J64" s="81" t="e">
        <f t="shared" si="9"/>
        <v>#N/A</v>
      </c>
      <c r="K64" s="81" t="e">
        <f t="shared" si="4"/>
        <v>#N/A</v>
      </c>
      <c r="L64" s="81" t="e">
        <f t="shared" si="5"/>
        <v>#N/A</v>
      </c>
    </row>
    <row r="65" spans="2:12" x14ac:dyDescent="0.2">
      <c r="B65" s="247">
        <v>6.8</v>
      </c>
      <c r="C65" s="56"/>
      <c r="D65" s="56"/>
      <c r="E65" s="56"/>
      <c r="F65" s="56"/>
      <c r="G65" s="80" t="e">
        <f t="shared" si="6"/>
        <v>#N/A</v>
      </c>
      <c r="H65" s="80" t="e">
        <f t="shared" si="7"/>
        <v>#N/A</v>
      </c>
      <c r="I65" s="80" t="e">
        <f t="shared" si="8"/>
        <v>#N/A</v>
      </c>
      <c r="J65" s="80" t="e">
        <f t="shared" si="9"/>
        <v>#N/A</v>
      </c>
      <c r="K65" s="80" t="e">
        <f t="shared" si="4"/>
        <v>#N/A</v>
      </c>
      <c r="L65" s="80" t="e">
        <f t="shared" si="5"/>
        <v>#N/A</v>
      </c>
    </row>
    <row r="66" spans="2:12" x14ac:dyDescent="0.2">
      <c r="B66" s="246">
        <v>7.1</v>
      </c>
      <c r="C66" s="57"/>
      <c r="D66" s="57"/>
      <c r="E66" s="57"/>
      <c r="F66" s="57"/>
      <c r="G66" s="81" t="e">
        <f t="shared" si="6"/>
        <v>#N/A</v>
      </c>
      <c r="H66" s="81" t="e">
        <f t="shared" si="7"/>
        <v>#N/A</v>
      </c>
      <c r="I66" s="81" t="e">
        <f t="shared" si="8"/>
        <v>#N/A</v>
      </c>
      <c r="J66" s="81" t="e">
        <f t="shared" si="9"/>
        <v>#N/A</v>
      </c>
      <c r="K66" s="81" t="e">
        <f t="shared" si="4"/>
        <v>#N/A</v>
      </c>
      <c r="L66" s="81" t="e">
        <f t="shared" si="5"/>
        <v>#N/A</v>
      </c>
    </row>
    <row r="67" spans="2:12" x14ac:dyDescent="0.2">
      <c r="B67" s="247">
        <v>7.2</v>
      </c>
      <c r="C67" s="56"/>
      <c r="D67" s="56"/>
      <c r="E67" s="56"/>
      <c r="F67" s="56"/>
      <c r="G67" s="80" t="e">
        <f t="shared" si="6"/>
        <v>#N/A</v>
      </c>
      <c r="H67" s="80" t="e">
        <f t="shared" si="7"/>
        <v>#N/A</v>
      </c>
      <c r="I67" s="80" t="e">
        <f t="shared" si="8"/>
        <v>#N/A</v>
      </c>
      <c r="J67" s="80" t="e">
        <f t="shared" si="9"/>
        <v>#N/A</v>
      </c>
      <c r="K67" s="80" t="e">
        <f t="shared" si="4"/>
        <v>#N/A</v>
      </c>
      <c r="L67" s="80" t="e">
        <f t="shared" si="5"/>
        <v>#N/A</v>
      </c>
    </row>
    <row r="68" spans="2:12" x14ac:dyDescent="0.2">
      <c r="B68" s="246">
        <v>7.3</v>
      </c>
      <c r="C68" s="57"/>
      <c r="D68" s="57"/>
      <c r="E68" s="57"/>
      <c r="F68" s="57"/>
      <c r="G68" s="81" t="e">
        <f t="shared" si="6"/>
        <v>#N/A</v>
      </c>
      <c r="H68" s="81" t="e">
        <f t="shared" si="7"/>
        <v>#N/A</v>
      </c>
      <c r="I68" s="81" t="e">
        <f t="shared" si="8"/>
        <v>#N/A</v>
      </c>
      <c r="J68" s="81" t="e">
        <f t="shared" si="9"/>
        <v>#N/A</v>
      </c>
      <c r="K68" s="81" t="e">
        <f t="shared" si="4"/>
        <v>#N/A</v>
      </c>
      <c r="L68" s="81" t="e">
        <f t="shared" si="5"/>
        <v>#N/A</v>
      </c>
    </row>
    <row r="69" spans="2:12" x14ac:dyDescent="0.2">
      <c r="B69" s="247">
        <v>7.4</v>
      </c>
      <c r="C69" s="56"/>
      <c r="D69" s="56"/>
      <c r="E69" s="56"/>
      <c r="F69" s="56"/>
      <c r="G69" s="80" t="e">
        <f t="shared" si="6"/>
        <v>#N/A</v>
      </c>
      <c r="H69" s="80" t="e">
        <f t="shared" si="7"/>
        <v>#N/A</v>
      </c>
      <c r="I69" s="80" t="e">
        <f t="shared" si="8"/>
        <v>#N/A</v>
      </c>
      <c r="J69" s="80" t="e">
        <f t="shared" si="9"/>
        <v>#N/A</v>
      </c>
      <c r="K69" s="80" t="e">
        <f t="shared" si="4"/>
        <v>#N/A</v>
      </c>
      <c r="L69" s="80" t="e">
        <f t="shared" si="5"/>
        <v>#N/A</v>
      </c>
    </row>
    <row r="70" spans="2:12" x14ac:dyDescent="0.2">
      <c r="B70" s="246">
        <v>7.5</v>
      </c>
      <c r="C70" s="57"/>
      <c r="D70" s="57"/>
      <c r="E70" s="57"/>
      <c r="F70" s="57"/>
      <c r="G70" s="81" t="e">
        <f t="shared" si="6"/>
        <v>#N/A</v>
      </c>
      <c r="H70" s="81" t="e">
        <f t="shared" si="7"/>
        <v>#N/A</v>
      </c>
      <c r="I70" s="81" t="e">
        <f t="shared" si="8"/>
        <v>#N/A</v>
      </c>
      <c r="J70" s="81" t="e">
        <f t="shared" si="9"/>
        <v>#N/A</v>
      </c>
      <c r="K70" s="81" t="e">
        <f t="shared" si="4"/>
        <v>#N/A</v>
      </c>
      <c r="L70" s="81" t="e">
        <f t="shared" si="5"/>
        <v>#N/A</v>
      </c>
    </row>
    <row r="71" spans="2:12" x14ac:dyDescent="0.2">
      <c r="B71" s="247">
        <v>7.6</v>
      </c>
      <c r="C71" s="56"/>
      <c r="D71" s="56"/>
      <c r="E71" s="56"/>
      <c r="F71" s="56"/>
      <c r="G71" s="80" t="e">
        <f t="shared" si="6"/>
        <v>#N/A</v>
      </c>
      <c r="H71" s="80" t="e">
        <f t="shared" si="7"/>
        <v>#N/A</v>
      </c>
      <c r="I71" s="80" t="e">
        <f t="shared" si="8"/>
        <v>#N/A</v>
      </c>
      <c r="J71" s="80" t="e">
        <f t="shared" si="9"/>
        <v>#N/A</v>
      </c>
      <c r="K71" s="80" t="e">
        <f t="shared" si="4"/>
        <v>#N/A</v>
      </c>
      <c r="L71" s="80" t="e">
        <f t="shared" si="5"/>
        <v>#N/A</v>
      </c>
    </row>
    <row r="72" spans="2:12" x14ac:dyDescent="0.2">
      <c r="B72" s="246">
        <v>7.7</v>
      </c>
      <c r="C72" s="57"/>
      <c r="D72" s="57"/>
      <c r="E72" s="57"/>
      <c r="F72" s="57"/>
      <c r="G72" s="81" t="e">
        <f t="shared" si="6"/>
        <v>#N/A</v>
      </c>
      <c r="H72" s="81" t="e">
        <f t="shared" si="7"/>
        <v>#N/A</v>
      </c>
      <c r="I72" s="81" t="e">
        <f t="shared" si="8"/>
        <v>#N/A</v>
      </c>
      <c r="J72" s="81" t="e">
        <f t="shared" si="9"/>
        <v>#N/A</v>
      </c>
      <c r="K72" s="81" t="e">
        <f t="shared" si="4"/>
        <v>#N/A</v>
      </c>
      <c r="L72" s="81" t="e">
        <f t="shared" si="5"/>
        <v>#N/A</v>
      </c>
    </row>
    <row r="73" spans="2:12" x14ac:dyDescent="0.2">
      <c r="B73" s="247">
        <v>8.1</v>
      </c>
      <c r="C73" s="56"/>
      <c r="D73" s="56"/>
      <c r="E73" s="56"/>
      <c r="F73" s="56"/>
      <c r="G73" s="80" t="e">
        <f t="shared" si="6"/>
        <v>#N/A</v>
      </c>
      <c r="H73" s="80" t="e">
        <f t="shared" si="7"/>
        <v>#N/A</v>
      </c>
      <c r="I73" s="80" t="e">
        <f t="shared" si="8"/>
        <v>#N/A</v>
      </c>
      <c r="J73" s="80" t="e">
        <f t="shared" si="9"/>
        <v>#N/A</v>
      </c>
      <c r="K73" s="80" t="e">
        <f t="shared" si="4"/>
        <v>#N/A</v>
      </c>
      <c r="L73" s="80" t="e">
        <f t="shared" si="5"/>
        <v>#N/A</v>
      </c>
    </row>
    <row r="74" spans="2:12" x14ac:dyDescent="0.2">
      <c r="B74" s="246">
        <v>8.1999999999999993</v>
      </c>
      <c r="C74" s="57"/>
      <c r="D74" s="57"/>
      <c r="E74" s="57"/>
      <c r="F74" s="57"/>
      <c r="G74" s="81" t="e">
        <f t="shared" si="6"/>
        <v>#N/A</v>
      </c>
      <c r="H74" s="81" t="e">
        <f t="shared" si="7"/>
        <v>#N/A</v>
      </c>
      <c r="I74" s="81" t="e">
        <f t="shared" si="8"/>
        <v>#N/A</v>
      </c>
      <c r="J74" s="81" t="e">
        <f t="shared" si="9"/>
        <v>#N/A</v>
      </c>
      <c r="K74" s="81" t="e">
        <f t="shared" si="4"/>
        <v>#N/A</v>
      </c>
      <c r="L74" s="81" t="e">
        <f t="shared" si="5"/>
        <v>#N/A</v>
      </c>
    </row>
    <row r="75" spans="2:12" x14ac:dyDescent="0.2">
      <c r="B75" s="247">
        <v>8.3000000000000007</v>
      </c>
      <c r="C75" s="56"/>
      <c r="D75" s="56"/>
      <c r="E75" s="56"/>
      <c r="F75" s="56"/>
      <c r="G75" s="80" t="e">
        <f t="shared" si="6"/>
        <v>#N/A</v>
      </c>
      <c r="H75" s="80" t="e">
        <f t="shared" si="7"/>
        <v>#N/A</v>
      </c>
      <c r="I75" s="80" t="e">
        <f t="shared" si="8"/>
        <v>#N/A</v>
      </c>
      <c r="J75" s="80" t="e">
        <f t="shared" si="9"/>
        <v>#N/A</v>
      </c>
      <c r="K75" s="80" t="e">
        <f t="shared" si="4"/>
        <v>#N/A</v>
      </c>
      <c r="L75" s="80" t="e">
        <f t="shared" si="5"/>
        <v>#N/A</v>
      </c>
    </row>
    <row r="76" spans="2:12" x14ac:dyDescent="0.2">
      <c r="B76" s="246">
        <v>8.4</v>
      </c>
      <c r="C76" s="57"/>
      <c r="D76" s="57"/>
      <c r="E76" s="57"/>
      <c r="F76" s="57"/>
      <c r="G76" s="81" t="e">
        <f t="shared" si="6"/>
        <v>#N/A</v>
      </c>
      <c r="H76" s="81" t="e">
        <f t="shared" si="7"/>
        <v>#N/A</v>
      </c>
      <c r="I76" s="81" t="e">
        <f t="shared" si="8"/>
        <v>#N/A</v>
      </c>
      <c r="J76" s="81" t="e">
        <f t="shared" si="9"/>
        <v>#N/A</v>
      </c>
      <c r="K76" s="81" t="e">
        <f t="shared" si="4"/>
        <v>#N/A</v>
      </c>
      <c r="L76" s="81" t="e">
        <f t="shared" si="5"/>
        <v>#N/A</v>
      </c>
    </row>
    <row r="77" spans="2:12" x14ac:dyDescent="0.2">
      <c r="B77" s="247">
        <v>8.5</v>
      </c>
      <c r="C77" s="56"/>
      <c r="D77" s="56"/>
      <c r="E77" s="56"/>
      <c r="F77" s="56"/>
      <c r="G77" s="80" t="e">
        <f t="shared" si="6"/>
        <v>#N/A</v>
      </c>
      <c r="H77" s="80" t="e">
        <f t="shared" si="7"/>
        <v>#N/A</v>
      </c>
      <c r="I77" s="80" t="e">
        <f t="shared" si="8"/>
        <v>#N/A</v>
      </c>
      <c r="J77" s="80" t="e">
        <f t="shared" si="9"/>
        <v>#N/A</v>
      </c>
      <c r="K77" s="80" t="e">
        <f t="shared" si="4"/>
        <v>#N/A</v>
      </c>
      <c r="L77" s="80" t="e">
        <f t="shared" si="5"/>
        <v>#N/A</v>
      </c>
    </row>
    <row r="78" spans="2:12" x14ac:dyDescent="0.2">
      <c r="B78" s="246">
        <v>8.6</v>
      </c>
      <c r="C78" s="57"/>
      <c r="D78" s="57"/>
      <c r="E78" s="57"/>
      <c r="F78" s="57"/>
      <c r="G78" s="81" t="e">
        <f t="shared" ref="G78:G109" si="10">VLOOKUP(C78,$C$4:$G$10,5,FALSE)</f>
        <v>#N/A</v>
      </c>
      <c r="H78" s="81" t="e">
        <f t="shared" ref="H78:H109" si="11">VLOOKUP(D78,$D$4:$G$10,4,FALSE)</f>
        <v>#N/A</v>
      </c>
      <c r="I78" s="81" t="e">
        <f t="shared" ref="I78:I109" si="12">VLOOKUP(E78,$E$4:$G$10,3,FALSE)</f>
        <v>#N/A</v>
      </c>
      <c r="J78" s="81" t="e">
        <f t="shared" ref="J78:J109" si="13">VLOOKUP(F78,$F$4:$G$10,2,FALSE)</f>
        <v>#N/A</v>
      </c>
      <c r="K78" s="81" t="e">
        <f t="shared" si="4"/>
        <v>#N/A</v>
      </c>
      <c r="L78" s="81" t="e">
        <f t="shared" si="5"/>
        <v>#N/A</v>
      </c>
    </row>
    <row r="79" spans="2:12" x14ac:dyDescent="0.2">
      <c r="B79" s="247">
        <v>8.6999999999999993</v>
      </c>
      <c r="C79" s="56"/>
      <c r="D79" s="56"/>
      <c r="E79" s="56"/>
      <c r="F79" s="56"/>
      <c r="G79" s="80" t="e">
        <f t="shared" si="10"/>
        <v>#N/A</v>
      </c>
      <c r="H79" s="80" t="e">
        <f t="shared" si="11"/>
        <v>#N/A</v>
      </c>
      <c r="I79" s="80" t="e">
        <f t="shared" si="12"/>
        <v>#N/A</v>
      </c>
      <c r="J79" s="80" t="e">
        <f t="shared" si="13"/>
        <v>#N/A</v>
      </c>
      <c r="K79" s="80" t="e">
        <f t="shared" ref="K79:K142" si="14">ROUND(AVERAGE(G79:J79),0)</f>
        <v>#N/A</v>
      </c>
      <c r="L79" s="80" t="e">
        <f t="shared" ref="L79:L142" si="15">K79</f>
        <v>#N/A</v>
      </c>
    </row>
    <row r="80" spans="2:12" x14ac:dyDescent="0.2">
      <c r="B80" s="246">
        <v>8.8000000000000007</v>
      </c>
      <c r="C80" s="57"/>
      <c r="D80" s="57"/>
      <c r="E80" s="57"/>
      <c r="F80" s="57"/>
      <c r="G80" s="81" t="e">
        <f t="shared" si="10"/>
        <v>#N/A</v>
      </c>
      <c r="H80" s="81" t="e">
        <f t="shared" si="11"/>
        <v>#N/A</v>
      </c>
      <c r="I80" s="81" t="e">
        <f t="shared" si="12"/>
        <v>#N/A</v>
      </c>
      <c r="J80" s="81" t="e">
        <f t="shared" si="13"/>
        <v>#N/A</v>
      </c>
      <c r="K80" s="81" t="e">
        <f t="shared" si="14"/>
        <v>#N/A</v>
      </c>
      <c r="L80" s="81" t="e">
        <f t="shared" si="15"/>
        <v>#N/A</v>
      </c>
    </row>
    <row r="81" spans="2:12" x14ac:dyDescent="0.2">
      <c r="B81" s="247">
        <v>8.9</v>
      </c>
      <c r="C81" s="56"/>
      <c r="D81" s="56"/>
      <c r="E81" s="56"/>
      <c r="F81" s="56"/>
      <c r="G81" s="80" t="e">
        <f t="shared" si="10"/>
        <v>#N/A</v>
      </c>
      <c r="H81" s="80" t="e">
        <f t="shared" si="11"/>
        <v>#N/A</v>
      </c>
      <c r="I81" s="80" t="e">
        <f t="shared" si="12"/>
        <v>#N/A</v>
      </c>
      <c r="J81" s="80" t="e">
        <f t="shared" si="13"/>
        <v>#N/A</v>
      </c>
      <c r="K81" s="80" t="e">
        <f t="shared" si="14"/>
        <v>#N/A</v>
      </c>
      <c r="L81" s="80" t="e">
        <f t="shared" si="15"/>
        <v>#N/A</v>
      </c>
    </row>
    <row r="82" spans="2:12" x14ac:dyDescent="0.2">
      <c r="B82" s="246" t="s">
        <v>530</v>
      </c>
      <c r="C82" s="57"/>
      <c r="D82" s="57"/>
      <c r="E82" s="57"/>
      <c r="F82" s="57"/>
      <c r="G82" s="81" t="e">
        <f t="shared" si="10"/>
        <v>#N/A</v>
      </c>
      <c r="H82" s="81" t="e">
        <f t="shared" si="11"/>
        <v>#N/A</v>
      </c>
      <c r="I82" s="81" t="e">
        <f t="shared" si="12"/>
        <v>#N/A</v>
      </c>
      <c r="J82" s="81" t="e">
        <f t="shared" si="13"/>
        <v>#N/A</v>
      </c>
      <c r="K82" s="81" t="e">
        <f t="shared" si="14"/>
        <v>#N/A</v>
      </c>
      <c r="L82" s="81" t="e">
        <f t="shared" si="15"/>
        <v>#N/A</v>
      </c>
    </row>
    <row r="83" spans="2:12" x14ac:dyDescent="0.2">
      <c r="B83" s="247">
        <v>8.11</v>
      </c>
      <c r="C83" s="56"/>
      <c r="D83" s="56"/>
      <c r="E83" s="56"/>
      <c r="F83" s="56"/>
      <c r="G83" s="80" t="e">
        <f t="shared" si="10"/>
        <v>#N/A</v>
      </c>
      <c r="H83" s="80" t="e">
        <f t="shared" si="11"/>
        <v>#N/A</v>
      </c>
      <c r="I83" s="80" t="e">
        <f t="shared" si="12"/>
        <v>#N/A</v>
      </c>
      <c r="J83" s="80" t="e">
        <f t="shared" si="13"/>
        <v>#N/A</v>
      </c>
      <c r="K83" s="80" t="e">
        <f t="shared" si="14"/>
        <v>#N/A</v>
      </c>
      <c r="L83" s="80" t="e">
        <f t="shared" si="15"/>
        <v>#N/A</v>
      </c>
    </row>
    <row r="84" spans="2:12" x14ac:dyDescent="0.2">
      <c r="B84" s="246">
        <v>8.1199999999999992</v>
      </c>
      <c r="C84" s="57"/>
      <c r="D84" s="57"/>
      <c r="E84" s="57"/>
      <c r="F84" s="57"/>
      <c r="G84" s="81" t="e">
        <f t="shared" si="10"/>
        <v>#N/A</v>
      </c>
      <c r="H84" s="81" t="e">
        <f t="shared" si="11"/>
        <v>#N/A</v>
      </c>
      <c r="I84" s="81" t="e">
        <f t="shared" si="12"/>
        <v>#N/A</v>
      </c>
      <c r="J84" s="81" t="e">
        <f t="shared" si="13"/>
        <v>#N/A</v>
      </c>
      <c r="K84" s="81" t="e">
        <f t="shared" si="14"/>
        <v>#N/A</v>
      </c>
      <c r="L84" s="81" t="e">
        <f t="shared" si="15"/>
        <v>#N/A</v>
      </c>
    </row>
    <row r="85" spans="2:12" x14ac:dyDescent="0.2">
      <c r="B85" s="247">
        <v>9.1</v>
      </c>
      <c r="C85" s="56"/>
      <c r="D85" s="56"/>
      <c r="E85" s="56"/>
      <c r="F85" s="56"/>
      <c r="G85" s="80" t="e">
        <f t="shared" si="10"/>
        <v>#N/A</v>
      </c>
      <c r="H85" s="80" t="e">
        <f t="shared" si="11"/>
        <v>#N/A</v>
      </c>
      <c r="I85" s="80" t="e">
        <f t="shared" si="12"/>
        <v>#N/A</v>
      </c>
      <c r="J85" s="80" t="e">
        <f t="shared" si="13"/>
        <v>#N/A</v>
      </c>
      <c r="K85" s="80" t="e">
        <f t="shared" si="14"/>
        <v>#N/A</v>
      </c>
      <c r="L85" s="80" t="e">
        <f t="shared" si="15"/>
        <v>#N/A</v>
      </c>
    </row>
    <row r="86" spans="2:12" x14ac:dyDescent="0.2">
      <c r="B86" s="246">
        <v>9.1999999999999993</v>
      </c>
      <c r="C86" s="57"/>
      <c r="D86" s="57"/>
      <c r="E86" s="57"/>
      <c r="F86" s="57"/>
      <c r="G86" s="81" t="e">
        <f t="shared" si="10"/>
        <v>#N/A</v>
      </c>
      <c r="H86" s="81" t="e">
        <f t="shared" si="11"/>
        <v>#N/A</v>
      </c>
      <c r="I86" s="81" t="e">
        <f t="shared" si="12"/>
        <v>#N/A</v>
      </c>
      <c r="J86" s="81" t="e">
        <f t="shared" si="13"/>
        <v>#N/A</v>
      </c>
      <c r="K86" s="81" t="e">
        <f t="shared" si="14"/>
        <v>#N/A</v>
      </c>
      <c r="L86" s="81" t="e">
        <f t="shared" si="15"/>
        <v>#N/A</v>
      </c>
    </row>
    <row r="87" spans="2:12" x14ac:dyDescent="0.2">
      <c r="B87" s="247">
        <v>9.3000000000000007</v>
      </c>
      <c r="C87" s="56"/>
      <c r="D87" s="56"/>
      <c r="E87" s="56"/>
      <c r="F87" s="56"/>
      <c r="G87" s="80" t="e">
        <f t="shared" si="10"/>
        <v>#N/A</v>
      </c>
      <c r="H87" s="80" t="e">
        <f t="shared" si="11"/>
        <v>#N/A</v>
      </c>
      <c r="I87" s="80" t="e">
        <f t="shared" si="12"/>
        <v>#N/A</v>
      </c>
      <c r="J87" s="80" t="e">
        <f t="shared" si="13"/>
        <v>#N/A</v>
      </c>
      <c r="K87" s="80" t="e">
        <f t="shared" si="14"/>
        <v>#N/A</v>
      </c>
      <c r="L87" s="80" t="e">
        <f t="shared" si="15"/>
        <v>#N/A</v>
      </c>
    </row>
    <row r="88" spans="2:12" x14ac:dyDescent="0.2">
      <c r="B88" s="246">
        <v>9.4</v>
      </c>
      <c r="C88" s="57"/>
      <c r="D88" s="57"/>
      <c r="E88" s="57"/>
      <c r="F88" s="57"/>
      <c r="G88" s="81" t="e">
        <f t="shared" si="10"/>
        <v>#N/A</v>
      </c>
      <c r="H88" s="81" t="e">
        <f t="shared" si="11"/>
        <v>#N/A</v>
      </c>
      <c r="I88" s="81" t="e">
        <f t="shared" si="12"/>
        <v>#N/A</v>
      </c>
      <c r="J88" s="81" t="e">
        <f t="shared" si="13"/>
        <v>#N/A</v>
      </c>
      <c r="K88" s="81" t="e">
        <f t="shared" si="14"/>
        <v>#N/A</v>
      </c>
      <c r="L88" s="81" t="e">
        <f t="shared" si="15"/>
        <v>#N/A</v>
      </c>
    </row>
    <row r="89" spans="2:12" x14ac:dyDescent="0.2">
      <c r="B89" s="247">
        <v>9.5</v>
      </c>
      <c r="C89" s="56"/>
      <c r="D89" s="56"/>
      <c r="E89" s="56"/>
      <c r="F89" s="56"/>
      <c r="G89" s="80" t="e">
        <f t="shared" si="10"/>
        <v>#N/A</v>
      </c>
      <c r="H89" s="80" t="e">
        <f t="shared" si="11"/>
        <v>#N/A</v>
      </c>
      <c r="I89" s="80" t="e">
        <f t="shared" si="12"/>
        <v>#N/A</v>
      </c>
      <c r="J89" s="80" t="e">
        <f t="shared" si="13"/>
        <v>#N/A</v>
      </c>
      <c r="K89" s="80" t="e">
        <f t="shared" si="14"/>
        <v>#N/A</v>
      </c>
      <c r="L89" s="80" t="e">
        <f t="shared" si="15"/>
        <v>#N/A</v>
      </c>
    </row>
    <row r="90" spans="2:12" x14ac:dyDescent="0.2">
      <c r="B90" s="246">
        <v>9.6</v>
      </c>
      <c r="C90" s="57"/>
      <c r="D90" s="57"/>
      <c r="E90" s="57"/>
      <c r="F90" s="57"/>
      <c r="G90" s="81" t="e">
        <f t="shared" si="10"/>
        <v>#N/A</v>
      </c>
      <c r="H90" s="81" t="e">
        <f t="shared" si="11"/>
        <v>#N/A</v>
      </c>
      <c r="I90" s="81" t="e">
        <f t="shared" si="12"/>
        <v>#N/A</v>
      </c>
      <c r="J90" s="81" t="e">
        <f t="shared" si="13"/>
        <v>#N/A</v>
      </c>
      <c r="K90" s="81" t="e">
        <f t="shared" si="14"/>
        <v>#N/A</v>
      </c>
      <c r="L90" s="81" t="e">
        <f t="shared" si="15"/>
        <v>#N/A</v>
      </c>
    </row>
    <row r="91" spans="2:12" x14ac:dyDescent="0.2">
      <c r="B91" s="247">
        <v>9.6999999999999993</v>
      </c>
      <c r="C91" s="56"/>
      <c r="D91" s="56"/>
      <c r="E91" s="56"/>
      <c r="F91" s="56"/>
      <c r="G91" s="80" t="e">
        <f t="shared" si="10"/>
        <v>#N/A</v>
      </c>
      <c r="H91" s="80" t="e">
        <f t="shared" si="11"/>
        <v>#N/A</v>
      </c>
      <c r="I91" s="80" t="e">
        <f t="shared" si="12"/>
        <v>#N/A</v>
      </c>
      <c r="J91" s="80" t="e">
        <f t="shared" si="13"/>
        <v>#N/A</v>
      </c>
      <c r="K91" s="80" t="e">
        <f t="shared" si="14"/>
        <v>#N/A</v>
      </c>
      <c r="L91" s="80" t="e">
        <f t="shared" si="15"/>
        <v>#N/A</v>
      </c>
    </row>
    <row r="92" spans="2:12" x14ac:dyDescent="0.2">
      <c r="B92" s="246">
        <v>10.1</v>
      </c>
      <c r="C92" s="57"/>
      <c r="D92" s="57"/>
      <c r="E92" s="57"/>
      <c r="F92" s="57"/>
      <c r="G92" s="81" t="e">
        <f t="shared" si="10"/>
        <v>#N/A</v>
      </c>
      <c r="H92" s="81" t="e">
        <f t="shared" si="11"/>
        <v>#N/A</v>
      </c>
      <c r="I92" s="81" t="e">
        <f t="shared" si="12"/>
        <v>#N/A</v>
      </c>
      <c r="J92" s="81" t="e">
        <f t="shared" si="13"/>
        <v>#N/A</v>
      </c>
      <c r="K92" s="81" t="e">
        <f t="shared" si="14"/>
        <v>#N/A</v>
      </c>
      <c r="L92" s="81" t="e">
        <f t="shared" si="15"/>
        <v>#N/A</v>
      </c>
    </row>
    <row r="93" spans="2:12" x14ac:dyDescent="0.2">
      <c r="B93" s="247">
        <v>10.199999999999999</v>
      </c>
      <c r="C93" s="56"/>
      <c r="D93" s="56"/>
      <c r="E93" s="56"/>
      <c r="F93" s="56"/>
      <c r="G93" s="80" t="e">
        <f t="shared" si="10"/>
        <v>#N/A</v>
      </c>
      <c r="H93" s="80" t="e">
        <f t="shared" si="11"/>
        <v>#N/A</v>
      </c>
      <c r="I93" s="80" t="e">
        <f t="shared" si="12"/>
        <v>#N/A</v>
      </c>
      <c r="J93" s="80" t="e">
        <f t="shared" si="13"/>
        <v>#N/A</v>
      </c>
      <c r="K93" s="80" t="e">
        <f t="shared" si="14"/>
        <v>#N/A</v>
      </c>
      <c r="L93" s="80" t="e">
        <f t="shared" si="15"/>
        <v>#N/A</v>
      </c>
    </row>
    <row r="94" spans="2:12" x14ac:dyDescent="0.2">
      <c r="B94" s="246">
        <v>10.3</v>
      </c>
      <c r="C94" s="57"/>
      <c r="D94" s="57"/>
      <c r="E94" s="57"/>
      <c r="F94" s="57"/>
      <c r="G94" s="81" t="e">
        <f t="shared" si="10"/>
        <v>#N/A</v>
      </c>
      <c r="H94" s="81" t="e">
        <f t="shared" si="11"/>
        <v>#N/A</v>
      </c>
      <c r="I94" s="81" t="e">
        <f t="shared" si="12"/>
        <v>#N/A</v>
      </c>
      <c r="J94" s="81" t="e">
        <f t="shared" si="13"/>
        <v>#N/A</v>
      </c>
      <c r="K94" s="81" t="e">
        <f t="shared" si="14"/>
        <v>#N/A</v>
      </c>
      <c r="L94" s="81" t="e">
        <f t="shared" si="15"/>
        <v>#N/A</v>
      </c>
    </row>
    <row r="95" spans="2:12" x14ac:dyDescent="0.2">
      <c r="B95" s="247">
        <v>10.4</v>
      </c>
      <c r="C95" s="56"/>
      <c r="D95" s="56"/>
      <c r="E95" s="56"/>
      <c r="F95" s="56"/>
      <c r="G95" s="80" t="e">
        <f t="shared" si="10"/>
        <v>#N/A</v>
      </c>
      <c r="H95" s="80" t="e">
        <f t="shared" si="11"/>
        <v>#N/A</v>
      </c>
      <c r="I95" s="80" t="e">
        <f t="shared" si="12"/>
        <v>#N/A</v>
      </c>
      <c r="J95" s="80" t="e">
        <f t="shared" si="13"/>
        <v>#N/A</v>
      </c>
      <c r="K95" s="80" t="e">
        <f t="shared" si="14"/>
        <v>#N/A</v>
      </c>
      <c r="L95" s="80" t="e">
        <f t="shared" si="15"/>
        <v>#N/A</v>
      </c>
    </row>
    <row r="96" spans="2:12" x14ac:dyDescent="0.2">
      <c r="B96" s="246">
        <v>10.5</v>
      </c>
      <c r="C96" s="57"/>
      <c r="D96" s="57"/>
      <c r="E96" s="57"/>
      <c r="F96" s="57"/>
      <c r="G96" s="81" t="e">
        <f t="shared" si="10"/>
        <v>#N/A</v>
      </c>
      <c r="H96" s="81" t="e">
        <f t="shared" si="11"/>
        <v>#N/A</v>
      </c>
      <c r="I96" s="81" t="e">
        <f t="shared" si="12"/>
        <v>#N/A</v>
      </c>
      <c r="J96" s="81" t="e">
        <f t="shared" si="13"/>
        <v>#N/A</v>
      </c>
      <c r="K96" s="81" t="e">
        <f t="shared" si="14"/>
        <v>#N/A</v>
      </c>
      <c r="L96" s="81" t="e">
        <f t="shared" si="15"/>
        <v>#N/A</v>
      </c>
    </row>
    <row r="97" spans="2:12" x14ac:dyDescent="0.2">
      <c r="B97" s="247">
        <v>10.6</v>
      </c>
      <c r="C97" s="56"/>
      <c r="D97" s="56"/>
      <c r="E97" s="56"/>
      <c r="F97" s="56"/>
      <c r="G97" s="80" t="e">
        <f t="shared" si="10"/>
        <v>#N/A</v>
      </c>
      <c r="H97" s="80" t="e">
        <f t="shared" si="11"/>
        <v>#N/A</v>
      </c>
      <c r="I97" s="80" t="e">
        <f t="shared" si="12"/>
        <v>#N/A</v>
      </c>
      <c r="J97" s="80" t="e">
        <f t="shared" si="13"/>
        <v>#N/A</v>
      </c>
      <c r="K97" s="80" t="e">
        <f t="shared" si="14"/>
        <v>#N/A</v>
      </c>
      <c r="L97" s="80" t="e">
        <f t="shared" si="15"/>
        <v>#N/A</v>
      </c>
    </row>
    <row r="98" spans="2:12" x14ac:dyDescent="0.2">
      <c r="B98" s="246">
        <v>10.7</v>
      </c>
      <c r="C98" s="57"/>
      <c r="D98" s="57"/>
      <c r="E98" s="57"/>
      <c r="F98" s="57"/>
      <c r="G98" s="81" t="e">
        <f t="shared" si="10"/>
        <v>#N/A</v>
      </c>
      <c r="H98" s="81" t="e">
        <f t="shared" si="11"/>
        <v>#N/A</v>
      </c>
      <c r="I98" s="81" t="e">
        <f t="shared" si="12"/>
        <v>#N/A</v>
      </c>
      <c r="J98" s="81" t="e">
        <f t="shared" si="13"/>
        <v>#N/A</v>
      </c>
      <c r="K98" s="81" t="e">
        <f t="shared" si="14"/>
        <v>#N/A</v>
      </c>
      <c r="L98" s="81" t="e">
        <f t="shared" si="15"/>
        <v>#N/A</v>
      </c>
    </row>
    <row r="99" spans="2:12" x14ac:dyDescent="0.2">
      <c r="B99" s="247">
        <v>11.1</v>
      </c>
      <c r="C99" s="56"/>
      <c r="D99" s="56"/>
      <c r="E99" s="56"/>
      <c r="F99" s="56"/>
      <c r="G99" s="80" t="e">
        <f t="shared" si="10"/>
        <v>#N/A</v>
      </c>
      <c r="H99" s="80" t="e">
        <f t="shared" si="11"/>
        <v>#N/A</v>
      </c>
      <c r="I99" s="80" t="e">
        <f t="shared" si="12"/>
        <v>#N/A</v>
      </c>
      <c r="J99" s="80" t="e">
        <f t="shared" si="13"/>
        <v>#N/A</v>
      </c>
      <c r="K99" s="80" t="e">
        <f t="shared" si="14"/>
        <v>#N/A</v>
      </c>
      <c r="L99" s="80" t="e">
        <f t="shared" si="15"/>
        <v>#N/A</v>
      </c>
    </row>
    <row r="100" spans="2:12" x14ac:dyDescent="0.2">
      <c r="B100" s="246">
        <v>11.2</v>
      </c>
      <c r="C100" s="57"/>
      <c r="D100" s="57"/>
      <c r="E100" s="57"/>
      <c r="F100" s="57"/>
      <c r="G100" s="81" t="e">
        <f t="shared" si="10"/>
        <v>#N/A</v>
      </c>
      <c r="H100" s="81" t="e">
        <f t="shared" si="11"/>
        <v>#N/A</v>
      </c>
      <c r="I100" s="81" t="e">
        <f t="shared" si="12"/>
        <v>#N/A</v>
      </c>
      <c r="J100" s="81" t="e">
        <f t="shared" si="13"/>
        <v>#N/A</v>
      </c>
      <c r="K100" s="81" t="e">
        <f t="shared" si="14"/>
        <v>#N/A</v>
      </c>
      <c r="L100" s="81" t="e">
        <f t="shared" si="15"/>
        <v>#N/A</v>
      </c>
    </row>
    <row r="101" spans="2:12" x14ac:dyDescent="0.2">
      <c r="B101" s="247">
        <v>11.3</v>
      </c>
      <c r="C101" s="56"/>
      <c r="D101" s="56"/>
      <c r="E101" s="56"/>
      <c r="F101" s="56"/>
      <c r="G101" s="80" t="e">
        <f t="shared" si="10"/>
        <v>#N/A</v>
      </c>
      <c r="H101" s="80" t="e">
        <f t="shared" si="11"/>
        <v>#N/A</v>
      </c>
      <c r="I101" s="80" t="e">
        <f t="shared" si="12"/>
        <v>#N/A</v>
      </c>
      <c r="J101" s="80" t="e">
        <f t="shared" si="13"/>
        <v>#N/A</v>
      </c>
      <c r="K101" s="80" t="e">
        <f t="shared" si="14"/>
        <v>#N/A</v>
      </c>
      <c r="L101" s="80" t="e">
        <f t="shared" si="15"/>
        <v>#N/A</v>
      </c>
    </row>
    <row r="102" spans="2:12" x14ac:dyDescent="0.2">
      <c r="B102" s="246">
        <v>11.4</v>
      </c>
      <c r="C102" s="57"/>
      <c r="D102" s="57"/>
      <c r="E102" s="57"/>
      <c r="F102" s="57"/>
      <c r="G102" s="81" t="e">
        <f t="shared" si="10"/>
        <v>#N/A</v>
      </c>
      <c r="H102" s="81" t="e">
        <f t="shared" si="11"/>
        <v>#N/A</v>
      </c>
      <c r="I102" s="81" t="e">
        <f t="shared" si="12"/>
        <v>#N/A</v>
      </c>
      <c r="J102" s="81" t="e">
        <f t="shared" si="13"/>
        <v>#N/A</v>
      </c>
      <c r="K102" s="81" t="e">
        <f t="shared" si="14"/>
        <v>#N/A</v>
      </c>
      <c r="L102" s="81" t="e">
        <f t="shared" si="15"/>
        <v>#N/A</v>
      </c>
    </row>
    <row r="103" spans="2:12" x14ac:dyDescent="0.2">
      <c r="B103" s="247">
        <v>11.5</v>
      </c>
      <c r="C103" s="56"/>
      <c r="D103" s="56"/>
      <c r="E103" s="56"/>
      <c r="F103" s="56"/>
      <c r="G103" s="80" t="e">
        <f t="shared" si="10"/>
        <v>#N/A</v>
      </c>
      <c r="H103" s="80" t="e">
        <f t="shared" si="11"/>
        <v>#N/A</v>
      </c>
      <c r="I103" s="80" t="e">
        <f t="shared" si="12"/>
        <v>#N/A</v>
      </c>
      <c r="J103" s="80" t="e">
        <f t="shared" si="13"/>
        <v>#N/A</v>
      </c>
      <c r="K103" s="80" t="e">
        <f t="shared" si="14"/>
        <v>#N/A</v>
      </c>
      <c r="L103" s="80" t="e">
        <f t="shared" si="15"/>
        <v>#N/A</v>
      </c>
    </row>
    <row r="104" spans="2:12" x14ac:dyDescent="0.2">
      <c r="B104" s="246">
        <v>12.1</v>
      </c>
      <c r="C104" s="57"/>
      <c r="D104" s="57"/>
      <c r="E104" s="57"/>
      <c r="F104" s="57"/>
      <c r="G104" s="81" t="e">
        <f t="shared" si="10"/>
        <v>#N/A</v>
      </c>
      <c r="H104" s="81" t="e">
        <f t="shared" si="11"/>
        <v>#N/A</v>
      </c>
      <c r="I104" s="81" t="e">
        <f t="shared" si="12"/>
        <v>#N/A</v>
      </c>
      <c r="J104" s="81" t="e">
        <f t="shared" si="13"/>
        <v>#N/A</v>
      </c>
      <c r="K104" s="81" t="e">
        <f t="shared" si="14"/>
        <v>#N/A</v>
      </c>
      <c r="L104" s="81" t="e">
        <f t="shared" si="15"/>
        <v>#N/A</v>
      </c>
    </row>
    <row r="105" spans="2:12" x14ac:dyDescent="0.2">
      <c r="B105" s="247">
        <v>12.2</v>
      </c>
      <c r="C105" s="56"/>
      <c r="D105" s="56"/>
      <c r="E105" s="56"/>
      <c r="F105" s="56"/>
      <c r="G105" s="80" t="e">
        <f t="shared" si="10"/>
        <v>#N/A</v>
      </c>
      <c r="H105" s="80" t="e">
        <f t="shared" si="11"/>
        <v>#N/A</v>
      </c>
      <c r="I105" s="80" t="e">
        <f t="shared" si="12"/>
        <v>#N/A</v>
      </c>
      <c r="J105" s="80" t="e">
        <f t="shared" si="13"/>
        <v>#N/A</v>
      </c>
      <c r="K105" s="80" t="e">
        <f t="shared" si="14"/>
        <v>#N/A</v>
      </c>
      <c r="L105" s="80" t="e">
        <f t="shared" si="15"/>
        <v>#N/A</v>
      </c>
    </row>
    <row r="106" spans="2:12" x14ac:dyDescent="0.2">
      <c r="B106" s="246">
        <v>12.3</v>
      </c>
      <c r="C106" s="57"/>
      <c r="D106" s="57"/>
      <c r="E106" s="57"/>
      <c r="F106" s="57"/>
      <c r="G106" s="81" t="e">
        <f t="shared" si="10"/>
        <v>#N/A</v>
      </c>
      <c r="H106" s="81" t="e">
        <f t="shared" si="11"/>
        <v>#N/A</v>
      </c>
      <c r="I106" s="81" t="e">
        <f t="shared" si="12"/>
        <v>#N/A</v>
      </c>
      <c r="J106" s="81" t="e">
        <f t="shared" si="13"/>
        <v>#N/A</v>
      </c>
      <c r="K106" s="81" t="e">
        <f t="shared" si="14"/>
        <v>#N/A</v>
      </c>
      <c r="L106" s="81" t="e">
        <f t="shared" si="15"/>
        <v>#N/A</v>
      </c>
    </row>
    <row r="107" spans="2:12" x14ac:dyDescent="0.2">
      <c r="B107" s="247">
        <v>12.4</v>
      </c>
      <c r="C107" s="56"/>
      <c r="D107" s="56"/>
      <c r="E107" s="56"/>
      <c r="F107" s="56"/>
      <c r="G107" s="80" t="e">
        <f t="shared" si="10"/>
        <v>#N/A</v>
      </c>
      <c r="H107" s="80" t="e">
        <f t="shared" si="11"/>
        <v>#N/A</v>
      </c>
      <c r="I107" s="80" t="e">
        <f t="shared" si="12"/>
        <v>#N/A</v>
      </c>
      <c r="J107" s="80" t="e">
        <f t="shared" si="13"/>
        <v>#N/A</v>
      </c>
      <c r="K107" s="80" t="e">
        <f t="shared" si="14"/>
        <v>#N/A</v>
      </c>
      <c r="L107" s="80" t="e">
        <f t="shared" si="15"/>
        <v>#N/A</v>
      </c>
    </row>
    <row r="108" spans="2:12" x14ac:dyDescent="0.2">
      <c r="B108" s="246">
        <v>12.5</v>
      </c>
      <c r="C108" s="57"/>
      <c r="D108" s="57"/>
      <c r="E108" s="57"/>
      <c r="F108" s="57"/>
      <c r="G108" s="81" t="e">
        <f t="shared" si="10"/>
        <v>#N/A</v>
      </c>
      <c r="H108" s="81" t="e">
        <f t="shared" si="11"/>
        <v>#N/A</v>
      </c>
      <c r="I108" s="81" t="e">
        <f t="shared" si="12"/>
        <v>#N/A</v>
      </c>
      <c r="J108" s="81" t="e">
        <f t="shared" si="13"/>
        <v>#N/A</v>
      </c>
      <c r="K108" s="81" t="e">
        <f t="shared" si="14"/>
        <v>#N/A</v>
      </c>
      <c r="L108" s="81" t="e">
        <f t="shared" si="15"/>
        <v>#N/A</v>
      </c>
    </row>
    <row r="109" spans="2:12" x14ac:dyDescent="0.2">
      <c r="B109" s="247">
        <v>12.6</v>
      </c>
      <c r="C109" s="56"/>
      <c r="D109" s="56"/>
      <c r="E109" s="56"/>
      <c r="F109" s="56"/>
      <c r="G109" s="80" t="e">
        <f t="shared" si="10"/>
        <v>#N/A</v>
      </c>
      <c r="H109" s="80" t="e">
        <f t="shared" si="11"/>
        <v>#N/A</v>
      </c>
      <c r="I109" s="80" t="e">
        <f t="shared" si="12"/>
        <v>#N/A</v>
      </c>
      <c r="J109" s="80" t="e">
        <f t="shared" si="13"/>
        <v>#N/A</v>
      </c>
      <c r="K109" s="80" t="e">
        <f t="shared" si="14"/>
        <v>#N/A</v>
      </c>
      <c r="L109" s="80" t="e">
        <f t="shared" si="15"/>
        <v>#N/A</v>
      </c>
    </row>
    <row r="110" spans="2:12" x14ac:dyDescent="0.2">
      <c r="B110" s="246">
        <v>12.7</v>
      </c>
      <c r="C110" s="57"/>
      <c r="D110" s="57"/>
      <c r="E110" s="57"/>
      <c r="F110" s="57"/>
      <c r="G110" s="81" t="e">
        <f t="shared" ref="G110:G143" si="16">VLOOKUP(C110,$C$4:$G$10,5,FALSE)</f>
        <v>#N/A</v>
      </c>
      <c r="H110" s="81" t="e">
        <f t="shared" ref="H110:H143" si="17">VLOOKUP(D110,$D$4:$G$10,4,FALSE)</f>
        <v>#N/A</v>
      </c>
      <c r="I110" s="81" t="e">
        <f t="shared" ref="I110:I143" si="18">VLOOKUP(E110,$E$4:$G$10,3,FALSE)</f>
        <v>#N/A</v>
      </c>
      <c r="J110" s="81" t="e">
        <f t="shared" ref="J110:J143" si="19">VLOOKUP(F110,$F$4:$G$10,2,FALSE)</f>
        <v>#N/A</v>
      </c>
      <c r="K110" s="81" t="e">
        <f t="shared" si="14"/>
        <v>#N/A</v>
      </c>
      <c r="L110" s="81" t="e">
        <f t="shared" si="15"/>
        <v>#N/A</v>
      </c>
    </row>
    <row r="111" spans="2:12" x14ac:dyDescent="0.2">
      <c r="B111" s="247">
        <v>12.8</v>
      </c>
      <c r="C111" s="56"/>
      <c r="D111" s="56"/>
      <c r="E111" s="56"/>
      <c r="F111" s="56"/>
      <c r="G111" s="80" t="e">
        <f t="shared" si="16"/>
        <v>#N/A</v>
      </c>
      <c r="H111" s="80" t="e">
        <f t="shared" si="17"/>
        <v>#N/A</v>
      </c>
      <c r="I111" s="80" t="e">
        <f t="shared" si="18"/>
        <v>#N/A</v>
      </c>
      <c r="J111" s="80" t="e">
        <f t="shared" si="19"/>
        <v>#N/A</v>
      </c>
      <c r="K111" s="80" t="e">
        <f t="shared" si="14"/>
        <v>#N/A</v>
      </c>
      <c r="L111" s="80" t="e">
        <f t="shared" si="15"/>
        <v>#N/A</v>
      </c>
    </row>
    <row r="112" spans="2:12" x14ac:dyDescent="0.2">
      <c r="B112" s="246">
        <v>13.1</v>
      </c>
      <c r="C112" s="57"/>
      <c r="D112" s="57"/>
      <c r="E112" s="57"/>
      <c r="F112" s="57"/>
      <c r="G112" s="81" t="e">
        <f t="shared" si="16"/>
        <v>#N/A</v>
      </c>
      <c r="H112" s="81" t="e">
        <f t="shared" si="17"/>
        <v>#N/A</v>
      </c>
      <c r="I112" s="81" t="e">
        <f t="shared" si="18"/>
        <v>#N/A</v>
      </c>
      <c r="J112" s="81" t="e">
        <f t="shared" si="19"/>
        <v>#N/A</v>
      </c>
      <c r="K112" s="81" t="e">
        <f t="shared" si="14"/>
        <v>#N/A</v>
      </c>
      <c r="L112" s="81" t="e">
        <f t="shared" si="15"/>
        <v>#N/A</v>
      </c>
    </row>
    <row r="113" spans="2:12" x14ac:dyDescent="0.2">
      <c r="B113" s="247">
        <v>13.2</v>
      </c>
      <c r="C113" s="56"/>
      <c r="D113" s="56"/>
      <c r="E113" s="56"/>
      <c r="F113" s="56"/>
      <c r="G113" s="80" t="e">
        <f t="shared" si="16"/>
        <v>#N/A</v>
      </c>
      <c r="H113" s="80" t="e">
        <f t="shared" si="17"/>
        <v>#N/A</v>
      </c>
      <c r="I113" s="80" t="e">
        <f t="shared" si="18"/>
        <v>#N/A</v>
      </c>
      <c r="J113" s="80" t="e">
        <f t="shared" si="19"/>
        <v>#N/A</v>
      </c>
      <c r="K113" s="80" t="e">
        <f t="shared" si="14"/>
        <v>#N/A</v>
      </c>
      <c r="L113" s="80" t="e">
        <f t="shared" si="15"/>
        <v>#N/A</v>
      </c>
    </row>
    <row r="114" spans="2:12" x14ac:dyDescent="0.2">
      <c r="B114" s="246">
        <v>13.3</v>
      </c>
      <c r="C114" s="57"/>
      <c r="D114" s="57"/>
      <c r="E114" s="57"/>
      <c r="F114" s="57"/>
      <c r="G114" s="81" t="e">
        <f t="shared" si="16"/>
        <v>#N/A</v>
      </c>
      <c r="H114" s="81" t="e">
        <f t="shared" si="17"/>
        <v>#N/A</v>
      </c>
      <c r="I114" s="81" t="e">
        <f t="shared" si="18"/>
        <v>#N/A</v>
      </c>
      <c r="J114" s="81" t="e">
        <f t="shared" si="19"/>
        <v>#N/A</v>
      </c>
      <c r="K114" s="81" t="e">
        <f t="shared" si="14"/>
        <v>#N/A</v>
      </c>
      <c r="L114" s="81" t="e">
        <f t="shared" si="15"/>
        <v>#N/A</v>
      </c>
    </row>
    <row r="115" spans="2:12" x14ac:dyDescent="0.2">
      <c r="B115" s="247">
        <v>13.4</v>
      </c>
      <c r="C115" s="56"/>
      <c r="D115" s="56"/>
      <c r="E115" s="56"/>
      <c r="F115" s="56"/>
      <c r="G115" s="80" t="e">
        <f t="shared" si="16"/>
        <v>#N/A</v>
      </c>
      <c r="H115" s="80" t="e">
        <f t="shared" si="17"/>
        <v>#N/A</v>
      </c>
      <c r="I115" s="80" t="e">
        <f t="shared" si="18"/>
        <v>#N/A</v>
      </c>
      <c r="J115" s="80" t="e">
        <f t="shared" si="19"/>
        <v>#N/A</v>
      </c>
      <c r="K115" s="80" t="e">
        <f t="shared" si="14"/>
        <v>#N/A</v>
      </c>
      <c r="L115" s="80" t="e">
        <f t="shared" si="15"/>
        <v>#N/A</v>
      </c>
    </row>
    <row r="116" spans="2:12" x14ac:dyDescent="0.2">
      <c r="B116" s="246">
        <v>13.5</v>
      </c>
      <c r="C116" s="57"/>
      <c r="D116" s="57"/>
      <c r="E116" s="57"/>
      <c r="F116" s="57"/>
      <c r="G116" s="81" t="e">
        <f t="shared" si="16"/>
        <v>#N/A</v>
      </c>
      <c r="H116" s="81" t="e">
        <f t="shared" si="17"/>
        <v>#N/A</v>
      </c>
      <c r="I116" s="81" t="e">
        <f t="shared" si="18"/>
        <v>#N/A</v>
      </c>
      <c r="J116" s="81" t="e">
        <f t="shared" si="19"/>
        <v>#N/A</v>
      </c>
      <c r="K116" s="81" t="e">
        <f t="shared" si="14"/>
        <v>#N/A</v>
      </c>
      <c r="L116" s="81" t="e">
        <f t="shared" si="15"/>
        <v>#N/A</v>
      </c>
    </row>
    <row r="117" spans="2:12" x14ac:dyDescent="0.2">
      <c r="B117" s="247">
        <v>13.6</v>
      </c>
      <c r="C117" s="56"/>
      <c r="D117" s="56"/>
      <c r="E117" s="56"/>
      <c r="F117" s="56"/>
      <c r="G117" s="80" t="e">
        <f t="shared" si="16"/>
        <v>#N/A</v>
      </c>
      <c r="H117" s="80" t="e">
        <f t="shared" si="17"/>
        <v>#N/A</v>
      </c>
      <c r="I117" s="80" t="e">
        <f t="shared" si="18"/>
        <v>#N/A</v>
      </c>
      <c r="J117" s="80" t="e">
        <f t="shared" si="19"/>
        <v>#N/A</v>
      </c>
      <c r="K117" s="80" t="e">
        <f t="shared" si="14"/>
        <v>#N/A</v>
      </c>
      <c r="L117" s="80" t="e">
        <f t="shared" si="15"/>
        <v>#N/A</v>
      </c>
    </row>
    <row r="118" spans="2:12" x14ac:dyDescent="0.2">
      <c r="B118" s="246">
        <v>13.7</v>
      </c>
      <c r="C118" s="57"/>
      <c r="D118" s="57"/>
      <c r="E118" s="57"/>
      <c r="F118" s="57"/>
      <c r="G118" s="81" t="e">
        <f t="shared" si="16"/>
        <v>#N/A</v>
      </c>
      <c r="H118" s="81" t="e">
        <f t="shared" si="17"/>
        <v>#N/A</v>
      </c>
      <c r="I118" s="81" t="e">
        <f t="shared" si="18"/>
        <v>#N/A</v>
      </c>
      <c r="J118" s="81" t="e">
        <f t="shared" si="19"/>
        <v>#N/A</v>
      </c>
      <c r="K118" s="81" t="e">
        <f t="shared" si="14"/>
        <v>#N/A</v>
      </c>
      <c r="L118" s="81" t="e">
        <f t="shared" si="15"/>
        <v>#N/A</v>
      </c>
    </row>
    <row r="119" spans="2:12" x14ac:dyDescent="0.2">
      <c r="B119" s="247">
        <v>13.8</v>
      </c>
      <c r="C119" s="56"/>
      <c r="D119" s="56"/>
      <c r="E119" s="56"/>
      <c r="F119" s="56"/>
      <c r="G119" s="80" t="e">
        <f t="shared" si="16"/>
        <v>#N/A</v>
      </c>
      <c r="H119" s="80" t="e">
        <f t="shared" si="17"/>
        <v>#N/A</v>
      </c>
      <c r="I119" s="80" t="e">
        <f t="shared" si="18"/>
        <v>#N/A</v>
      </c>
      <c r="J119" s="80" t="e">
        <f t="shared" si="19"/>
        <v>#N/A</v>
      </c>
      <c r="K119" s="80" t="e">
        <f t="shared" si="14"/>
        <v>#N/A</v>
      </c>
      <c r="L119" s="80" t="e">
        <f t="shared" si="15"/>
        <v>#N/A</v>
      </c>
    </row>
    <row r="120" spans="2:12" x14ac:dyDescent="0.2">
      <c r="B120" s="246">
        <v>13.9</v>
      </c>
      <c r="C120" s="57"/>
      <c r="D120" s="57"/>
      <c r="E120" s="57"/>
      <c r="F120" s="57"/>
      <c r="G120" s="81" t="e">
        <f t="shared" si="16"/>
        <v>#N/A</v>
      </c>
      <c r="H120" s="81" t="e">
        <f t="shared" si="17"/>
        <v>#N/A</v>
      </c>
      <c r="I120" s="81" t="e">
        <f t="shared" si="18"/>
        <v>#N/A</v>
      </c>
      <c r="J120" s="81" t="e">
        <f t="shared" si="19"/>
        <v>#N/A</v>
      </c>
      <c r="K120" s="81" t="e">
        <f t="shared" si="14"/>
        <v>#N/A</v>
      </c>
      <c r="L120" s="81" t="e">
        <f t="shared" si="15"/>
        <v>#N/A</v>
      </c>
    </row>
    <row r="121" spans="2:12" x14ac:dyDescent="0.2">
      <c r="B121" s="247" t="s">
        <v>534</v>
      </c>
      <c r="C121" s="56"/>
      <c r="D121" s="56"/>
      <c r="E121" s="56"/>
      <c r="F121" s="56"/>
      <c r="G121" s="80" t="e">
        <f t="shared" si="16"/>
        <v>#N/A</v>
      </c>
      <c r="H121" s="80" t="e">
        <f t="shared" si="17"/>
        <v>#N/A</v>
      </c>
      <c r="I121" s="80" t="e">
        <f t="shared" si="18"/>
        <v>#N/A</v>
      </c>
      <c r="J121" s="80" t="e">
        <f t="shared" si="19"/>
        <v>#N/A</v>
      </c>
      <c r="K121" s="80" t="e">
        <f t="shared" si="14"/>
        <v>#N/A</v>
      </c>
      <c r="L121" s="80" t="e">
        <f t="shared" si="15"/>
        <v>#N/A</v>
      </c>
    </row>
    <row r="122" spans="2:12" x14ac:dyDescent="0.2">
      <c r="B122" s="246">
        <v>13.11</v>
      </c>
      <c r="C122" s="57"/>
      <c r="D122" s="57"/>
      <c r="E122" s="57"/>
      <c r="F122" s="57"/>
      <c r="G122" s="81" t="e">
        <f t="shared" si="16"/>
        <v>#N/A</v>
      </c>
      <c r="H122" s="81" t="e">
        <f t="shared" si="17"/>
        <v>#N/A</v>
      </c>
      <c r="I122" s="81" t="e">
        <f t="shared" si="18"/>
        <v>#N/A</v>
      </c>
      <c r="J122" s="81" t="e">
        <f t="shared" si="19"/>
        <v>#N/A</v>
      </c>
      <c r="K122" s="81" t="e">
        <f t="shared" si="14"/>
        <v>#N/A</v>
      </c>
      <c r="L122" s="81" t="e">
        <f t="shared" si="15"/>
        <v>#N/A</v>
      </c>
    </row>
    <row r="123" spans="2:12" x14ac:dyDescent="0.2">
      <c r="B123" s="247">
        <v>14.1</v>
      </c>
      <c r="C123" s="56"/>
      <c r="D123" s="56"/>
      <c r="E123" s="56"/>
      <c r="F123" s="56"/>
      <c r="G123" s="80" t="e">
        <f t="shared" si="16"/>
        <v>#N/A</v>
      </c>
      <c r="H123" s="80" t="e">
        <f t="shared" si="17"/>
        <v>#N/A</v>
      </c>
      <c r="I123" s="80" t="e">
        <f t="shared" si="18"/>
        <v>#N/A</v>
      </c>
      <c r="J123" s="80" t="e">
        <f t="shared" si="19"/>
        <v>#N/A</v>
      </c>
      <c r="K123" s="80" t="e">
        <f t="shared" si="14"/>
        <v>#N/A</v>
      </c>
      <c r="L123" s="80" t="e">
        <f t="shared" si="15"/>
        <v>#N/A</v>
      </c>
    </row>
    <row r="124" spans="2:12" x14ac:dyDescent="0.2">
      <c r="B124" s="246">
        <v>14.2</v>
      </c>
      <c r="C124" s="57"/>
      <c r="D124" s="57"/>
      <c r="E124" s="57"/>
      <c r="F124" s="57"/>
      <c r="G124" s="81" t="e">
        <f t="shared" si="16"/>
        <v>#N/A</v>
      </c>
      <c r="H124" s="81" t="e">
        <f t="shared" si="17"/>
        <v>#N/A</v>
      </c>
      <c r="I124" s="81" t="e">
        <f t="shared" si="18"/>
        <v>#N/A</v>
      </c>
      <c r="J124" s="81" t="e">
        <f t="shared" si="19"/>
        <v>#N/A</v>
      </c>
      <c r="K124" s="81" t="e">
        <f t="shared" si="14"/>
        <v>#N/A</v>
      </c>
      <c r="L124" s="81" t="e">
        <f t="shared" si="15"/>
        <v>#N/A</v>
      </c>
    </row>
    <row r="125" spans="2:12" x14ac:dyDescent="0.2">
      <c r="B125" s="247">
        <v>14.3</v>
      </c>
      <c r="C125" s="56"/>
      <c r="D125" s="56"/>
      <c r="E125" s="56"/>
      <c r="F125" s="56"/>
      <c r="G125" s="80" t="e">
        <f t="shared" si="16"/>
        <v>#N/A</v>
      </c>
      <c r="H125" s="80" t="e">
        <f t="shared" si="17"/>
        <v>#N/A</v>
      </c>
      <c r="I125" s="80" t="e">
        <f t="shared" si="18"/>
        <v>#N/A</v>
      </c>
      <c r="J125" s="80" t="e">
        <f t="shared" si="19"/>
        <v>#N/A</v>
      </c>
      <c r="K125" s="80" t="e">
        <f t="shared" si="14"/>
        <v>#N/A</v>
      </c>
      <c r="L125" s="80" t="e">
        <f t="shared" si="15"/>
        <v>#N/A</v>
      </c>
    </row>
    <row r="126" spans="2:12" x14ac:dyDescent="0.2">
      <c r="B126" s="246">
        <v>14.4</v>
      </c>
      <c r="C126" s="57"/>
      <c r="D126" s="57"/>
      <c r="E126" s="57"/>
      <c r="F126" s="57"/>
      <c r="G126" s="81" t="e">
        <f t="shared" si="16"/>
        <v>#N/A</v>
      </c>
      <c r="H126" s="81" t="e">
        <f t="shared" si="17"/>
        <v>#N/A</v>
      </c>
      <c r="I126" s="81" t="e">
        <f t="shared" si="18"/>
        <v>#N/A</v>
      </c>
      <c r="J126" s="81" t="e">
        <f t="shared" si="19"/>
        <v>#N/A</v>
      </c>
      <c r="K126" s="81" t="e">
        <f t="shared" si="14"/>
        <v>#N/A</v>
      </c>
      <c r="L126" s="81" t="e">
        <f t="shared" si="15"/>
        <v>#N/A</v>
      </c>
    </row>
    <row r="127" spans="2:12" x14ac:dyDescent="0.2">
      <c r="B127" s="247">
        <v>14.5</v>
      </c>
      <c r="C127" s="56"/>
      <c r="D127" s="56"/>
      <c r="E127" s="56"/>
      <c r="F127" s="56"/>
      <c r="G127" s="80" t="e">
        <f t="shared" si="16"/>
        <v>#N/A</v>
      </c>
      <c r="H127" s="80" t="e">
        <f t="shared" si="17"/>
        <v>#N/A</v>
      </c>
      <c r="I127" s="80" t="e">
        <f t="shared" si="18"/>
        <v>#N/A</v>
      </c>
      <c r="J127" s="80" t="e">
        <f t="shared" si="19"/>
        <v>#N/A</v>
      </c>
      <c r="K127" s="80" t="e">
        <f t="shared" si="14"/>
        <v>#N/A</v>
      </c>
      <c r="L127" s="80" t="e">
        <f t="shared" si="15"/>
        <v>#N/A</v>
      </c>
    </row>
    <row r="128" spans="2:12" x14ac:dyDescent="0.2">
      <c r="B128" s="246">
        <v>14.6</v>
      </c>
      <c r="C128" s="57"/>
      <c r="D128" s="57"/>
      <c r="E128" s="57"/>
      <c r="F128" s="57"/>
      <c r="G128" s="81" t="e">
        <f t="shared" si="16"/>
        <v>#N/A</v>
      </c>
      <c r="H128" s="81" t="e">
        <f t="shared" si="17"/>
        <v>#N/A</v>
      </c>
      <c r="I128" s="81" t="e">
        <f t="shared" si="18"/>
        <v>#N/A</v>
      </c>
      <c r="J128" s="81" t="e">
        <f t="shared" si="19"/>
        <v>#N/A</v>
      </c>
      <c r="K128" s="81" t="e">
        <f t="shared" si="14"/>
        <v>#N/A</v>
      </c>
      <c r="L128" s="81" t="e">
        <f t="shared" si="15"/>
        <v>#N/A</v>
      </c>
    </row>
    <row r="129" spans="2:12" x14ac:dyDescent="0.2">
      <c r="B129" s="247">
        <v>14.7</v>
      </c>
      <c r="C129" s="56"/>
      <c r="D129" s="56"/>
      <c r="E129" s="56"/>
      <c r="F129" s="56"/>
      <c r="G129" s="80" t="e">
        <f t="shared" si="16"/>
        <v>#N/A</v>
      </c>
      <c r="H129" s="80" t="e">
        <f t="shared" si="17"/>
        <v>#N/A</v>
      </c>
      <c r="I129" s="80" t="e">
        <f t="shared" si="18"/>
        <v>#N/A</v>
      </c>
      <c r="J129" s="80" t="e">
        <f t="shared" si="19"/>
        <v>#N/A</v>
      </c>
      <c r="K129" s="80" t="e">
        <f t="shared" si="14"/>
        <v>#N/A</v>
      </c>
      <c r="L129" s="80" t="e">
        <f t="shared" si="15"/>
        <v>#N/A</v>
      </c>
    </row>
    <row r="130" spans="2:12" x14ac:dyDescent="0.2">
      <c r="B130" s="246">
        <v>14.8</v>
      </c>
      <c r="C130" s="57"/>
      <c r="D130" s="57"/>
      <c r="E130" s="57"/>
      <c r="F130" s="57"/>
      <c r="G130" s="81" t="e">
        <f t="shared" si="16"/>
        <v>#N/A</v>
      </c>
      <c r="H130" s="81" t="e">
        <f t="shared" si="17"/>
        <v>#N/A</v>
      </c>
      <c r="I130" s="81" t="e">
        <f t="shared" si="18"/>
        <v>#N/A</v>
      </c>
      <c r="J130" s="81" t="e">
        <f t="shared" si="19"/>
        <v>#N/A</v>
      </c>
      <c r="K130" s="81" t="e">
        <f t="shared" si="14"/>
        <v>#N/A</v>
      </c>
      <c r="L130" s="81" t="e">
        <f t="shared" si="15"/>
        <v>#N/A</v>
      </c>
    </row>
    <row r="131" spans="2:12" x14ac:dyDescent="0.2">
      <c r="B131" s="247">
        <v>14.9</v>
      </c>
      <c r="C131" s="56"/>
      <c r="D131" s="56"/>
      <c r="E131" s="56"/>
      <c r="F131" s="56"/>
      <c r="G131" s="80" t="e">
        <f t="shared" si="16"/>
        <v>#N/A</v>
      </c>
      <c r="H131" s="80" t="e">
        <f t="shared" si="17"/>
        <v>#N/A</v>
      </c>
      <c r="I131" s="80" t="e">
        <f t="shared" si="18"/>
        <v>#N/A</v>
      </c>
      <c r="J131" s="80" t="e">
        <f t="shared" si="19"/>
        <v>#N/A</v>
      </c>
      <c r="K131" s="80" t="e">
        <f t="shared" si="14"/>
        <v>#N/A</v>
      </c>
      <c r="L131" s="80" t="e">
        <f t="shared" si="15"/>
        <v>#N/A</v>
      </c>
    </row>
    <row r="132" spans="2:12" x14ac:dyDescent="0.2">
      <c r="B132" s="246">
        <v>15.1</v>
      </c>
      <c r="C132" s="57"/>
      <c r="D132" s="57"/>
      <c r="E132" s="57"/>
      <c r="F132" s="57"/>
      <c r="G132" s="81" t="e">
        <f t="shared" si="16"/>
        <v>#N/A</v>
      </c>
      <c r="H132" s="81" t="e">
        <f t="shared" si="17"/>
        <v>#N/A</v>
      </c>
      <c r="I132" s="81" t="e">
        <f t="shared" si="18"/>
        <v>#N/A</v>
      </c>
      <c r="J132" s="81" t="e">
        <f t="shared" si="19"/>
        <v>#N/A</v>
      </c>
      <c r="K132" s="81" t="e">
        <f t="shared" si="14"/>
        <v>#N/A</v>
      </c>
      <c r="L132" s="81" t="e">
        <f t="shared" si="15"/>
        <v>#N/A</v>
      </c>
    </row>
    <row r="133" spans="2:12" x14ac:dyDescent="0.2">
      <c r="B133" s="247">
        <v>15.2</v>
      </c>
      <c r="C133" s="56"/>
      <c r="D133" s="56"/>
      <c r="E133" s="56"/>
      <c r="F133" s="56"/>
      <c r="G133" s="80" t="e">
        <f t="shared" si="16"/>
        <v>#N/A</v>
      </c>
      <c r="H133" s="80" t="e">
        <f t="shared" si="17"/>
        <v>#N/A</v>
      </c>
      <c r="I133" s="80" t="e">
        <f t="shared" si="18"/>
        <v>#N/A</v>
      </c>
      <c r="J133" s="80" t="e">
        <f t="shared" si="19"/>
        <v>#N/A</v>
      </c>
      <c r="K133" s="80" t="e">
        <f t="shared" si="14"/>
        <v>#N/A</v>
      </c>
      <c r="L133" s="80" t="e">
        <f t="shared" si="15"/>
        <v>#N/A</v>
      </c>
    </row>
    <row r="134" spans="2:12" x14ac:dyDescent="0.2">
      <c r="B134" s="246">
        <v>15.3</v>
      </c>
      <c r="C134" s="57"/>
      <c r="D134" s="57"/>
      <c r="E134" s="57"/>
      <c r="F134" s="57"/>
      <c r="G134" s="81" t="e">
        <f t="shared" si="16"/>
        <v>#N/A</v>
      </c>
      <c r="H134" s="81" t="e">
        <f t="shared" si="17"/>
        <v>#N/A</v>
      </c>
      <c r="I134" s="81" t="e">
        <f t="shared" si="18"/>
        <v>#N/A</v>
      </c>
      <c r="J134" s="81" t="e">
        <f t="shared" si="19"/>
        <v>#N/A</v>
      </c>
      <c r="K134" s="81" t="e">
        <f t="shared" si="14"/>
        <v>#N/A</v>
      </c>
      <c r="L134" s="81" t="e">
        <f t="shared" si="15"/>
        <v>#N/A</v>
      </c>
    </row>
    <row r="135" spans="2:12" x14ac:dyDescent="0.2">
      <c r="B135" s="247">
        <v>15.4</v>
      </c>
      <c r="C135" s="56"/>
      <c r="D135" s="56"/>
      <c r="E135" s="56"/>
      <c r="F135" s="56"/>
      <c r="G135" s="80" t="e">
        <f t="shared" si="16"/>
        <v>#N/A</v>
      </c>
      <c r="H135" s="80" t="e">
        <f t="shared" si="17"/>
        <v>#N/A</v>
      </c>
      <c r="I135" s="80" t="e">
        <f t="shared" si="18"/>
        <v>#N/A</v>
      </c>
      <c r="J135" s="80" t="e">
        <f t="shared" si="19"/>
        <v>#N/A</v>
      </c>
      <c r="K135" s="80" t="e">
        <f t="shared" si="14"/>
        <v>#N/A</v>
      </c>
      <c r="L135" s="80" t="e">
        <f t="shared" si="15"/>
        <v>#N/A</v>
      </c>
    </row>
    <row r="136" spans="2:12" x14ac:dyDescent="0.2">
      <c r="B136" s="246">
        <v>15.5</v>
      </c>
      <c r="C136" s="57"/>
      <c r="D136" s="57"/>
      <c r="E136" s="57"/>
      <c r="F136" s="57"/>
      <c r="G136" s="81" t="e">
        <f t="shared" si="16"/>
        <v>#N/A</v>
      </c>
      <c r="H136" s="81" t="e">
        <f t="shared" si="17"/>
        <v>#N/A</v>
      </c>
      <c r="I136" s="81" t="e">
        <f t="shared" si="18"/>
        <v>#N/A</v>
      </c>
      <c r="J136" s="81" t="e">
        <f t="shared" si="19"/>
        <v>#N/A</v>
      </c>
      <c r="K136" s="81" t="e">
        <f t="shared" si="14"/>
        <v>#N/A</v>
      </c>
      <c r="L136" s="81" t="e">
        <f t="shared" si="15"/>
        <v>#N/A</v>
      </c>
    </row>
    <row r="137" spans="2:12" x14ac:dyDescent="0.2">
      <c r="B137" s="247">
        <v>15.6</v>
      </c>
      <c r="C137" s="56"/>
      <c r="D137" s="56"/>
      <c r="E137" s="56"/>
      <c r="F137" s="56"/>
      <c r="G137" s="80" t="e">
        <f t="shared" si="16"/>
        <v>#N/A</v>
      </c>
      <c r="H137" s="80" t="e">
        <f t="shared" si="17"/>
        <v>#N/A</v>
      </c>
      <c r="I137" s="80" t="e">
        <f t="shared" si="18"/>
        <v>#N/A</v>
      </c>
      <c r="J137" s="80" t="e">
        <f t="shared" si="19"/>
        <v>#N/A</v>
      </c>
      <c r="K137" s="80" t="e">
        <f t="shared" si="14"/>
        <v>#N/A</v>
      </c>
      <c r="L137" s="80" t="e">
        <f t="shared" si="15"/>
        <v>#N/A</v>
      </c>
    </row>
    <row r="138" spans="2:12" x14ac:dyDescent="0.2">
      <c r="B138" s="246">
        <v>15.7</v>
      </c>
      <c r="C138" s="57"/>
      <c r="D138" s="57"/>
      <c r="E138" s="57"/>
      <c r="F138" s="57"/>
      <c r="G138" s="81" t="e">
        <f t="shared" si="16"/>
        <v>#N/A</v>
      </c>
      <c r="H138" s="81" t="e">
        <f t="shared" si="17"/>
        <v>#N/A</v>
      </c>
      <c r="I138" s="81" t="e">
        <f t="shared" si="18"/>
        <v>#N/A</v>
      </c>
      <c r="J138" s="81" t="e">
        <f t="shared" si="19"/>
        <v>#N/A</v>
      </c>
      <c r="K138" s="81" t="e">
        <f t="shared" si="14"/>
        <v>#N/A</v>
      </c>
      <c r="L138" s="81" t="e">
        <f t="shared" si="15"/>
        <v>#N/A</v>
      </c>
    </row>
    <row r="139" spans="2:12" x14ac:dyDescent="0.2">
      <c r="B139" s="247">
        <v>16.100000000000001</v>
      </c>
      <c r="C139" s="56"/>
      <c r="D139" s="56"/>
      <c r="E139" s="56"/>
      <c r="F139" s="56"/>
      <c r="G139" s="80" t="e">
        <f t="shared" si="16"/>
        <v>#N/A</v>
      </c>
      <c r="H139" s="80" t="e">
        <f t="shared" si="17"/>
        <v>#N/A</v>
      </c>
      <c r="I139" s="80" t="e">
        <f t="shared" si="18"/>
        <v>#N/A</v>
      </c>
      <c r="J139" s="80" t="e">
        <f t="shared" si="19"/>
        <v>#N/A</v>
      </c>
      <c r="K139" s="80" t="e">
        <f t="shared" si="14"/>
        <v>#N/A</v>
      </c>
      <c r="L139" s="80" t="e">
        <f t="shared" si="15"/>
        <v>#N/A</v>
      </c>
    </row>
    <row r="140" spans="2:12" x14ac:dyDescent="0.2">
      <c r="B140" s="246">
        <v>16.2</v>
      </c>
      <c r="C140" s="57"/>
      <c r="D140" s="57"/>
      <c r="E140" s="57"/>
      <c r="F140" s="57"/>
      <c r="G140" s="81" t="e">
        <f t="shared" si="16"/>
        <v>#N/A</v>
      </c>
      <c r="H140" s="81" t="e">
        <f t="shared" si="17"/>
        <v>#N/A</v>
      </c>
      <c r="I140" s="81" t="e">
        <f t="shared" si="18"/>
        <v>#N/A</v>
      </c>
      <c r="J140" s="81" t="e">
        <f t="shared" si="19"/>
        <v>#N/A</v>
      </c>
      <c r="K140" s="81" t="e">
        <f t="shared" si="14"/>
        <v>#N/A</v>
      </c>
      <c r="L140" s="81" t="e">
        <f t="shared" si="15"/>
        <v>#N/A</v>
      </c>
    </row>
    <row r="141" spans="2:12" x14ac:dyDescent="0.2">
      <c r="B141" s="247">
        <v>16.3</v>
      </c>
      <c r="C141" s="56"/>
      <c r="D141" s="56"/>
      <c r="E141" s="56"/>
      <c r="F141" s="56"/>
      <c r="G141" s="80" t="e">
        <f t="shared" si="16"/>
        <v>#N/A</v>
      </c>
      <c r="H141" s="80" t="e">
        <f t="shared" si="17"/>
        <v>#N/A</v>
      </c>
      <c r="I141" s="80" t="e">
        <f t="shared" si="18"/>
        <v>#N/A</v>
      </c>
      <c r="J141" s="80" t="e">
        <f t="shared" si="19"/>
        <v>#N/A</v>
      </c>
      <c r="K141" s="80" t="e">
        <f t="shared" si="14"/>
        <v>#N/A</v>
      </c>
      <c r="L141" s="80" t="e">
        <f t="shared" si="15"/>
        <v>#N/A</v>
      </c>
    </row>
    <row r="142" spans="2:12" x14ac:dyDescent="0.2">
      <c r="B142" s="246">
        <v>16.399999999999999</v>
      </c>
      <c r="C142" s="57"/>
      <c r="D142" s="57"/>
      <c r="E142" s="57"/>
      <c r="F142" s="57"/>
      <c r="G142" s="81" t="e">
        <f t="shared" si="16"/>
        <v>#N/A</v>
      </c>
      <c r="H142" s="81" t="e">
        <f t="shared" si="17"/>
        <v>#N/A</v>
      </c>
      <c r="I142" s="81" t="e">
        <f t="shared" si="18"/>
        <v>#N/A</v>
      </c>
      <c r="J142" s="81" t="e">
        <f t="shared" si="19"/>
        <v>#N/A</v>
      </c>
      <c r="K142" s="81" t="e">
        <f t="shared" si="14"/>
        <v>#N/A</v>
      </c>
      <c r="L142" s="81" t="e">
        <f t="shared" si="15"/>
        <v>#N/A</v>
      </c>
    </row>
    <row r="143" spans="2:12" x14ac:dyDescent="0.2">
      <c r="B143" s="247">
        <v>16.5</v>
      </c>
      <c r="C143" s="56"/>
      <c r="D143" s="56"/>
      <c r="E143" s="56"/>
      <c r="F143" s="56"/>
      <c r="G143" s="80" t="e">
        <f t="shared" si="16"/>
        <v>#N/A</v>
      </c>
      <c r="H143" s="80" t="e">
        <f t="shared" si="17"/>
        <v>#N/A</v>
      </c>
      <c r="I143" s="80" t="e">
        <f t="shared" si="18"/>
        <v>#N/A</v>
      </c>
      <c r="J143" s="80" t="e">
        <f t="shared" si="19"/>
        <v>#N/A</v>
      </c>
      <c r="K143" s="80" t="e">
        <f t="shared" ref="K143:K166" si="20">ROUND(AVERAGE(G143:J143),0)</f>
        <v>#N/A</v>
      </c>
      <c r="L143" s="80" t="e">
        <f t="shared" ref="L143" si="21">K143</f>
        <v>#N/A</v>
      </c>
    </row>
    <row r="144" spans="2:12" x14ac:dyDescent="0.2">
      <c r="B144" s="246">
        <v>16.600000000000001</v>
      </c>
      <c r="C144" s="57"/>
      <c r="D144" s="57"/>
      <c r="E144" s="57"/>
      <c r="F144" s="57"/>
      <c r="G144" s="81" t="e">
        <f t="shared" ref="G144:G166" si="22">VLOOKUP(C144,$C$4:$G$10,5,FALSE)</f>
        <v>#N/A</v>
      </c>
      <c r="H144" s="81" t="e">
        <f t="shared" ref="H144:H166" si="23">VLOOKUP(D144,$D$4:$G$10,4,FALSE)</f>
        <v>#N/A</v>
      </c>
      <c r="I144" s="81" t="e">
        <f t="shared" ref="I144:I166" si="24">VLOOKUP(E144,$E$4:$G$10,3,FALSE)</f>
        <v>#N/A</v>
      </c>
      <c r="J144" s="81" t="e">
        <f t="shared" ref="J144:J165" si="25">VLOOKUP(F144,$F$4:$G$10,2,FALSE)</f>
        <v>#N/A</v>
      </c>
      <c r="K144" s="81" t="e">
        <f t="shared" si="20"/>
        <v>#N/A</v>
      </c>
      <c r="L144" s="81" t="e">
        <f>K144</f>
        <v>#N/A</v>
      </c>
    </row>
    <row r="145" spans="2:12" x14ac:dyDescent="0.2">
      <c r="B145" s="247">
        <v>16.7</v>
      </c>
      <c r="C145" s="56"/>
      <c r="D145" s="56"/>
      <c r="E145" s="56"/>
      <c r="F145" s="56"/>
      <c r="G145" s="80" t="e">
        <f t="shared" si="22"/>
        <v>#N/A</v>
      </c>
      <c r="H145" s="80" t="e">
        <f t="shared" si="23"/>
        <v>#N/A</v>
      </c>
      <c r="I145" s="80" t="e">
        <f t="shared" si="24"/>
        <v>#N/A</v>
      </c>
      <c r="J145" s="80" t="e">
        <f t="shared" si="25"/>
        <v>#N/A</v>
      </c>
      <c r="K145" s="80" t="e">
        <f t="shared" si="20"/>
        <v>#N/A</v>
      </c>
      <c r="L145" s="80" t="e">
        <f t="shared" ref="L145:L166" si="26">K145</f>
        <v>#N/A</v>
      </c>
    </row>
    <row r="146" spans="2:12" x14ac:dyDescent="0.2">
      <c r="B146" s="246">
        <v>16.8</v>
      </c>
      <c r="C146" s="57"/>
      <c r="D146" s="57"/>
      <c r="E146" s="57"/>
      <c r="F146" s="57"/>
      <c r="G146" s="81" t="e">
        <f t="shared" si="22"/>
        <v>#N/A</v>
      </c>
      <c r="H146" s="81" t="e">
        <f t="shared" si="23"/>
        <v>#N/A</v>
      </c>
      <c r="I146" s="81" t="e">
        <f t="shared" si="24"/>
        <v>#N/A</v>
      </c>
      <c r="J146" s="81" t="e">
        <f t="shared" si="25"/>
        <v>#N/A</v>
      </c>
      <c r="K146" s="81" t="e">
        <f t="shared" si="20"/>
        <v>#N/A</v>
      </c>
      <c r="L146" s="81" t="e">
        <f t="shared" si="26"/>
        <v>#N/A</v>
      </c>
    </row>
    <row r="147" spans="2:12" x14ac:dyDescent="0.2">
      <c r="B147" s="247">
        <v>16.899999999999999</v>
      </c>
      <c r="C147" s="56"/>
      <c r="D147" s="56"/>
      <c r="E147" s="56"/>
      <c r="F147" s="56"/>
      <c r="G147" s="80" t="e">
        <f t="shared" si="22"/>
        <v>#N/A</v>
      </c>
      <c r="H147" s="80" t="e">
        <f t="shared" si="23"/>
        <v>#N/A</v>
      </c>
      <c r="I147" s="80" t="e">
        <f t="shared" si="24"/>
        <v>#N/A</v>
      </c>
      <c r="J147" s="80" t="e">
        <f t="shared" si="25"/>
        <v>#N/A</v>
      </c>
      <c r="K147" s="80" t="e">
        <f t="shared" si="20"/>
        <v>#N/A</v>
      </c>
      <c r="L147" s="80" t="e">
        <f t="shared" si="26"/>
        <v>#N/A</v>
      </c>
    </row>
    <row r="148" spans="2:12" x14ac:dyDescent="0.2">
      <c r="B148" s="246" t="s">
        <v>460</v>
      </c>
      <c r="C148" s="57"/>
      <c r="D148" s="57"/>
      <c r="E148" s="57"/>
      <c r="F148" s="57"/>
      <c r="G148" s="81" t="e">
        <f t="shared" si="22"/>
        <v>#N/A</v>
      </c>
      <c r="H148" s="81" t="e">
        <f t="shared" si="23"/>
        <v>#N/A</v>
      </c>
      <c r="I148" s="81" t="e">
        <f t="shared" si="24"/>
        <v>#N/A</v>
      </c>
      <c r="J148" s="81" t="e">
        <f t="shared" si="25"/>
        <v>#N/A</v>
      </c>
      <c r="K148" s="81" t="e">
        <f t="shared" si="20"/>
        <v>#N/A</v>
      </c>
      <c r="L148" s="81" t="e">
        <f t="shared" si="26"/>
        <v>#N/A</v>
      </c>
    </row>
    <row r="149" spans="2:12" x14ac:dyDescent="0.2">
      <c r="B149" s="247">
        <v>16.11</v>
      </c>
      <c r="C149" s="56"/>
      <c r="D149" s="56"/>
      <c r="E149" s="56"/>
      <c r="F149" s="56"/>
      <c r="G149" s="80" t="e">
        <f t="shared" si="22"/>
        <v>#N/A</v>
      </c>
      <c r="H149" s="80" t="e">
        <f t="shared" si="23"/>
        <v>#N/A</v>
      </c>
      <c r="I149" s="80" t="e">
        <f t="shared" si="24"/>
        <v>#N/A</v>
      </c>
      <c r="J149" s="80" t="e">
        <f t="shared" si="25"/>
        <v>#N/A</v>
      </c>
      <c r="K149" s="80" t="e">
        <f t="shared" si="20"/>
        <v>#N/A</v>
      </c>
      <c r="L149" s="80" t="e">
        <f t="shared" si="26"/>
        <v>#N/A</v>
      </c>
    </row>
    <row r="150" spans="2:12" x14ac:dyDescent="0.2">
      <c r="B150" s="246">
        <v>16.12</v>
      </c>
      <c r="C150" s="57"/>
      <c r="D150" s="57"/>
      <c r="E150" s="57"/>
      <c r="F150" s="57"/>
      <c r="G150" s="81" t="e">
        <f t="shared" si="22"/>
        <v>#N/A</v>
      </c>
      <c r="H150" s="81" t="e">
        <f t="shared" si="23"/>
        <v>#N/A</v>
      </c>
      <c r="I150" s="81" t="e">
        <f t="shared" si="24"/>
        <v>#N/A</v>
      </c>
      <c r="J150" s="81" t="e">
        <f t="shared" si="25"/>
        <v>#N/A</v>
      </c>
      <c r="K150" s="81" t="e">
        <f t="shared" si="20"/>
        <v>#N/A</v>
      </c>
      <c r="L150" s="81" t="e">
        <f t="shared" si="26"/>
        <v>#N/A</v>
      </c>
    </row>
    <row r="151" spans="2:12" x14ac:dyDescent="0.2">
      <c r="B151" s="247">
        <v>16.13</v>
      </c>
      <c r="C151" s="56"/>
      <c r="D151" s="56"/>
      <c r="E151" s="56"/>
      <c r="F151" s="56"/>
      <c r="G151" s="80" t="e">
        <f t="shared" si="22"/>
        <v>#N/A</v>
      </c>
      <c r="H151" s="80" t="e">
        <f t="shared" si="23"/>
        <v>#N/A</v>
      </c>
      <c r="I151" s="80" t="e">
        <f t="shared" si="24"/>
        <v>#N/A</v>
      </c>
      <c r="J151" s="80" t="e">
        <f t="shared" si="25"/>
        <v>#N/A</v>
      </c>
      <c r="K151" s="80" t="e">
        <f t="shared" si="20"/>
        <v>#N/A</v>
      </c>
      <c r="L151" s="80" t="e">
        <f t="shared" si="26"/>
        <v>#N/A</v>
      </c>
    </row>
    <row r="152" spans="2:12" x14ac:dyDescent="0.2">
      <c r="B152" s="246">
        <v>16.14</v>
      </c>
      <c r="C152" s="57"/>
      <c r="D152" s="57"/>
      <c r="E152" s="57"/>
      <c r="F152" s="57"/>
      <c r="G152" s="81" t="e">
        <f t="shared" si="22"/>
        <v>#N/A</v>
      </c>
      <c r="H152" s="81" t="e">
        <f t="shared" si="23"/>
        <v>#N/A</v>
      </c>
      <c r="I152" s="81" t="e">
        <f t="shared" si="24"/>
        <v>#N/A</v>
      </c>
      <c r="J152" s="81" t="e">
        <f t="shared" si="25"/>
        <v>#N/A</v>
      </c>
      <c r="K152" s="81" t="e">
        <f t="shared" si="20"/>
        <v>#N/A</v>
      </c>
      <c r="L152" s="81" t="e">
        <f t="shared" si="26"/>
        <v>#N/A</v>
      </c>
    </row>
    <row r="153" spans="2:12" x14ac:dyDescent="0.2">
      <c r="B153" s="247">
        <v>17.100000000000001</v>
      </c>
      <c r="C153" s="56"/>
      <c r="D153" s="56"/>
      <c r="E153" s="56"/>
      <c r="F153" s="56"/>
      <c r="G153" s="80" t="e">
        <f t="shared" si="22"/>
        <v>#N/A</v>
      </c>
      <c r="H153" s="80" t="e">
        <f t="shared" si="23"/>
        <v>#N/A</v>
      </c>
      <c r="I153" s="80" t="e">
        <f t="shared" si="24"/>
        <v>#N/A</v>
      </c>
      <c r="J153" s="80" t="e">
        <f t="shared" si="25"/>
        <v>#N/A</v>
      </c>
      <c r="K153" s="80" t="e">
        <f t="shared" si="20"/>
        <v>#N/A</v>
      </c>
      <c r="L153" s="80" t="e">
        <f t="shared" si="26"/>
        <v>#N/A</v>
      </c>
    </row>
    <row r="154" spans="2:12" x14ac:dyDescent="0.2">
      <c r="B154" s="246">
        <v>17.2</v>
      </c>
      <c r="C154" s="57"/>
      <c r="D154" s="57"/>
      <c r="E154" s="57"/>
      <c r="F154" s="57"/>
      <c r="G154" s="81" t="e">
        <f t="shared" si="22"/>
        <v>#N/A</v>
      </c>
      <c r="H154" s="81" t="e">
        <f t="shared" si="23"/>
        <v>#N/A</v>
      </c>
      <c r="I154" s="81" t="e">
        <f t="shared" si="24"/>
        <v>#N/A</v>
      </c>
      <c r="J154" s="81" t="e">
        <f t="shared" si="25"/>
        <v>#N/A</v>
      </c>
      <c r="K154" s="81" t="e">
        <f t="shared" si="20"/>
        <v>#N/A</v>
      </c>
      <c r="L154" s="81" t="e">
        <f t="shared" si="26"/>
        <v>#N/A</v>
      </c>
    </row>
    <row r="155" spans="2:12" x14ac:dyDescent="0.2">
      <c r="B155" s="247">
        <v>17.3</v>
      </c>
      <c r="C155" s="56"/>
      <c r="D155" s="56"/>
      <c r="E155" s="56"/>
      <c r="F155" s="56"/>
      <c r="G155" s="80" t="e">
        <f t="shared" si="22"/>
        <v>#N/A</v>
      </c>
      <c r="H155" s="80" t="e">
        <f t="shared" si="23"/>
        <v>#N/A</v>
      </c>
      <c r="I155" s="80" t="e">
        <f t="shared" si="24"/>
        <v>#N/A</v>
      </c>
      <c r="J155" s="80" t="e">
        <f t="shared" si="25"/>
        <v>#N/A</v>
      </c>
      <c r="K155" s="80" t="e">
        <f t="shared" si="20"/>
        <v>#N/A</v>
      </c>
      <c r="L155" s="80" t="e">
        <f t="shared" si="26"/>
        <v>#N/A</v>
      </c>
    </row>
    <row r="156" spans="2:12" x14ac:dyDescent="0.2">
      <c r="B156" s="246">
        <v>17.399999999999999</v>
      </c>
      <c r="C156" s="57"/>
      <c r="D156" s="57"/>
      <c r="E156" s="57"/>
      <c r="F156" s="57"/>
      <c r="G156" s="81" t="e">
        <f t="shared" si="22"/>
        <v>#N/A</v>
      </c>
      <c r="H156" s="81" t="e">
        <f t="shared" si="23"/>
        <v>#N/A</v>
      </c>
      <c r="I156" s="81" t="e">
        <f t="shared" si="24"/>
        <v>#N/A</v>
      </c>
      <c r="J156" s="81" t="e">
        <f t="shared" si="25"/>
        <v>#N/A</v>
      </c>
      <c r="K156" s="81" t="e">
        <f t="shared" si="20"/>
        <v>#N/A</v>
      </c>
      <c r="L156" s="81" t="e">
        <f t="shared" si="26"/>
        <v>#N/A</v>
      </c>
    </row>
    <row r="157" spans="2:12" x14ac:dyDescent="0.2">
      <c r="B157" s="247">
        <v>17.5</v>
      </c>
      <c r="C157" s="56"/>
      <c r="D157" s="56"/>
      <c r="E157" s="56"/>
      <c r="F157" s="56"/>
      <c r="G157" s="80" t="e">
        <f t="shared" si="22"/>
        <v>#N/A</v>
      </c>
      <c r="H157" s="80" t="e">
        <f t="shared" si="23"/>
        <v>#N/A</v>
      </c>
      <c r="I157" s="80" t="e">
        <f t="shared" si="24"/>
        <v>#N/A</v>
      </c>
      <c r="J157" s="80" t="e">
        <f t="shared" si="25"/>
        <v>#N/A</v>
      </c>
      <c r="K157" s="80" t="e">
        <f t="shared" si="20"/>
        <v>#N/A</v>
      </c>
      <c r="L157" s="80" t="e">
        <f t="shared" si="26"/>
        <v>#N/A</v>
      </c>
    </row>
    <row r="158" spans="2:12" x14ac:dyDescent="0.2">
      <c r="B158" s="246">
        <v>17.600000000000001</v>
      </c>
      <c r="C158" s="57"/>
      <c r="D158" s="57"/>
      <c r="E158" s="57"/>
      <c r="F158" s="57"/>
      <c r="G158" s="81" t="e">
        <f t="shared" si="22"/>
        <v>#N/A</v>
      </c>
      <c r="H158" s="81" t="e">
        <f t="shared" si="23"/>
        <v>#N/A</v>
      </c>
      <c r="I158" s="81" t="e">
        <f t="shared" si="24"/>
        <v>#N/A</v>
      </c>
      <c r="J158" s="81" t="e">
        <f t="shared" si="25"/>
        <v>#N/A</v>
      </c>
      <c r="K158" s="81" t="e">
        <f t="shared" si="20"/>
        <v>#N/A</v>
      </c>
      <c r="L158" s="81" t="e">
        <f t="shared" si="26"/>
        <v>#N/A</v>
      </c>
    </row>
    <row r="159" spans="2:12" x14ac:dyDescent="0.2">
      <c r="B159" s="247">
        <v>17.7</v>
      </c>
      <c r="C159" s="56"/>
      <c r="D159" s="56"/>
      <c r="E159" s="56"/>
      <c r="F159" s="56"/>
      <c r="G159" s="80" t="e">
        <f t="shared" si="22"/>
        <v>#N/A</v>
      </c>
      <c r="H159" s="80" t="e">
        <f t="shared" si="23"/>
        <v>#N/A</v>
      </c>
      <c r="I159" s="80" t="e">
        <f t="shared" si="24"/>
        <v>#N/A</v>
      </c>
      <c r="J159" s="80" t="e">
        <f t="shared" si="25"/>
        <v>#N/A</v>
      </c>
      <c r="K159" s="80" t="e">
        <f t="shared" si="20"/>
        <v>#N/A</v>
      </c>
      <c r="L159" s="80" t="e">
        <f t="shared" si="26"/>
        <v>#N/A</v>
      </c>
    </row>
    <row r="160" spans="2:12" x14ac:dyDescent="0.2">
      <c r="B160" s="246">
        <v>17.8</v>
      </c>
      <c r="C160" s="57"/>
      <c r="D160" s="57"/>
      <c r="E160" s="57"/>
      <c r="F160" s="57"/>
      <c r="G160" s="81" t="e">
        <f t="shared" si="22"/>
        <v>#N/A</v>
      </c>
      <c r="H160" s="81" t="e">
        <f t="shared" si="23"/>
        <v>#N/A</v>
      </c>
      <c r="I160" s="81" t="e">
        <f t="shared" si="24"/>
        <v>#N/A</v>
      </c>
      <c r="J160" s="81" t="e">
        <f t="shared" si="25"/>
        <v>#N/A</v>
      </c>
      <c r="K160" s="81" t="e">
        <f t="shared" si="20"/>
        <v>#N/A</v>
      </c>
      <c r="L160" s="81" t="e">
        <f t="shared" si="26"/>
        <v>#N/A</v>
      </c>
    </row>
    <row r="161" spans="2:12" x14ac:dyDescent="0.2">
      <c r="B161" s="247">
        <v>17.899999999999999</v>
      </c>
      <c r="C161" s="56"/>
      <c r="D161" s="56"/>
      <c r="E161" s="56"/>
      <c r="F161" s="56"/>
      <c r="G161" s="80" t="e">
        <f t="shared" si="22"/>
        <v>#N/A</v>
      </c>
      <c r="H161" s="80" t="e">
        <f t="shared" si="23"/>
        <v>#N/A</v>
      </c>
      <c r="I161" s="80" t="e">
        <f t="shared" si="24"/>
        <v>#N/A</v>
      </c>
      <c r="J161" s="80" t="e">
        <f t="shared" si="25"/>
        <v>#N/A</v>
      </c>
      <c r="K161" s="80" t="e">
        <f t="shared" si="20"/>
        <v>#N/A</v>
      </c>
      <c r="L161" s="80" t="e">
        <f t="shared" si="26"/>
        <v>#N/A</v>
      </c>
    </row>
    <row r="162" spans="2:12" x14ac:dyDescent="0.2">
      <c r="B162" s="246">
        <v>18.100000000000001</v>
      </c>
      <c r="C162" s="57"/>
      <c r="D162" s="57"/>
      <c r="E162" s="57"/>
      <c r="F162" s="57"/>
      <c r="G162" s="81" t="e">
        <f t="shared" si="22"/>
        <v>#N/A</v>
      </c>
      <c r="H162" s="81" t="e">
        <f t="shared" si="23"/>
        <v>#N/A</v>
      </c>
      <c r="I162" s="81" t="e">
        <f t="shared" si="24"/>
        <v>#N/A</v>
      </c>
      <c r="J162" s="81" t="e">
        <f t="shared" si="25"/>
        <v>#N/A</v>
      </c>
      <c r="K162" s="81" t="e">
        <f t="shared" si="20"/>
        <v>#N/A</v>
      </c>
      <c r="L162" s="81" t="e">
        <f t="shared" si="26"/>
        <v>#N/A</v>
      </c>
    </row>
    <row r="163" spans="2:12" x14ac:dyDescent="0.2">
      <c r="B163" s="247">
        <v>18.2</v>
      </c>
      <c r="C163" s="56"/>
      <c r="D163" s="56"/>
      <c r="E163" s="56"/>
      <c r="F163" s="56"/>
      <c r="G163" s="80" t="e">
        <f t="shared" si="22"/>
        <v>#N/A</v>
      </c>
      <c r="H163" s="80" t="e">
        <f t="shared" si="23"/>
        <v>#N/A</v>
      </c>
      <c r="I163" s="80" t="e">
        <f t="shared" si="24"/>
        <v>#N/A</v>
      </c>
      <c r="J163" s="80" t="e">
        <f t="shared" si="25"/>
        <v>#N/A</v>
      </c>
      <c r="K163" s="80" t="e">
        <f t="shared" si="20"/>
        <v>#N/A</v>
      </c>
      <c r="L163" s="80" t="e">
        <f t="shared" si="26"/>
        <v>#N/A</v>
      </c>
    </row>
    <row r="164" spans="2:12" x14ac:dyDescent="0.2">
      <c r="B164" s="246">
        <v>18.3</v>
      </c>
      <c r="C164" s="57"/>
      <c r="D164" s="57"/>
      <c r="E164" s="57"/>
      <c r="F164" s="57"/>
      <c r="G164" s="81" t="e">
        <f t="shared" si="22"/>
        <v>#N/A</v>
      </c>
      <c r="H164" s="81" t="e">
        <f t="shared" si="23"/>
        <v>#N/A</v>
      </c>
      <c r="I164" s="81" t="e">
        <f t="shared" si="24"/>
        <v>#N/A</v>
      </c>
      <c r="J164" s="81" t="e">
        <f t="shared" si="25"/>
        <v>#N/A</v>
      </c>
      <c r="K164" s="81" t="e">
        <f t="shared" si="20"/>
        <v>#N/A</v>
      </c>
      <c r="L164" s="81" t="e">
        <f t="shared" si="26"/>
        <v>#N/A</v>
      </c>
    </row>
    <row r="165" spans="2:12" x14ac:dyDescent="0.2">
      <c r="B165" s="247">
        <v>18.399999999999999</v>
      </c>
      <c r="C165" s="56"/>
      <c r="D165" s="56"/>
      <c r="E165" s="56"/>
      <c r="F165" s="56"/>
      <c r="G165" s="80" t="e">
        <f t="shared" si="22"/>
        <v>#N/A</v>
      </c>
      <c r="H165" s="80" t="e">
        <f t="shared" si="23"/>
        <v>#N/A</v>
      </c>
      <c r="I165" s="80" t="e">
        <f t="shared" si="24"/>
        <v>#N/A</v>
      </c>
      <c r="J165" s="80" t="e">
        <f t="shared" si="25"/>
        <v>#N/A</v>
      </c>
      <c r="K165" s="80" t="e">
        <f t="shared" si="20"/>
        <v>#N/A</v>
      </c>
      <c r="L165" s="80" t="e">
        <f t="shared" si="26"/>
        <v>#N/A</v>
      </c>
    </row>
    <row r="166" spans="2:12" ht="13.5" thickBot="1" x14ac:dyDescent="0.25">
      <c r="B166" s="248">
        <v>18.5</v>
      </c>
      <c r="C166" s="59"/>
      <c r="D166" s="59"/>
      <c r="E166" s="59"/>
      <c r="F166" s="59"/>
      <c r="G166" s="249" t="e">
        <f t="shared" si="22"/>
        <v>#N/A</v>
      </c>
      <c r="H166" s="249" t="e">
        <f t="shared" si="23"/>
        <v>#N/A</v>
      </c>
      <c r="I166" s="249" t="e">
        <f t="shared" si="24"/>
        <v>#N/A</v>
      </c>
      <c r="J166" s="249" t="e">
        <f>VLOOKUP(F166,$F$4:$G$10,2,FALSE)</f>
        <v>#N/A</v>
      </c>
      <c r="K166" s="249" t="e">
        <f t="shared" si="20"/>
        <v>#N/A</v>
      </c>
      <c r="L166" s="249" t="e">
        <f t="shared" si="26"/>
        <v>#N/A</v>
      </c>
    </row>
  </sheetData>
  <sheetProtection sheet="1" objects="1" scenarios="1"/>
  <mergeCells count="6">
    <mergeCell ref="P1:Q1"/>
    <mergeCell ref="C12:F12"/>
    <mergeCell ref="G12:J12"/>
    <mergeCell ref="K12:K13"/>
    <mergeCell ref="L12:L13"/>
    <mergeCell ref="B1:L1"/>
  </mergeCell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8A94-4ACC-47B0-8528-297945FD8928}">
  <sheetPr codeName="Sheet2">
    <tabColor rgb="FFFF0000"/>
  </sheetPr>
  <dimension ref="B1:O69"/>
  <sheetViews>
    <sheetView showGridLines="0" zoomScaleNormal="100" workbookViewId="0">
      <selection activeCell="B2" sqref="B2"/>
    </sheetView>
  </sheetViews>
  <sheetFormatPr defaultColWidth="9.140625" defaultRowHeight="14.25" x14ac:dyDescent="0.2"/>
  <cols>
    <col min="1" max="1" width="9.140625" style="26"/>
    <col min="2" max="2" width="9.140625" style="153"/>
    <col min="3" max="3" width="22.7109375" style="7" customWidth="1"/>
    <col min="4" max="4" width="58" style="7" customWidth="1"/>
    <col min="5" max="5" width="47" style="7" customWidth="1"/>
    <col min="6" max="15" width="9.140625" style="2"/>
    <col min="16" max="16384" width="9.140625" style="26"/>
  </cols>
  <sheetData>
    <row r="1" spans="2:15" ht="15" x14ac:dyDescent="0.2">
      <c r="D1" s="121" t="s">
        <v>152</v>
      </c>
      <c r="E1" s="132" t="s">
        <v>483</v>
      </c>
    </row>
    <row r="2" spans="2:15" ht="39" thickBot="1" x14ac:dyDescent="0.25">
      <c r="B2" s="123">
        <v>1</v>
      </c>
      <c r="C2" s="123" t="s">
        <v>6</v>
      </c>
      <c r="D2" s="96" t="s">
        <v>482</v>
      </c>
      <c r="E2" s="31" t="s">
        <v>496</v>
      </c>
    </row>
    <row r="3" spans="2:15" ht="15" thickTop="1" x14ac:dyDescent="0.2">
      <c r="C3" s="89"/>
      <c r="D3" s="89"/>
      <c r="E3" s="89"/>
    </row>
    <row r="4" spans="2:15" ht="32.25" customHeight="1" x14ac:dyDescent="0.2">
      <c r="C4" s="318" t="s">
        <v>330</v>
      </c>
      <c r="D4" s="319"/>
      <c r="E4" s="320"/>
      <c r="H4" s="368" t="s">
        <v>686</v>
      </c>
      <c r="I4" s="368"/>
      <c r="J4" s="368"/>
      <c r="K4" s="368"/>
      <c r="L4" s="368"/>
      <c r="M4" s="368"/>
      <c r="N4" s="368"/>
      <c r="O4" s="368"/>
    </row>
    <row r="5" spans="2:15" x14ac:dyDescent="0.2">
      <c r="C5" s="89"/>
      <c r="D5" s="89"/>
      <c r="E5" s="89"/>
      <c r="H5" s="368"/>
      <c r="I5" s="368"/>
      <c r="J5" s="368"/>
      <c r="K5" s="368"/>
      <c r="L5" s="368"/>
      <c r="M5" s="368"/>
      <c r="N5" s="368"/>
      <c r="O5" s="368"/>
    </row>
    <row r="6" spans="2:15" ht="14.25" customHeight="1" x14ac:dyDescent="0.2">
      <c r="C6" s="126" t="s">
        <v>238</v>
      </c>
      <c r="D6" s="126" t="s">
        <v>152</v>
      </c>
      <c r="E6" s="126" t="s">
        <v>483</v>
      </c>
      <c r="H6" s="368"/>
      <c r="I6" s="368"/>
      <c r="J6" s="368"/>
      <c r="K6" s="368"/>
      <c r="L6" s="368"/>
      <c r="M6" s="368"/>
      <c r="N6" s="368"/>
      <c r="O6" s="368"/>
    </row>
    <row r="7" spans="2:15" ht="25.5" x14ac:dyDescent="0.2">
      <c r="C7" s="154" t="s">
        <v>153</v>
      </c>
      <c r="D7" s="96" t="s">
        <v>137</v>
      </c>
      <c r="E7" s="116" t="s">
        <v>239</v>
      </c>
    </row>
    <row r="8" spans="2:15" ht="38.25" x14ac:dyDescent="0.2">
      <c r="C8" s="154" t="s">
        <v>134</v>
      </c>
      <c r="D8" s="96" t="s">
        <v>138</v>
      </c>
      <c r="E8" s="116" t="s">
        <v>241</v>
      </c>
    </row>
    <row r="9" spans="2:15" ht="51" x14ac:dyDescent="0.2">
      <c r="C9" s="154" t="s">
        <v>135</v>
      </c>
      <c r="D9" s="96" t="s">
        <v>140</v>
      </c>
      <c r="E9" s="116" t="s">
        <v>242</v>
      </c>
    </row>
    <row r="10" spans="2:15" ht="63.75" x14ac:dyDescent="0.2">
      <c r="C10" s="154" t="s">
        <v>136</v>
      </c>
      <c r="D10" s="96" t="s">
        <v>139</v>
      </c>
      <c r="E10" s="116" t="s">
        <v>243</v>
      </c>
    </row>
    <row r="11" spans="2:15" ht="25.5" x14ac:dyDescent="0.2">
      <c r="C11" s="154" t="s">
        <v>141</v>
      </c>
      <c r="D11" s="96" t="s">
        <v>484</v>
      </c>
      <c r="E11" s="116" t="s">
        <v>240</v>
      </c>
    </row>
    <row r="12" spans="2:15" x14ac:dyDescent="0.2">
      <c r="C12" s="155"/>
      <c r="D12" s="156"/>
      <c r="E12" s="89"/>
    </row>
    <row r="13" spans="2:15" s="86" customFormat="1" ht="12.75" x14ac:dyDescent="0.2">
      <c r="B13" s="153"/>
      <c r="C13" s="94"/>
      <c r="D13" s="94"/>
      <c r="E13" s="93"/>
      <c r="F13" s="2"/>
      <c r="G13" s="2"/>
      <c r="H13" s="2"/>
      <c r="I13" s="2"/>
      <c r="J13" s="2"/>
      <c r="K13" s="2"/>
      <c r="L13" s="2"/>
      <c r="M13" s="2"/>
      <c r="N13" s="2"/>
      <c r="O13" s="2"/>
    </row>
    <row r="14" spans="2:15" ht="15" x14ac:dyDescent="0.2">
      <c r="C14" s="89"/>
      <c r="D14" s="121" t="s">
        <v>152</v>
      </c>
      <c r="E14" s="132" t="s">
        <v>483</v>
      </c>
    </row>
    <row r="15" spans="2:15" ht="45" customHeight="1" thickBot="1" x14ac:dyDescent="0.25">
      <c r="B15" s="123">
        <v>2</v>
      </c>
      <c r="C15" s="123" t="s">
        <v>94</v>
      </c>
      <c r="D15" s="96" t="s">
        <v>142</v>
      </c>
      <c r="E15" s="31" t="s">
        <v>237</v>
      </c>
    </row>
    <row r="16" spans="2:15" ht="15" thickTop="1" x14ac:dyDescent="0.2">
      <c r="C16" s="89"/>
      <c r="D16" s="89"/>
      <c r="E16" s="89"/>
    </row>
    <row r="17" spans="2:15" ht="32.25" customHeight="1" x14ac:dyDescent="0.2">
      <c r="C17" s="318" t="s">
        <v>331</v>
      </c>
      <c r="D17" s="319"/>
      <c r="E17" s="320"/>
    </row>
    <row r="18" spans="2:15" x14ac:dyDescent="0.2">
      <c r="C18" s="89"/>
      <c r="D18" s="89"/>
      <c r="E18" s="89"/>
    </row>
    <row r="19" spans="2:15" x14ac:dyDescent="0.2">
      <c r="C19" s="126" t="s">
        <v>238</v>
      </c>
      <c r="D19" s="126" t="s">
        <v>152</v>
      </c>
      <c r="E19" s="126" t="s">
        <v>483</v>
      </c>
    </row>
    <row r="20" spans="2:15" ht="25.5" x14ac:dyDescent="0.2">
      <c r="C20" s="154" t="s">
        <v>153</v>
      </c>
      <c r="D20" s="96" t="s">
        <v>144</v>
      </c>
      <c r="E20" s="116" t="s">
        <v>246</v>
      </c>
    </row>
    <row r="21" spans="2:15" ht="38.25" x14ac:dyDescent="0.2">
      <c r="C21" s="154" t="s">
        <v>134</v>
      </c>
      <c r="D21" s="96" t="s">
        <v>145</v>
      </c>
      <c r="E21" s="116" t="s">
        <v>247</v>
      </c>
    </row>
    <row r="22" spans="2:15" ht="51" x14ac:dyDescent="0.2">
      <c r="C22" s="154" t="s">
        <v>135</v>
      </c>
      <c r="D22" s="96" t="s">
        <v>146</v>
      </c>
      <c r="E22" s="116" t="s">
        <v>248</v>
      </c>
    </row>
    <row r="23" spans="2:15" ht="38.25" x14ac:dyDescent="0.2">
      <c r="C23" s="154" t="s">
        <v>136</v>
      </c>
      <c r="D23" s="96" t="s">
        <v>147</v>
      </c>
      <c r="E23" s="116" t="s">
        <v>249</v>
      </c>
    </row>
    <row r="24" spans="2:15" ht="38.25" x14ac:dyDescent="0.2">
      <c r="C24" s="154" t="s">
        <v>141</v>
      </c>
      <c r="D24" s="96" t="s">
        <v>485</v>
      </c>
      <c r="E24" s="116" t="s">
        <v>250</v>
      </c>
    </row>
    <row r="25" spans="2:15" x14ac:dyDescent="0.2">
      <c r="C25" s="89"/>
      <c r="D25" s="89"/>
      <c r="E25" s="89"/>
    </row>
    <row r="26" spans="2:15" s="86" customFormat="1" ht="12.75" x14ac:dyDescent="0.2">
      <c r="B26" s="153"/>
      <c r="C26" s="94"/>
      <c r="D26" s="94"/>
      <c r="E26" s="94"/>
      <c r="F26" s="2"/>
      <c r="G26" s="2"/>
      <c r="H26" s="2"/>
      <c r="I26" s="2"/>
      <c r="J26" s="2"/>
      <c r="K26" s="2"/>
      <c r="L26" s="2"/>
      <c r="M26" s="2"/>
      <c r="N26" s="2"/>
      <c r="O26" s="2"/>
    </row>
    <row r="27" spans="2:15" ht="15" x14ac:dyDescent="0.2">
      <c r="C27" s="89"/>
      <c r="D27" s="121" t="s">
        <v>152</v>
      </c>
      <c r="E27" s="132" t="s">
        <v>483</v>
      </c>
    </row>
    <row r="28" spans="2:15" ht="45" customHeight="1" x14ac:dyDescent="0.2">
      <c r="B28" s="129">
        <v>3</v>
      </c>
      <c r="C28" s="129" t="s">
        <v>95</v>
      </c>
      <c r="D28" s="96" t="s">
        <v>143</v>
      </c>
      <c r="E28" s="31" t="s">
        <v>244</v>
      </c>
    </row>
    <row r="29" spans="2:15" x14ac:dyDescent="0.2">
      <c r="C29" s="89"/>
      <c r="D29" s="89"/>
      <c r="E29" s="89"/>
    </row>
    <row r="30" spans="2:15" ht="32.25" customHeight="1" x14ac:dyDescent="0.2">
      <c r="C30" s="318" t="s">
        <v>332</v>
      </c>
      <c r="D30" s="319"/>
      <c r="E30" s="320"/>
    </row>
    <row r="31" spans="2:15" x14ac:dyDescent="0.2">
      <c r="C31" s="89"/>
      <c r="D31" s="89"/>
      <c r="E31" s="89"/>
    </row>
    <row r="32" spans="2:15" x14ac:dyDescent="0.2">
      <c r="C32" s="126" t="s">
        <v>238</v>
      </c>
      <c r="D32" s="126" t="s">
        <v>152</v>
      </c>
      <c r="E32" s="126" t="s">
        <v>483</v>
      </c>
    </row>
    <row r="33" spans="2:15" ht="25.5" x14ac:dyDescent="0.2">
      <c r="C33" s="154" t="s">
        <v>153</v>
      </c>
      <c r="D33" s="127" t="s">
        <v>148</v>
      </c>
      <c r="E33" s="157">
        <v>1000</v>
      </c>
    </row>
    <row r="34" spans="2:15" ht="38.25" x14ac:dyDescent="0.2">
      <c r="C34" s="154" t="s">
        <v>134</v>
      </c>
      <c r="D34" s="127" t="s">
        <v>149</v>
      </c>
      <c r="E34" s="157">
        <v>500000</v>
      </c>
    </row>
    <row r="35" spans="2:15" ht="51" x14ac:dyDescent="0.2">
      <c r="C35" s="154" t="s">
        <v>135</v>
      </c>
      <c r="D35" s="127" t="s">
        <v>150</v>
      </c>
      <c r="E35" s="157">
        <v>2500000</v>
      </c>
    </row>
    <row r="36" spans="2:15" ht="38.25" x14ac:dyDescent="0.2">
      <c r="C36" s="154" t="s">
        <v>136</v>
      </c>
      <c r="D36" s="127" t="s">
        <v>151</v>
      </c>
      <c r="E36" s="157">
        <v>5000000</v>
      </c>
    </row>
    <row r="37" spans="2:15" x14ac:dyDescent="0.2">
      <c r="C37" s="154" t="s">
        <v>141</v>
      </c>
      <c r="D37" s="127" t="s">
        <v>245</v>
      </c>
      <c r="E37" s="130"/>
    </row>
    <row r="38" spans="2:15" x14ac:dyDescent="0.2">
      <c r="C38" s="89"/>
      <c r="D38" s="89"/>
      <c r="E38" s="89"/>
    </row>
    <row r="39" spans="2:15" s="86" customFormat="1" ht="12.75" x14ac:dyDescent="0.2">
      <c r="B39" s="153"/>
      <c r="C39" s="94"/>
      <c r="D39" s="94"/>
      <c r="E39" s="94"/>
      <c r="F39" s="2"/>
      <c r="G39" s="2"/>
      <c r="H39" s="2"/>
      <c r="I39" s="2"/>
      <c r="J39" s="2"/>
      <c r="K39" s="2"/>
      <c r="L39" s="2"/>
      <c r="M39" s="2"/>
      <c r="N39" s="2"/>
      <c r="O39" s="2"/>
    </row>
    <row r="40" spans="2:15" ht="15" x14ac:dyDescent="0.2">
      <c r="C40" s="89"/>
      <c r="D40" s="121" t="s">
        <v>152</v>
      </c>
      <c r="E40" s="132" t="s">
        <v>483</v>
      </c>
    </row>
    <row r="41" spans="2:15" ht="45" customHeight="1" thickBot="1" x14ac:dyDescent="0.25">
      <c r="B41" s="123">
        <v>4</v>
      </c>
      <c r="C41" s="123" t="s">
        <v>21</v>
      </c>
      <c r="D41" s="96" t="s">
        <v>486</v>
      </c>
      <c r="E41" s="31" t="s">
        <v>252</v>
      </c>
    </row>
    <row r="42" spans="2:15" ht="15" thickTop="1" x14ac:dyDescent="0.2">
      <c r="C42" s="89"/>
      <c r="D42" s="89"/>
      <c r="E42" s="89"/>
    </row>
    <row r="43" spans="2:15" ht="32.25" customHeight="1" x14ac:dyDescent="0.2">
      <c r="C43" s="318" t="s">
        <v>333</v>
      </c>
      <c r="D43" s="319"/>
      <c r="E43" s="320"/>
    </row>
    <row r="44" spans="2:15" x14ac:dyDescent="0.2">
      <c r="C44" s="89"/>
      <c r="D44" s="89"/>
      <c r="E44" s="89"/>
    </row>
    <row r="45" spans="2:15" x14ac:dyDescent="0.2">
      <c r="C45" s="126" t="s">
        <v>238</v>
      </c>
      <c r="D45" s="126" t="s">
        <v>152</v>
      </c>
      <c r="E45" s="126" t="s">
        <v>483</v>
      </c>
    </row>
    <row r="46" spans="2:15" ht="25.5" x14ac:dyDescent="0.2">
      <c r="C46" s="154" t="s">
        <v>153</v>
      </c>
      <c r="D46" s="96" t="s">
        <v>253</v>
      </c>
      <c r="E46" s="116" t="s">
        <v>497</v>
      </c>
    </row>
    <row r="47" spans="2:15" ht="38.25" x14ac:dyDescent="0.2">
      <c r="C47" s="154" t="s">
        <v>134</v>
      </c>
      <c r="D47" s="96" t="s">
        <v>487</v>
      </c>
      <c r="E47" s="116" t="s">
        <v>498</v>
      </c>
    </row>
    <row r="48" spans="2:15" ht="44.65" customHeight="1" x14ac:dyDescent="0.2">
      <c r="C48" s="154" t="s">
        <v>135</v>
      </c>
      <c r="D48" s="96" t="s">
        <v>251</v>
      </c>
      <c r="E48" s="116" t="s">
        <v>499</v>
      </c>
    </row>
    <row r="49" spans="3:5" ht="51" x14ac:dyDescent="0.2">
      <c r="C49" s="154" t="s">
        <v>136</v>
      </c>
      <c r="D49" s="96" t="s">
        <v>488</v>
      </c>
      <c r="E49" s="116" t="s">
        <v>500</v>
      </c>
    </row>
    <row r="50" spans="3:5" ht="25.5" x14ac:dyDescent="0.2">
      <c r="C50" s="154" t="s">
        <v>141</v>
      </c>
      <c r="D50" s="96" t="s">
        <v>489</v>
      </c>
      <c r="E50" s="116" t="s">
        <v>501</v>
      </c>
    </row>
    <row r="51" spans="3:5" x14ac:dyDescent="0.2">
      <c r="C51" s="89"/>
      <c r="D51" s="89"/>
      <c r="E51" s="89"/>
    </row>
    <row r="52" spans="3:5" x14ac:dyDescent="0.2">
      <c r="C52" s="89"/>
      <c r="D52" s="89"/>
      <c r="E52" s="89"/>
    </row>
    <row r="53" spans="3:5" x14ac:dyDescent="0.2">
      <c r="C53" s="89"/>
      <c r="D53" s="89"/>
      <c r="E53" s="89"/>
    </row>
    <row r="54" spans="3:5" x14ac:dyDescent="0.2">
      <c r="C54" s="89"/>
      <c r="D54" s="89"/>
      <c r="E54" s="89"/>
    </row>
    <row r="55" spans="3:5" x14ac:dyDescent="0.2">
      <c r="C55" s="89"/>
      <c r="D55" s="89"/>
      <c r="E55" s="89"/>
    </row>
    <row r="56" spans="3:5" x14ac:dyDescent="0.2">
      <c r="C56" s="89"/>
      <c r="D56" s="89"/>
      <c r="E56" s="89"/>
    </row>
    <row r="57" spans="3:5" x14ac:dyDescent="0.2">
      <c r="C57" s="89"/>
      <c r="D57" s="89"/>
      <c r="E57" s="89"/>
    </row>
    <row r="58" spans="3:5" x14ac:dyDescent="0.2">
      <c r="C58" s="89"/>
      <c r="D58" s="89"/>
      <c r="E58" s="89"/>
    </row>
    <row r="59" spans="3:5" x14ac:dyDescent="0.2">
      <c r="C59" s="89"/>
      <c r="D59" s="89"/>
      <c r="E59" s="89"/>
    </row>
    <row r="60" spans="3:5" x14ac:dyDescent="0.2">
      <c r="C60" s="89"/>
      <c r="D60" s="89"/>
      <c r="E60" s="89"/>
    </row>
    <row r="61" spans="3:5" x14ac:dyDescent="0.2">
      <c r="C61" s="89"/>
      <c r="D61" s="89"/>
      <c r="E61" s="89"/>
    </row>
    <row r="62" spans="3:5" x14ac:dyDescent="0.2">
      <c r="C62" s="89"/>
      <c r="D62" s="89"/>
      <c r="E62" s="89"/>
    </row>
    <row r="63" spans="3:5" x14ac:dyDescent="0.2">
      <c r="C63" s="89"/>
      <c r="D63" s="89"/>
      <c r="E63" s="89"/>
    </row>
    <row r="64" spans="3:5" x14ac:dyDescent="0.2">
      <c r="C64" s="89"/>
      <c r="D64" s="89"/>
      <c r="E64" s="89"/>
    </row>
    <row r="65" spans="3:5" x14ac:dyDescent="0.2">
      <c r="C65" s="89"/>
      <c r="D65" s="89"/>
      <c r="E65" s="89"/>
    </row>
    <row r="66" spans="3:5" x14ac:dyDescent="0.2">
      <c r="C66" s="89"/>
      <c r="D66" s="89"/>
      <c r="E66" s="89"/>
    </row>
    <row r="67" spans="3:5" x14ac:dyDescent="0.2">
      <c r="C67" s="89"/>
      <c r="D67" s="89"/>
      <c r="E67" s="89"/>
    </row>
    <row r="68" spans="3:5" x14ac:dyDescent="0.2">
      <c r="C68" s="89"/>
      <c r="D68" s="89"/>
      <c r="E68" s="89"/>
    </row>
    <row r="69" spans="3:5" x14ac:dyDescent="0.2">
      <c r="C69" s="89"/>
      <c r="D69" s="89"/>
      <c r="E69" s="89"/>
    </row>
  </sheetData>
  <sheetProtection sheet="1" objects="1" scenarios="1"/>
  <mergeCells count="5">
    <mergeCell ref="C4:E4"/>
    <mergeCell ref="C17:E17"/>
    <mergeCell ref="C30:E30"/>
    <mergeCell ref="C43:E43"/>
    <mergeCell ref="H4:O6"/>
  </mergeCells>
  <pageMargins left="0.7" right="0.7" top="0.75" bottom="0.75" header="0.3" footer="0.3"/>
  <pageSetup orientation="portrait" r:id="rId1"/>
  <legacyDrawing r:id="rId2"/>
  <tableParts count="4">
    <tablePart r:id="rId3"/>
    <tablePart r:id="rId4"/>
    <tablePart r:id="rId5"/>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8DA8-23C4-4DF3-BE2D-A7ABDCB0601D}">
  <sheetPr codeName="Sheet5">
    <tabColor rgb="FFFF0000"/>
  </sheetPr>
  <dimension ref="B1:Q36"/>
  <sheetViews>
    <sheetView showGridLines="0" zoomScaleNormal="100" workbookViewId="0">
      <selection activeCell="B2" sqref="B2:B4"/>
    </sheetView>
  </sheetViews>
  <sheetFormatPr defaultRowHeight="15" x14ac:dyDescent="0.25"/>
  <cols>
    <col min="1" max="1" width="4.140625" customWidth="1"/>
    <col min="2" max="2" width="8.7109375" style="135" customWidth="1"/>
    <col min="3" max="3" width="41.140625" customWidth="1"/>
    <col min="4" max="7" width="46.85546875" style="78" customWidth="1"/>
    <col min="10" max="10" width="17.85546875" customWidth="1"/>
    <col min="16" max="16" width="12.85546875" customWidth="1"/>
    <col min="17" max="17" width="15.7109375" customWidth="1"/>
  </cols>
  <sheetData>
    <row r="1" spans="2:17" s="2" customFormat="1" ht="12.75" x14ac:dyDescent="0.2">
      <c r="B1" s="87"/>
      <c r="D1" s="7"/>
      <c r="E1" s="10"/>
      <c r="F1" s="10"/>
    </row>
    <row r="2" spans="2:17" s="2" customFormat="1" ht="12.75" customHeight="1" x14ac:dyDescent="0.2">
      <c r="B2" s="323">
        <v>1</v>
      </c>
      <c r="C2" s="323" t="s">
        <v>154</v>
      </c>
      <c r="D2" s="163" t="s">
        <v>93</v>
      </c>
      <c r="E2" s="114" t="s">
        <v>480</v>
      </c>
      <c r="F2" s="10"/>
    </row>
    <row r="3" spans="2:17" s="2" customFormat="1" ht="12.75" customHeight="1" x14ac:dyDescent="0.2">
      <c r="B3" s="324"/>
      <c r="C3" s="324"/>
      <c r="D3" s="163" t="s">
        <v>22</v>
      </c>
      <c r="E3" s="114" t="s">
        <v>92</v>
      </c>
      <c r="F3" s="10"/>
    </row>
    <row r="4" spans="2:17" s="2" customFormat="1" ht="12.75" customHeight="1" x14ac:dyDescent="0.2">
      <c r="B4" s="325"/>
      <c r="C4" s="325"/>
      <c r="D4" s="163" t="s">
        <v>23</v>
      </c>
      <c r="E4" s="115">
        <v>44408</v>
      </c>
      <c r="F4" s="10"/>
      <c r="J4" s="368" t="s">
        <v>686</v>
      </c>
      <c r="K4" s="368"/>
      <c r="L4" s="368"/>
      <c r="M4" s="368"/>
      <c r="N4" s="368"/>
      <c r="O4" s="368"/>
      <c r="P4" s="368"/>
      <c r="Q4" s="368"/>
    </row>
    <row r="5" spans="2:17" s="2" customFormat="1" ht="27.75" customHeight="1" x14ac:dyDescent="0.2">
      <c r="B5" s="87"/>
      <c r="D5" s="7"/>
      <c r="E5" s="10"/>
      <c r="F5" s="10"/>
      <c r="G5" s="10"/>
      <c r="J5" s="368"/>
      <c r="K5" s="368"/>
      <c r="L5" s="368"/>
      <c r="M5" s="368"/>
      <c r="N5" s="368"/>
      <c r="O5" s="368"/>
      <c r="P5" s="368"/>
      <c r="Q5" s="368"/>
    </row>
    <row r="6" spans="2:17" s="2" customFormat="1" ht="12.75" x14ac:dyDescent="0.2">
      <c r="B6" s="3"/>
      <c r="C6" s="3"/>
      <c r="D6" s="4"/>
      <c r="E6" s="4"/>
      <c r="F6" s="4"/>
      <c r="G6" s="4"/>
      <c r="J6" s="368"/>
      <c r="K6" s="368"/>
      <c r="L6" s="368"/>
      <c r="M6" s="368"/>
      <c r="N6" s="368"/>
      <c r="O6" s="368"/>
      <c r="P6" s="368"/>
      <c r="Q6" s="368"/>
    </row>
    <row r="7" spans="2:17" s="2" customFormat="1" ht="12.75" x14ac:dyDescent="0.2">
      <c r="B7" s="87"/>
      <c r="D7" s="7"/>
      <c r="E7" s="10"/>
      <c r="F7" s="10"/>
      <c r="G7" s="10"/>
    </row>
    <row r="8" spans="2:17" s="2" customFormat="1" ht="15.75" x14ac:dyDescent="0.2">
      <c r="B8" s="134">
        <v>2</v>
      </c>
      <c r="C8" s="36" t="s">
        <v>17</v>
      </c>
      <c r="D8" s="321"/>
      <c r="E8" s="321"/>
      <c r="F8" s="321"/>
      <c r="G8" s="321"/>
    </row>
    <row r="9" spans="2:17" s="2" customFormat="1" ht="12.75" x14ac:dyDescent="0.2">
      <c r="B9" s="87"/>
      <c r="D9" s="10"/>
      <c r="E9" s="10"/>
      <c r="F9" s="10"/>
      <c r="G9" s="10"/>
    </row>
    <row r="10" spans="2:17" s="2" customFormat="1" ht="26.25" customHeight="1" x14ac:dyDescent="0.2">
      <c r="B10" s="87"/>
      <c r="C10" s="136" t="s">
        <v>5</v>
      </c>
      <c r="D10" s="137" t="s">
        <v>6</v>
      </c>
      <c r="E10" s="137" t="s">
        <v>94</v>
      </c>
      <c r="F10" s="138" t="s">
        <v>95</v>
      </c>
      <c r="G10" s="139" t="s">
        <v>21</v>
      </c>
    </row>
    <row r="11" spans="2:17" s="2" customFormat="1" ht="38.25" x14ac:dyDescent="0.2">
      <c r="B11" s="87"/>
      <c r="C11" s="140" t="s">
        <v>4</v>
      </c>
      <c r="D11" s="116" t="str">
        <f>IF(ISBLANK('Impact Criteria Survey-EXAMPLE'!E2),"",'Impact Criteria Survey-EXAMPLE'!E2)</f>
        <v>Reliably produce just-in-time, custom widgets that meet demanding resiliency and design specifications, and within market-leading turnaround times.</v>
      </c>
      <c r="E11" s="116" t="str">
        <f>IF(ISBLANK('Impact Criteria Survey-EXAMPLE'!E15),"",'Impact Criteria Survey-EXAMPLE'!E15)</f>
        <v>To maintain our market position as the best custom widgets manufacturer.</v>
      </c>
      <c r="F11" s="116" t="str">
        <f>IF(ISBLANK('Impact Criteria Survey-EXAMPLE'!E28),"",'Impact Criteria Survey-EXAMPLE'!E28)</f>
        <v>To achieve our profit goals each year.</v>
      </c>
      <c r="G11" s="117" t="str">
        <f>IF(ISBLANK('Impact Criteria Survey-EXAMPLE'!E41),"",'Impact Criteria Survey-EXAMPLE'!E41)</f>
        <v>To protect our customers from harm due to loss of their intellectual property.</v>
      </c>
    </row>
    <row r="12" spans="2:17" s="2" customFormat="1" ht="25.5" x14ac:dyDescent="0.2">
      <c r="B12" s="87"/>
      <c r="C12" s="143" t="s">
        <v>129</v>
      </c>
      <c r="D12" s="116" t="str">
        <f>IF(ISBLANK('Impact Criteria Survey-EXAMPLE'!E7),"",'Impact Criteria Survey-EXAMPLE'!E7)</f>
        <v>All orders would be produced within specifications and on time and without unplanned effort.</v>
      </c>
      <c r="E12" s="116" t="str">
        <f>IF(ISBLANK('Impact Criteria Survey-EXAMPLE'!E20),"",'Impact Criteria Survey-EXAMPLE'!E20)</f>
        <v>Ranked as #1 in all categories in annual "Custom Widget World" Magazine poll.</v>
      </c>
      <c r="F12" s="177">
        <f>IF(ISBLANK('Impact Criteria Survey-EXAMPLE'!E33),"",'Impact Criteria Survey-EXAMPLE'!E33)</f>
        <v>1000</v>
      </c>
      <c r="G12" s="117" t="str">
        <f>IF(ISBLANK('Impact Criteria Survey-EXAMPLE'!E46),"",'Impact Criteria Survey-EXAMPLE'!E46)</f>
        <v>No customer would suffer a loss of competitive advantage.</v>
      </c>
    </row>
    <row r="13" spans="2:17" s="2" customFormat="1" ht="38.25" x14ac:dyDescent="0.2">
      <c r="B13" s="87"/>
      <c r="C13" s="143" t="s">
        <v>130</v>
      </c>
      <c r="D13" s="116" t="str">
        <f>IF(ISBLANK('Impact Criteria Survey-EXAMPLE'!E8),"",'Impact Criteria Survey-EXAMPLE'!E8)</f>
        <v>All orders would be produced within specifications and on time, but some may require unplanned effort to stay within tolerance metrics.</v>
      </c>
      <c r="E13" s="116" t="str">
        <f>IF(ISBLANK('Impact Criteria Survey-EXAMPLE'!E21),"",'Impact Criteria Survey-EXAMPLE'!E21)</f>
        <v>Ranked as #1 in only one category of "Custom Widget World" Magazine poll for only one year.</v>
      </c>
      <c r="F13" s="177">
        <f>IF(ISBLANK('Impact Criteria Survey-EXAMPLE'!E34),"",'Impact Criteria Survey-EXAMPLE'!E34)</f>
        <v>500000</v>
      </c>
      <c r="G13" s="117" t="str">
        <f>IF(ISBLANK('Impact Criteria Survey-EXAMPLE'!E47),"",'Impact Criteria Survey-EXAMPLE'!E47)</f>
        <v>One or few customers may be concerned about potential loss of competitive advantage, but no harm would result.</v>
      </c>
    </row>
    <row r="14" spans="2:17" s="2" customFormat="1" ht="38.25" x14ac:dyDescent="0.2">
      <c r="B14" s="87"/>
      <c r="C14" s="143" t="s">
        <v>131</v>
      </c>
      <c r="D14" s="116" t="str">
        <f>IF(ISBLANK('Impact Criteria Survey-EXAMPLE'!E9),"",'Impact Criteria Survey-EXAMPLE'!E9)</f>
        <v>Few orders each quarter (outside of our tolerance metrics) may miss targets, but could be corrected with adjustments or discounts.</v>
      </c>
      <c r="E14" s="116" t="str">
        <f>IF(ISBLANK('Impact Criteria Survey-EXAMPLE'!E22),"",'Impact Criteria Survey-EXAMPLE'!E22)</f>
        <v>Not ranked #1 in any category of "Custom Widget World" Magazine poll for one year.</v>
      </c>
      <c r="F14" s="177">
        <f>IF(ISBLANK('Impact Criteria Survey-EXAMPLE'!E35),"",'Impact Criteria Survey-EXAMPLE'!E35)</f>
        <v>2500000</v>
      </c>
      <c r="G14" s="117" t="str">
        <f>IF(ISBLANK('Impact Criteria Survey-EXAMPLE'!E48),"",'Impact Criteria Survey-EXAMPLE'!E48)</f>
        <v>One or few customers would suffer minor loss of competitive advantage, but they could be made whole within a fiscal year.</v>
      </c>
    </row>
    <row r="15" spans="2:17" s="2" customFormat="1" ht="63.75" x14ac:dyDescent="0.2">
      <c r="B15" s="87"/>
      <c r="C15" s="143" t="s">
        <v>132</v>
      </c>
      <c r="D15" s="116" t="str">
        <f>IF(ISBLANK('Impact Criteria Survey-EXAMPLE'!E10),"",'Impact Criteria Survey-EXAMPLE'!E10)</f>
        <v xml:space="preserve">We would repeatedly miss targets outside of tolerance metrics, requiring regular adjustments or discounts per quarter, or would require significant re-investment to operate regularly within our tolerance metrics. </v>
      </c>
      <c r="E15" s="116" t="str">
        <f>IF(ISBLANK('Impact Criteria Survey-EXAMPLE'!E23),"",'Impact Criteria Survey-EXAMPLE'!E23)</f>
        <v>Not ranked in top three in any category of "Custom Widget World" Magazine poll for two years or more.</v>
      </c>
      <c r="F15" s="177">
        <f>IF(ISBLANK('Impact Criteria Survey-EXAMPLE'!E36),"",'Impact Criteria Survey-EXAMPLE'!E36)</f>
        <v>5000000</v>
      </c>
      <c r="G15" s="117" t="str">
        <f>IF(ISBLANK('Impact Criteria Survey-EXAMPLE'!E49),"",'Impact Criteria Survey-EXAMPLE'!E49)</f>
        <v>Many customers would suffer minor loss of competitive advantage, or one to few customers would suffer harm that would require significant business investment or planning to recover.</v>
      </c>
    </row>
    <row r="16" spans="2:17" s="2" customFormat="1" ht="25.5" x14ac:dyDescent="0.2">
      <c r="B16" s="87"/>
      <c r="C16" s="144" t="s">
        <v>133</v>
      </c>
      <c r="D16" s="178" t="str">
        <f>IF(ISBLANK('Impact Criteria Survey-EXAMPLE'!E11),"",'Impact Criteria Survey-EXAMPLE'!E11)</f>
        <v>We could not meet our mission.</v>
      </c>
      <c r="E16" s="116" t="str">
        <f>IF(ISBLANK('Impact Criteria Survey-EXAMPLE'!E24),"",'Impact Criteria Survey-EXAMPLE'!E24)</f>
        <v>Unable to rank well in annual "Custom Widget World" Magazine poll.</v>
      </c>
      <c r="F16" s="164" t="str">
        <f>IF(ISBLANK('Impact Criteria Survey-EXAMPLE'!F24),"",'Impact Criteria Survey-EXAMPLE'!F24)</f>
        <v/>
      </c>
      <c r="G16" s="117" t="str">
        <f>IF(ISBLANK('Impact Criteria Survey-EXAMPLE'!E50),"",'Impact Criteria Survey-EXAMPLE'!E50)</f>
        <v xml:space="preserve">We would not be able to protect our customers from losses due to intellectual property theft. </v>
      </c>
    </row>
    <row r="17" spans="2:7" s="2" customFormat="1" ht="12.75" x14ac:dyDescent="0.2">
      <c r="B17" s="87"/>
      <c r="D17" s="7"/>
      <c r="E17" s="10"/>
      <c r="F17" s="10"/>
      <c r="G17" s="10"/>
    </row>
    <row r="18" spans="2:7" s="2" customFormat="1" ht="12.75" x14ac:dyDescent="0.2">
      <c r="B18" s="3"/>
      <c r="C18" s="3"/>
      <c r="D18" s="4"/>
      <c r="E18" s="4"/>
      <c r="F18" s="4"/>
      <c r="G18" s="4"/>
    </row>
    <row r="19" spans="2:7" s="2" customFormat="1" ht="12.75" x14ac:dyDescent="0.2">
      <c r="B19" s="87"/>
      <c r="D19" s="7"/>
      <c r="E19" s="10"/>
      <c r="F19" s="10"/>
      <c r="G19" s="10"/>
    </row>
    <row r="20" spans="2:7" s="2" customFormat="1" ht="15.75" x14ac:dyDescent="0.2">
      <c r="B20" s="134">
        <v>3</v>
      </c>
      <c r="C20" s="36" t="s">
        <v>468</v>
      </c>
      <c r="D20" s="326"/>
      <c r="E20" s="327"/>
      <c r="F20" s="10"/>
      <c r="G20" s="10"/>
    </row>
    <row r="21" spans="2:7" s="2" customFormat="1" x14ac:dyDescent="0.2">
      <c r="B21" s="87"/>
      <c r="C21" s="33"/>
      <c r="D21" s="165"/>
      <c r="E21" s="166"/>
      <c r="F21" s="10"/>
      <c r="G21" s="10"/>
    </row>
    <row r="22" spans="2:7" s="2" customFormat="1" x14ac:dyDescent="0.2">
      <c r="B22" s="87"/>
      <c r="C22" s="147" t="s">
        <v>469</v>
      </c>
      <c r="D22" s="167" t="s">
        <v>470</v>
      </c>
      <c r="E22" s="168" t="s">
        <v>229</v>
      </c>
      <c r="F22" s="10"/>
      <c r="G22" s="10"/>
    </row>
    <row r="23" spans="2:7" s="2" customFormat="1" ht="12.75" x14ac:dyDescent="0.2">
      <c r="B23" s="87"/>
      <c r="C23" s="140">
        <v>1</v>
      </c>
      <c r="D23" s="169" t="s">
        <v>230</v>
      </c>
      <c r="E23" s="150" t="s">
        <v>490</v>
      </c>
      <c r="F23" s="10"/>
      <c r="G23" s="10"/>
    </row>
    <row r="24" spans="2:7" s="2" customFormat="1" ht="25.5" x14ac:dyDescent="0.2">
      <c r="B24" s="87"/>
      <c r="C24" s="140">
        <v>2</v>
      </c>
      <c r="D24" s="169" t="s">
        <v>231</v>
      </c>
      <c r="E24" s="150" t="s">
        <v>491</v>
      </c>
      <c r="F24" s="10"/>
      <c r="G24" s="10"/>
    </row>
    <row r="25" spans="2:7" s="2" customFormat="1" ht="25.5" x14ac:dyDescent="0.2">
      <c r="B25" s="87"/>
      <c r="C25" s="140">
        <v>3</v>
      </c>
      <c r="D25" s="169" t="s">
        <v>232</v>
      </c>
      <c r="E25" s="150" t="s">
        <v>492</v>
      </c>
      <c r="F25" s="10"/>
      <c r="G25" s="10"/>
    </row>
    <row r="26" spans="2:7" s="2" customFormat="1" ht="12.75" x14ac:dyDescent="0.2">
      <c r="B26" s="87"/>
      <c r="C26" s="140">
        <v>4</v>
      </c>
      <c r="D26" s="169" t="s">
        <v>233</v>
      </c>
      <c r="E26" s="150" t="s">
        <v>493</v>
      </c>
      <c r="F26" s="10"/>
      <c r="G26" s="10"/>
    </row>
    <row r="27" spans="2:7" s="2" customFormat="1" ht="12.75" x14ac:dyDescent="0.2">
      <c r="B27" s="87"/>
      <c r="C27" s="151">
        <v>5</v>
      </c>
      <c r="D27" s="170" t="s">
        <v>234</v>
      </c>
      <c r="E27" s="152" t="s">
        <v>494</v>
      </c>
      <c r="F27" s="10"/>
      <c r="G27" s="10"/>
    </row>
    <row r="28" spans="2:7" s="2" customFormat="1" ht="12.75" x14ac:dyDescent="0.2">
      <c r="B28" s="87"/>
      <c r="D28" s="7"/>
      <c r="E28" s="10"/>
      <c r="F28" s="10"/>
      <c r="G28" s="10"/>
    </row>
    <row r="29" spans="2:7" s="2" customFormat="1" ht="12.75" x14ac:dyDescent="0.2">
      <c r="B29" s="3"/>
      <c r="C29" s="3"/>
      <c r="D29" s="4"/>
      <c r="E29" s="4"/>
      <c r="F29" s="4"/>
      <c r="G29" s="4"/>
    </row>
    <row r="30" spans="2:7" s="2" customFormat="1" ht="12.75" x14ac:dyDescent="0.2">
      <c r="B30" s="87"/>
      <c r="D30" s="7"/>
      <c r="E30" s="10"/>
      <c r="F30" s="10"/>
      <c r="G30" s="10"/>
    </row>
    <row r="31" spans="2:7" s="2" customFormat="1" ht="15.75" x14ac:dyDescent="0.2">
      <c r="B31" s="134">
        <v>4</v>
      </c>
      <c r="C31" s="36" t="s">
        <v>8</v>
      </c>
      <c r="D31" s="328"/>
      <c r="E31" s="329"/>
      <c r="F31" s="10"/>
      <c r="G31" s="10"/>
    </row>
    <row r="32" spans="2:7" s="2" customFormat="1" ht="12.75" x14ac:dyDescent="0.2">
      <c r="B32" s="87"/>
      <c r="D32" s="19"/>
      <c r="E32" s="28"/>
      <c r="F32" s="10"/>
      <c r="G32" s="10"/>
    </row>
    <row r="33" spans="2:7" s="2" customFormat="1" ht="12.75" customHeight="1" x14ac:dyDescent="0.25">
      <c r="B33" s="87"/>
      <c r="C33" s="321" t="s">
        <v>495</v>
      </c>
      <c r="D33" s="171" t="s">
        <v>470</v>
      </c>
      <c r="E33" s="172" t="s">
        <v>235</v>
      </c>
      <c r="F33" s="10"/>
      <c r="G33" s="10"/>
    </row>
    <row r="34" spans="2:7" s="2" customFormat="1" ht="13.5" thickBot="1" x14ac:dyDescent="0.25">
      <c r="B34" s="87"/>
      <c r="C34" s="321"/>
      <c r="D34" s="173">
        <v>3</v>
      </c>
      <c r="E34" s="174">
        <v>3</v>
      </c>
      <c r="F34" s="10"/>
      <c r="G34" s="10"/>
    </row>
    <row r="35" spans="2:7" s="2" customFormat="1" ht="13.5" thickBot="1" x14ac:dyDescent="0.25">
      <c r="B35" s="87"/>
      <c r="C35" s="322"/>
      <c r="D35" s="175" t="s">
        <v>236</v>
      </c>
      <c r="E35" s="176">
        <f>D34*E34</f>
        <v>9</v>
      </c>
      <c r="F35" s="10"/>
      <c r="G35" s="10"/>
    </row>
    <row r="36" spans="2:7" s="2" customFormat="1" ht="12.75" x14ac:dyDescent="0.2">
      <c r="B36" s="87"/>
      <c r="D36" s="7"/>
      <c r="E36" s="10"/>
      <c r="F36" s="10"/>
      <c r="G36" s="10"/>
    </row>
  </sheetData>
  <sheetProtection sheet="1" objects="1" scenarios="1"/>
  <mergeCells count="7">
    <mergeCell ref="J4:Q6"/>
    <mergeCell ref="B2:B4"/>
    <mergeCell ref="D31:E31"/>
    <mergeCell ref="C33:C35"/>
    <mergeCell ref="C2:C4"/>
    <mergeCell ref="D8:G8"/>
    <mergeCell ref="D20:E20"/>
  </mergeCells>
  <dataValidations count="1">
    <dataValidation type="list" allowBlank="1" showInputMessage="1" showErrorMessage="1" sqref="D34:E34" xr:uid="{CF7D8B8F-7E25-4F71-9724-E7C259D7E6B2}">
      <formula1>"1,2,3,4,5"</formula1>
    </dataValidation>
  </dataValidations>
  <pageMargins left="0.7" right="0.7" top="0.75" bottom="0.75" header="0.3" footer="0.3"/>
  <pageSetup orientation="portrait" r:id="rId1"/>
  <ignoredErrors>
    <ignoredError sqref="D11 G11:G16" calculatedColumn="1"/>
  </ignoredErrors>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6292-793D-492F-901F-70B370EA8BAD}">
  <sheetPr>
    <tabColor rgb="FFFF0000"/>
  </sheetPr>
  <dimension ref="B2:AV165"/>
  <sheetViews>
    <sheetView showGridLines="0" zoomScaleNormal="100" workbookViewId="0">
      <selection activeCell="B2" sqref="B2:B4"/>
    </sheetView>
  </sheetViews>
  <sheetFormatPr defaultColWidth="9.140625" defaultRowHeight="12.75" x14ac:dyDescent="0.2"/>
  <cols>
    <col min="1" max="1" width="9.140625" style="2"/>
    <col min="2" max="2" width="15.28515625" style="8" customWidth="1"/>
    <col min="3" max="3" width="27.28515625" style="8" customWidth="1"/>
    <col min="4" max="4" width="15.5703125" style="8" bestFit="1" customWidth="1"/>
    <col min="5" max="5" width="17.5703125" style="8" customWidth="1"/>
    <col min="6" max="8" width="8.5703125" style="8" customWidth="1"/>
    <col min="9" max="9" width="17.140625" style="8" customWidth="1"/>
    <col min="10" max="10" width="14.7109375" style="8" customWidth="1"/>
    <col min="11" max="11" width="17.7109375" style="8" customWidth="1"/>
    <col min="12" max="12" width="21.7109375" style="8" customWidth="1"/>
    <col min="13" max="13" width="22.7109375" style="8" customWidth="1"/>
    <col min="14" max="14" width="18.5703125" style="8" customWidth="1"/>
    <col min="15" max="15" width="14.140625" style="8" customWidth="1"/>
    <col min="16" max="19" width="22.42578125" style="2" customWidth="1"/>
    <col min="20" max="20" width="13.5703125" style="2" customWidth="1"/>
    <col min="21" max="25" width="13.28515625" style="2" customWidth="1"/>
    <col min="26" max="26" width="13.42578125" style="2" customWidth="1"/>
    <col min="27" max="27" width="11.42578125" style="87" customWidth="1"/>
    <col min="28" max="28" width="10.42578125" style="2" customWidth="1"/>
    <col min="29" max="30" width="15.5703125" style="2" customWidth="1"/>
    <col min="31" max="31" width="22.42578125" style="2" customWidth="1"/>
    <col min="32" max="32" width="59.5703125" style="2" customWidth="1"/>
    <col min="33" max="33" width="20.42578125" style="2" customWidth="1"/>
    <col min="34" max="41" width="15.5703125" style="2" customWidth="1"/>
    <col min="42" max="44" width="17.7109375" style="2" customWidth="1"/>
    <col min="45" max="45" width="13.85546875" style="2" customWidth="1"/>
    <col min="46" max="46" width="12.42578125" style="2" customWidth="1"/>
    <col min="47" max="47" width="9.140625" style="2"/>
    <col min="48" max="48" width="13.85546875" style="2" customWidth="1"/>
    <col min="49" max="16384" width="9.140625" style="2"/>
  </cols>
  <sheetData>
    <row r="2" spans="2:48" ht="38.25" x14ac:dyDescent="0.2">
      <c r="B2" s="331" t="s">
        <v>154</v>
      </c>
      <c r="C2" s="1" t="s">
        <v>93</v>
      </c>
      <c r="D2" s="334" t="str">
        <f>'Enterprise Parameters-EXAMPLE'!E2</f>
        <v>Example Manufacturer</v>
      </c>
      <c r="E2" s="335"/>
      <c r="F2" s="336"/>
      <c r="G2" s="221"/>
      <c r="H2" s="221"/>
      <c r="I2" s="220" t="s">
        <v>665</v>
      </c>
      <c r="J2" s="216" t="s">
        <v>595</v>
      </c>
      <c r="K2" s="216" t="s">
        <v>594</v>
      </c>
      <c r="L2" s="216" t="s">
        <v>598</v>
      </c>
      <c r="M2" s="216" t="s">
        <v>615</v>
      </c>
      <c r="N2" s="216" t="s">
        <v>614</v>
      </c>
      <c r="O2" s="270"/>
      <c r="Q2" s="368" t="s">
        <v>685</v>
      </c>
      <c r="R2" s="368"/>
      <c r="S2" s="368"/>
      <c r="T2" s="368"/>
      <c r="U2" s="368"/>
      <c r="V2" s="368"/>
      <c r="W2" s="368"/>
      <c r="X2" s="368"/>
      <c r="Y2" s="368"/>
      <c r="Z2" s="368"/>
      <c r="AA2" s="368"/>
    </row>
    <row r="3" spans="2:48" x14ac:dyDescent="0.2">
      <c r="B3" s="332"/>
      <c r="C3" s="1" t="s">
        <v>22</v>
      </c>
      <c r="D3" s="334" t="str">
        <f>'Enterprise Parameters-EXAMPLE'!E3</f>
        <v>Enterprise</v>
      </c>
      <c r="E3" s="335"/>
      <c r="F3" s="336"/>
      <c r="G3" s="221"/>
      <c r="H3" s="221"/>
      <c r="I3" s="215" t="s">
        <v>136</v>
      </c>
      <c r="J3" s="219">
        <f>_xlfn.MAXIFS(tblRiskRegister3[Risk Score],tblRiskRegister3[Defends Against Malware],"Yes")</f>
        <v>12</v>
      </c>
      <c r="K3" s="219">
        <f>_xlfn.MAXIFS(tblRiskRegister3[Risk Score],tblRiskRegister3[Defends Against Ransomware],"Yes")</f>
        <v>12</v>
      </c>
      <c r="L3" s="219">
        <f>_xlfn.MAXIFS(tblRiskRegister3[Risk Score],tblRiskRegister3[Defends Against Web Application Hacking],"Yes")</f>
        <v>12</v>
      </c>
      <c r="M3" s="219">
        <f>_xlfn.MAXIFS(tblRiskRegister3[Risk Score],tblRiskRegister3[Defends Against Insider and Privilege Misuse],"Yes")</f>
        <v>12</v>
      </c>
      <c r="N3" s="219">
        <f>_xlfn.MAXIFS(tblRiskRegister3[Risk Score],tblRiskRegister3[Defends Against Targeted Intrusions],"Yes")</f>
        <v>15</v>
      </c>
      <c r="O3" s="271"/>
      <c r="Q3" s="368"/>
      <c r="R3" s="368"/>
      <c r="S3" s="368"/>
      <c r="T3" s="368"/>
      <c r="U3" s="368"/>
      <c r="V3" s="368"/>
      <c r="W3" s="368"/>
      <c r="X3" s="368"/>
      <c r="Y3" s="368"/>
      <c r="Z3" s="368"/>
      <c r="AA3" s="368"/>
    </row>
    <row r="4" spans="2:48" x14ac:dyDescent="0.2">
      <c r="B4" s="333"/>
      <c r="C4" s="1" t="s">
        <v>23</v>
      </c>
      <c r="D4" s="369">
        <f>'Enterprise Parameters-EXAMPLE'!E4</f>
        <v>44408</v>
      </c>
      <c r="E4" s="370"/>
      <c r="F4" s="336"/>
      <c r="G4" s="222"/>
      <c r="H4" s="222"/>
      <c r="I4" s="215" t="s">
        <v>596</v>
      </c>
      <c r="J4" s="219">
        <f>IFERROR(AVERAGEIF(tblRiskRegister3[Defends Against Malware],"&lt;&gt;No",tblRiskRegister3[Risk Score]),"")</f>
        <v>6.666666666666667</v>
      </c>
      <c r="K4" s="219">
        <f>IFERROR(AVERAGEIF(tblRiskRegister3[Defends Against Ransomware],"&lt;&gt;No",tblRiskRegister3[Risk Score]),"")</f>
        <v>6.666666666666667</v>
      </c>
      <c r="L4" s="219">
        <f>IFERROR(AVERAGEIF(tblRiskRegister3[Defends Against Web Application Hacking],"&lt;&gt;No",tblRiskRegister3[Risk Score]),"")</f>
        <v>6.666666666666667</v>
      </c>
      <c r="M4" s="219">
        <f>IFERROR(AVERAGEIF(tblRiskRegister3[Defends Against Insider and Privilege Misuse],"&lt;&gt;No",tblRiskRegister3[Risk Score]),"")</f>
        <v>8.75</v>
      </c>
      <c r="N4" s="219">
        <f>IFERROR(AVERAGEIF(tblRiskRegister3[Defends Against Targeted Intrusions],"&lt;&gt;No",tblRiskRegister3[Risk Score]),"")</f>
        <v>8.75</v>
      </c>
      <c r="O4" s="271"/>
      <c r="Q4" s="368"/>
      <c r="R4" s="368"/>
      <c r="S4" s="368"/>
      <c r="T4" s="368"/>
      <c r="U4" s="368"/>
      <c r="V4" s="368"/>
      <c r="W4" s="368"/>
      <c r="X4" s="368"/>
      <c r="Y4" s="368"/>
      <c r="Z4" s="368"/>
      <c r="AA4" s="368"/>
    </row>
    <row r="5" spans="2:48" ht="25.5" x14ac:dyDescent="0.2">
      <c r="I5" s="169" t="s">
        <v>597</v>
      </c>
      <c r="J5" s="219">
        <f>COUNTIFS(tblRiskRegister3[Defends Against Malware],"Yes",tblRiskRegister3[Risk Score],"&gt;="&amp;AcceptableRisk)</f>
        <v>3</v>
      </c>
      <c r="K5" s="219">
        <f>COUNTIFS(tblRiskRegister3[Defends Against Ransomware],"Yes",tblRiskRegister3[Risk Score],"&gt;="&amp;AcceptableRisk)</f>
        <v>3</v>
      </c>
      <c r="L5" s="219">
        <f>COUNTIFS(tblRiskRegister3[Defends Against Web Application Hacking],"Yes",tblRiskRegister3[Risk Score],"&gt;="&amp;AcceptableRisk)</f>
        <v>3</v>
      </c>
      <c r="M5" s="219">
        <f>COUNTIFS(tblRiskRegister3[Defends Against Insider and Privilege Misuse],"Yes",tblRiskRegister3[Risk Score],"&gt;="&amp;AcceptableRisk)</f>
        <v>3</v>
      </c>
      <c r="N5" s="219">
        <f>COUNTIFS(tblRiskRegister3[Defends Against Targeted Intrusions],"Yes",tblRiskRegister3[Risk Score],"&gt;="&amp;AcceptableRisk)</f>
        <v>4</v>
      </c>
      <c r="O5" s="271"/>
    </row>
    <row r="8" spans="2:48" x14ac:dyDescent="0.2">
      <c r="B8" s="4"/>
      <c r="C8" s="4"/>
      <c r="D8" s="4"/>
      <c r="E8" s="4"/>
      <c r="F8" s="4"/>
      <c r="G8" s="4"/>
      <c r="H8" s="4"/>
      <c r="I8" s="4"/>
      <c r="J8" s="4"/>
      <c r="K8" s="4"/>
      <c r="L8" s="4"/>
      <c r="M8" s="4"/>
      <c r="N8" s="4"/>
      <c r="O8" s="4"/>
      <c r="P8" s="4"/>
      <c r="Q8" s="4"/>
      <c r="R8" s="4"/>
      <c r="S8" s="4"/>
      <c r="T8" s="4"/>
      <c r="U8" s="4"/>
      <c r="V8" s="4"/>
      <c r="W8" s="4"/>
      <c r="X8" s="4"/>
      <c r="Y8" s="4"/>
      <c r="Z8" s="4"/>
      <c r="AA8" s="11"/>
      <c r="AB8" s="4"/>
      <c r="AC8" s="4"/>
      <c r="AD8" s="4"/>
      <c r="AE8" s="4"/>
      <c r="AF8" s="4"/>
      <c r="AG8" s="4"/>
      <c r="AH8" s="4"/>
      <c r="AI8" s="4"/>
      <c r="AJ8" s="4"/>
      <c r="AK8" s="4"/>
      <c r="AL8" s="4"/>
      <c r="AM8" s="4"/>
      <c r="AN8" s="4"/>
      <c r="AO8" s="4"/>
      <c r="AP8" s="4"/>
      <c r="AQ8" s="4"/>
      <c r="AR8" s="4"/>
    </row>
    <row r="10" spans="2:48" s="33" customFormat="1" ht="31.5" x14ac:dyDescent="0.2">
      <c r="B10" s="161" t="s">
        <v>24</v>
      </c>
      <c r="C10" s="340" t="s">
        <v>112</v>
      </c>
      <c r="D10" s="341"/>
      <c r="E10" s="341"/>
      <c r="F10" s="341"/>
      <c r="G10" s="341"/>
      <c r="H10" s="341"/>
      <c r="I10" s="341"/>
      <c r="J10" s="341"/>
      <c r="K10" s="341"/>
      <c r="L10" s="341"/>
      <c r="M10" s="341"/>
      <c r="N10" s="341"/>
      <c r="O10" s="341"/>
      <c r="P10" s="341"/>
      <c r="Q10" s="341"/>
      <c r="R10" s="341"/>
      <c r="S10" s="341"/>
      <c r="T10" s="341"/>
      <c r="U10" s="341"/>
      <c r="V10" s="341"/>
      <c r="W10" s="341"/>
      <c r="X10" s="341"/>
      <c r="Y10" s="341"/>
      <c r="Z10" s="341"/>
      <c r="AA10" s="341"/>
      <c r="AB10" s="342"/>
      <c r="AC10" s="161" t="s">
        <v>24</v>
      </c>
      <c r="AD10" s="340" t="s">
        <v>110</v>
      </c>
      <c r="AE10" s="341"/>
      <c r="AF10" s="341"/>
      <c r="AG10" s="341"/>
      <c r="AH10" s="341"/>
      <c r="AI10" s="341"/>
      <c r="AJ10" s="341"/>
      <c r="AK10" s="341"/>
      <c r="AL10" s="341"/>
      <c r="AM10" s="341"/>
      <c r="AN10" s="341"/>
      <c r="AO10" s="341"/>
      <c r="AP10" s="217"/>
      <c r="AQ10" s="217"/>
      <c r="AR10" s="218"/>
      <c r="AT10" s="330" t="s">
        <v>465</v>
      </c>
      <c r="AU10" s="330"/>
      <c r="AV10" s="330"/>
    </row>
    <row r="12" spans="2:48" s="10" customFormat="1" ht="64.5" thickBot="1" x14ac:dyDescent="0.25">
      <c r="B12" s="9" t="s">
        <v>107</v>
      </c>
      <c r="C12" s="9" t="s">
        <v>108</v>
      </c>
      <c r="D12" s="9" t="s">
        <v>20</v>
      </c>
      <c r="E12" s="277" t="s">
        <v>653</v>
      </c>
      <c r="F12" s="9" t="s">
        <v>461</v>
      </c>
      <c r="G12" s="9" t="s">
        <v>462</v>
      </c>
      <c r="H12" s="9" t="s">
        <v>524</v>
      </c>
      <c r="I12" s="113" t="s">
        <v>254</v>
      </c>
      <c r="J12" s="208" t="s">
        <v>661</v>
      </c>
      <c r="K12" s="208" t="s">
        <v>660</v>
      </c>
      <c r="L12" s="208" t="s">
        <v>662</v>
      </c>
      <c r="M12" s="208" t="s">
        <v>652</v>
      </c>
      <c r="N12" s="208" t="s">
        <v>651</v>
      </c>
      <c r="O12" s="273" t="s">
        <v>659</v>
      </c>
      <c r="P12" s="21" t="s">
        <v>477</v>
      </c>
      <c r="Q12" s="23" t="s">
        <v>481</v>
      </c>
      <c r="R12" s="21" t="s">
        <v>471</v>
      </c>
      <c r="S12" s="21" t="s">
        <v>579</v>
      </c>
      <c r="T12" s="21" t="s">
        <v>122</v>
      </c>
      <c r="U12" s="9" t="s">
        <v>18</v>
      </c>
      <c r="V12" s="9" t="s">
        <v>469</v>
      </c>
      <c r="W12" s="21" t="s">
        <v>0</v>
      </c>
      <c r="X12" s="21" t="s">
        <v>96</v>
      </c>
      <c r="Y12" s="21" t="s">
        <v>98</v>
      </c>
      <c r="Z12" s="21" t="s">
        <v>1</v>
      </c>
      <c r="AA12" s="9" t="s">
        <v>2</v>
      </c>
      <c r="AB12" s="9" t="s">
        <v>3</v>
      </c>
      <c r="AC12" s="5" t="s">
        <v>126</v>
      </c>
      <c r="AD12" s="29" t="s">
        <v>25</v>
      </c>
      <c r="AE12" s="29" t="s">
        <v>29</v>
      </c>
      <c r="AF12" s="29" t="s">
        <v>30</v>
      </c>
      <c r="AG12" s="118" t="s">
        <v>109</v>
      </c>
      <c r="AH12" s="5" t="s">
        <v>123</v>
      </c>
      <c r="AI12" s="29" t="s">
        <v>472</v>
      </c>
      <c r="AJ12" s="5" t="s">
        <v>31</v>
      </c>
      <c r="AK12" s="5" t="s">
        <v>97</v>
      </c>
      <c r="AL12" s="5" t="s">
        <v>464</v>
      </c>
      <c r="AM12" s="5" t="s">
        <v>32</v>
      </c>
      <c r="AN12" s="29" t="s">
        <v>34</v>
      </c>
      <c r="AO12" s="29" t="s">
        <v>111</v>
      </c>
      <c r="AP12" s="118" t="s">
        <v>33</v>
      </c>
      <c r="AQ12" s="118" t="s">
        <v>103</v>
      </c>
      <c r="AR12" s="118" t="s">
        <v>26</v>
      </c>
      <c r="AT12" s="11" t="s">
        <v>98</v>
      </c>
      <c r="AU12" s="11" t="s">
        <v>27</v>
      </c>
      <c r="AV12" s="11" t="s">
        <v>28</v>
      </c>
    </row>
    <row r="13" spans="2:48" ht="192" thickTop="1" x14ac:dyDescent="0.2">
      <c r="B13" s="206">
        <v>1.1000000000000001</v>
      </c>
      <c r="C13" s="194" t="s">
        <v>35</v>
      </c>
      <c r="D13" s="195" t="s">
        <v>88</v>
      </c>
      <c r="E13" s="276" t="s">
        <v>654</v>
      </c>
      <c r="F13" s="196" t="s">
        <v>463</v>
      </c>
      <c r="G13" s="195" t="s">
        <v>463</v>
      </c>
      <c r="H13" s="195" t="s">
        <v>463</v>
      </c>
      <c r="I13" s="223"/>
      <c r="J13" s="292" t="s">
        <v>666</v>
      </c>
      <c r="K13" s="292" t="s">
        <v>666</v>
      </c>
      <c r="L13" s="292" t="s">
        <v>666</v>
      </c>
      <c r="M13" s="292" t="s">
        <v>666</v>
      </c>
      <c r="N13" s="292" t="s">
        <v>666</v>
      </c>
      <c r="O13" s="295">
        <f>COUNTIF(tblRiskRegister3[[#This Row],[Defends Against Malware]:[Defends Against Targeted Intrusions]],"Yes")</f>
        <v>0</v>
      </c>
      <c r="P13" s="12"/>
      <c r="Q13" s="197"/>
      <c r="R13" s="12"/>
      <c r="S13" s="12"/>
      <c r="T13" s="13"/>
      <c r="U13" s="24">
        <f>IFERROR(VLOOKUP(tblRiskRegister3[[#This Row],[Asset Class]],tblVCDBIndex[],4,FALSE),"")</f>
        <v>1</v>
      </c>
      <c r="V13" s="24" t="str">
        <f>IFERROR(VLOOKUP(10*tblRiskRegister3[[#This Row],[Safeguard Maturity Score]]+tblRiskRegister3[[#This Row],[VCDB Index]],tblHITIndexWeightTable[],4,FALSE),"")</f>
        <v/>
      </c>
      <c r="W13" s="299"/>
      <c r="X13" s="299"/>
      <c r="Y13" s="299"/>
      <c r="Z13" s="299"/>
      <c r="AA13" s="24" t="str">
        <f>IFERROR(MAX(tblRiskRegister3[[#This Row],[Impact to Mission]:[Impact to Obligations]])*tblRiskRegister3[[#This Row],[Expectancy Score]],"")</f>
        <v/>
      </c>
      <c r="AB13" s="24" t="str">
        <f>tblRiskRegister3[[#This Row],[Risk Score]]</f>
        <v/>
      </c>
      <c r="AC13" s="79"/>
      <c r="AD13" s="206">
        <v>1.1000000000000001</v>
      </c>
      <c r="AE13" s="194" t="s">
        <v>35</v>
      </c>
      <c r="AF13" s="194" t="s">
        <v>334</v>
      </c>
      <c r="AG13" s="25"/>
      <c r="AH13" s="13"/>
      <c r="AI13" s="100" t="str">
        <f>IFERROR(VLOOKUP(10*tblRiskRegister3[[#This Row],[Risk Treatment Safeguard Maturity Score]]+tblRiskRegister3[[#This Row],[VCDB Index]],tblHITIndexWeightTable[],4,FALSE),"")</f>
        <v/>
      </c>
      <c r="AJ13" s="300"/>
      <c r="AK13" s="300"/>
      <c r="AL13" s="300"/>
      <c r="AM13" s="300"/>
      <c r="AN13" s="100" t="str">
        <f>IFERROR(MAX(tblRiskRegister3[[#This Row],[Risk Treatment Safeguard Impact to Mission]:[Risk Treatment Safeguard Impact to Obligations]])*tblRiskRegister3[[#This Row],[Risk Treatment
Safeguard Expectancy Score]],"")</f>
        <v/>
      </c>
      <c r="AO13" s="100" t="str">
        <f>IF(tblRiskRegister3[[#This Row],[Risk Score]]&gt;AcceptableRisk1,IF(tblRiskRegister3[[#This Row],[Risk Treatment Safeguard Risk Score]]&lt;AcceptableRisk1, IF(tblRiskRegister3[[#This Row],[Risk Treatment Safeguard Risk Score]]&lt;=tblRiskRegister3[[#This Row],[Risk Score]],"Yes","No"),"No"),"Yes")</f>
        <v>No</v>
      </c>
      <c r="AP13" s="15"/>
      <c r="AQ13" s="15"/>
      <c r="AR13" s="16"/>
      <c r="AT13" s="17">
        <f>SUMIF(tblRiskRegister3[[#All],[Implementation Year]],"="&amp;tblCostImpacts338[[#This Row],[Year]],tblRiskRegister3[[#All],[Risk Treatment Safeguard Cost]])</f>
        <v>0</v>
      </c>
      <c r="AU13" s="6">
        <v>2021</v>
      </c>
      <c r="AV13" s="6" t="str">
        <f>IF(tblCostImpacts338[[#This Row],[Impact to Financial Objectives]]&lt;='Enterprise Parameters-EXAMPLE'!$F$13,"Yes","No")</f>
        <v>Yes</v>
      </c>
    </row>
    <row r="14" spans="2:48" ht="51" x14ac:dyDescent="0.2">
      <c r="B14" s="207">
        <v>1.2</v>
      </c>
      <c r="C14" s="194" t="s">
        <v>13</v>
      </c>
      <c r="D14" s="88" t="s">
        <v>88</v>
      </c>
      <c r="E14" s="274" t="s">
        <v>655</v>
      </c>
      <c r="F14" s="14" t="s">
        <v>463</v>
      </c>
      <c r="G14" s="88" t="s">
        <v>463</v>
      </c>
      <c r="H14" s="88" t="s">
        <v>463</v>
      </c>
      <c r="I14" s="223"/>
      <c r="J14" s="292" t="s">
        <v>666</v>
      </c>
      <c r="K14" s="292" t="s">
        <v>666</v>
      </c>
      <c r="L14" s="292" t="s">
        <v>666</v>
      </c>
      <c r="M14" s="292" t="s">
        <v>666</v>
      </c>
      <c r="N14" s="292" t="s">
        <v>666</v>
      </c>
      <c r="O14" s="295">
        <f>COUNTIF(tblRiskRegister3[[#This Row],[Defends Against Malware]:[Defends Against Targeted Intrusions]],"Yes")</f>
        <v>0</v>
      </c>
      <c r="P14" s="12"/>
      <c r="Q14" s="197"/>
      <c r="R14" s="12"/>
      <c r="S14" s="12"/>
      <c r="T14" s="13"/>
      <c r="U14" s="24">
        <f>IFERROR(VLOOKUP(tblRiskRegister3[[#This Row],[Asset Class]],tblVCDBIndex[],4,FALSE),"")</f>
        <v>1</v>
      </c>
      <c r="V14" s="24" t="str">
        <f>IFERROR(VLOOKUP(10*tblRiskRegister3[[#This Row],[Safeguard Maturity Score]]+tblRiskRegister3[[#This Row],[VCDB Index]],tblHITIndexWeightTable[],4,FALSE),"")</f>
        <v/>
      </c>
      <c r="W14" s="299"/>
      <c r="X14" s="299"/>
      <c r="Y14" s="299"/>
      <c r="Z14" s="299"/>
      <c r="AA14" s="24" t="str">
        <f>IFERROR(MAX(tblRiskRegister3[[#This Row],[Impact to Mission]:[Impact to Obligations]])*tblRiskRegister3[[#This Row],[Expectancy Score]],"")</f>
        <v/>
      </c>
      <c r="AB14" s="24" t="str">
        <f>tblRiskRegister3[[#This Row],[Risk Score]]</f>
        <v/>
      </c>
      <c r="AC14" s="79"/>
      <c r="AD14" s="206">
        <v>1.2</v>
      </c>
      <c r="AE14" s="194" t="s">
        <v>13</v>
      </c>
      <c r="AF14" s="194" t="s">
        <v>335</v>
      </c>
      <c r="AG14" s="25"/>
      <c r="AH14" s="13"/>
      <c r="AI14" s="100" t="str">
        <f>IFERROR(VLOOKUP(10*tblRiskRegister3[[#This Row],[Risk Treatment Safeguard Maturity Score]]+tblRiskRegister3[[#This Row],[VCDB Index]],tblHITIndexWeightTable[],4,FALSE),"")</f>
        <v/>
      </c>
      <c r="AJ14" s="300"/>
      <c r="AK14" s="300"/>
      <c r="AL14" s="300"/>
      <c r="AM14" s="300"/>
      <c r="AN14" s="100" t="str">
        <f>IFERROR(MAX(tblRiskRegister3[[#This Row],[Risk Treatment Safeguard Impact to Mission]:[Risk Treatment Safeguard Impact to Obligations]])*tblRiskRegister3[[#This Row],[Risk Treatment
Safeguard Expectancy Score]],"")</f>
        <v/>
      </c>
      <c r="AO14" s="100" t="str">
        <f>IF(tblRiskRegister3[[#This Row],[Risk Score]]&gt;AcceptableRisk1,IF(tblRiskRegister3[[#This Row],[Risk Treatment Safeguard Risk Score]]&lt;AcceptableRisk1, IF(tblRiskRegister3[[#This Row],[Risk Treatment Safeguard Risk Score]]&lt;=tblRiskRegister3[[#This Row],[Risk Score]],"Yes","No"),"No"),"Yes")</f>
        <v>No</v>
      </c>
      <c r="AP14" s="15"/>
      <c r="AQ14" s="15"/>
      <c r="AR14" s="16"/>
      <c r="AT14" s="17">
        <f>SUMIF(tblRiskRegister3[[#All],[Implementation Year]],"="&amp;tblCostImpacts338[[#This Row],[Year]],tblRiskRegister3[[#All],[Risk Treatment Safeguard Cost]])</f>
        <v>150000</v>
      </c>
      <c r="AU14" s="6">
        <v>2022</v>
      </c>
      <c r="AV14" s="6" t="str">
        <f>IF(tblCostImpacts338[[#This Row],[Impact to Financial Objectives]]&lt;='Enterprise Parameters-EXAMPLE'!$F$13,"Yes","No")</f>
        <v>Yes</v>
      </c>
    </row>
    <row r="15" spans="2:48" ht="38.25" x14ac:dyDescent="0.2">
      <c r="B15" s="207">
        <v>1.3</v>
      </c>
      <c r="C15" s="194" t="s">
        <v>178</v>
      </c>
      <c r="D15" s="88" t="s">
        <v>88</v>
      </c>
      <c r="E15" s="274" t="s">
        <v>656</v>
      </c>
      <c r="F15" s="14"/>
      <c r="G15" s="88" t="s">
        <v>463</v>
      </c>
      <c r="H15" s="88" t="s">
        <v>463</v>
      </c>
      <c r="I15" s="223"/>
      <c r="J15" s="292" t="s">
        <v>666</v>
      </c>
      <c r="K15" s="292" t="s">
        <v>666</v>
      </c>
      <c r="L15" s="292" t="s">
        <v>666</v>
      </c>
      <c r="M15" s="292" t="s">
        <v>666</v>
      </c>
      <c r="N15" s="292" t="s">
        <v>666</v>
      </c>
      <c r="O15" s="295">
        <f>COUNTIF(tblRiskRegister3[[#This Row],[Defends Against Malware]:[Defends Against Targeted Intrusions]],"Yes")</f>
        <v>0</v>
      </c>
      <c r="P15" s="12"/>
      <c r="Q15" s="197"/>
      <c r="R15" s="12"/>
      <c r="S15" s="12"/>
      <c r="T15" s="13"/>
      <c r="U15" s="24">
        <f>IFERROR(VLOOKUP(tblRiskRegister3[[#This Row],[Asset Class]],tblVCDBIndex[],4,FALSE),"")</f>
        <v>1</v>
      </c>
      <c r="V15" s="24" t="str">
        <f>IFERROR(VLOOKUP(10*tblRiskRegister3[[#This Row],[Safeguard Maturity Score]]+tblRiskRegister3[[#This Row],[VCDB Index]],tblHITIndexWeightTable[],4,FALSE),"")</f>
        <v/>
      </c>
      <c r="W15" s="299"/>
      <c r="X15" s="299"/>
      <c r="Y15" s="299"/>
      <c r="Z15" s="299"/>
      <c r="AA15" s="24" t="str">
        <f>IFERROR(MAX(tblRiskRegister3[[#This Row],[Impact to Mission]:[Impact to Obligations]])*tblRiskRegister3[[#This Row],[Expectancy Score]],"")</f>
        <v/>
      </c>
      <c r="AB15" s="24" t="str">
        <f>tblRiskRegister3[[#This Row],[Risk Score]]</f>
        <v/>
      </c>
      <c r="AC15" s="79"/>
      <c r="AD15" s="206">
        <v>1.3</v>
      </c>
      <c r="AE15" s="194" t="s">
        <v>178</v>
      </c>
      <c r="AF15" s="194" t="s">
        <v>336</v>
      </c>
      <c r="AG15" s="25"/>
      <c r="AH15" s="13"/>
      <c r="AI15" s="100" t="str">
        <f>IFERROR(VLOOKUP(10*tblRiskRegister3[[#This Row],[Risk Treatment Safeguard Maturity Score]]+tblRiskRegister3[[#This Row],[VCDB Index]],tblHITIndexWeightTable[],4,FALSE),"")</f>
        <v/>
      </c>
      <c r="AJ15" s="300"/>
      <c r="AK15" s="300"/>
      <c r="AL15" s="300"/>
      <c r="AM15" s="300"/>
      <c r="AN15" s="100" t="str">
        <f>IFERROR(MAX(tblRiskRegister3[[#This Row],[Risk Treatment Safeguard Impact to Mission]:[Risk Treatment Safeguard Impact to Obligations]])*tblRiskRegister3[[#This Row],[Risk Treatment
Safeguard Expectancy Score]],"")</f>
        <v/>
      </c>
      <c r="AO15" s="100" t="str">
        <f>IF(tblRiskRegister3[[#This Row],[Risk Score]]&gt;AcceptableRisk1,IF(tblRiskRegister3[[#This Row],[Risk Treatment Safeguard Risk Score]]&lt;AcceptableRisk1, IF(tblRiskRegister3[[#This Row],[Risk Treatment Safeguard Risk Score]]&lt;=tblRiskRegister3[[#This Row],[Risk Score]],"Yes","No"),"No"),"Yes")</f>
        <v>No</v>
      </c>
      <c r="AP15" s="15"/>
      <c r="AQ15" s="15"/>
      <c r="AR15" s="16"/>
      <c r="AT15" s="17">
        <f>SUMIF(tblRiskRegister3[[#All],[Implementation Year]],"="&amp;tblCostImpacts338[[#This Row],[Year]],tblRiskRegister3[[#All],[Risk Treatment Safeguard Cost]])</f>
        <v>0</v>
      </c>
      <c r="AU15" s="6">
        <v>2023</v>
      </c>
      <c r="AV15" s="6" t="str">
        <f>IF(tblCostImpacts338[[#This Row],[Impact to Financial Objectives]]&lt;='Enterprise Parameters-EXAMPLE'!$F$13,"Yes","No")</f>
        <v>Yes</v>
      </c>
    </row>
    <row r="16" spans="2:48" ht="63.75" x14ac:dyDescent="0.2">
      <c r="B16" s="207">
        <v>1.4</v>
      </c>
      <c r="C16" s="194" t="s">
        <v>179</v>
      </c>
      <c r="D16" s="88" t="s">
        <v>88</v>
      </c>
      <c r="E16" s="274" t="s">
        <v>654</v>
      </c>
      <c r="F16" s="14"/>
      <c r="G16" s="88" t="s">
        <v>463</v>
      </c>
      <c r="H16" s="88" t="s">
        <v>463</v>
      </c>
      <c r="I16" s="223"/>
      <c r="J16" s="292" t="s">
        <v>666</v>
      </c>
      <c r="K16" s="292" t="s">
        <v>666</v>
      </c>
      <c r="L16" s="292" t="s">
        <v>666</v>
      </c>
      <c r="M16" s="292" t="s">
        <v>666</v>
      </c>
      <c r="N16" s="292" t="s">
        <v>666</v>
      </c>
      <c r="O16" s="295">
        <f>COUNTIF(tblRiskRegister3[[#This Row],[Defends Against Malware]:[Defends Against Targeted Intrusions]],"Yes")</f>
        <v>0</v>
      </c>
      <c r="P16" s="12"/>
      <c r="Q16" s="197"/>
      <c r="R16" s="12"/>
      <c r="S16" s="12"/>
      <c r="T16" s="13"/>
      <c r="U16" s="24">
        <f>IFERROR(VLOOKUP(tblRiskRegister3[[#This Row],[Asset Class]],tblVCDBIndex[],4,FALSE),"")</f>
        <v>1</v>
      </c>
      <c r="V16" s="24" t="str">
        <f>IFERROR(VLOOKUP(10*tblRiskRegister3[[#This Row],[Safeguard Maturity Score]]+tblRiskRegister3[[#This Row],[VCDB Index]],tblHITIndexWeightTable[],4,FALSE),"")</f>
        <v/>
      </c>
      <c r="W16" s="299"/>
      <c r="X16" s="299"/>
      <c r="Y16" s="299"/>
      <c r="Z16" s="299"/>
      <c r="AA16" s="24" t="str">
        <f>IFERROR(MAX(tblRiskRegister3[[#This Row],[Impact to Mission]:[Impact to Obligations]])*tblRiskRegister3[[#This Row],[Expectancy Score]],"")</f>
        <v/>
      </c>
      <c r="AB16" s="24" t="str">
        <f>tblRiskRegister3[[#This Row],[Risk Score]]</f>
        <v/>
      </c>
      <c r="AC16" s="79"/>
      <c r="AD16" s="206">
        <v>1.4</v>
      </c>
      <c r="AE16" s="194" t="s">
        <v>179</v>
      </c>
      <c r="AF16" s="194" t="s">
        <v>337</v>
      </c>
      <c r="AG16" s="25"/>
      <c r="AH16" s="13"/>
      <c r="AI16" s="100" t="str">
        <f>IFERROR(VLOOKUP(10*tblRiskRegister3[[#This Row],[Risk Treatment Safeguard Maturity Score]]+tblRiskRegister3[[#This Row],[VCDB Index]],tblHITIndexWeightTable[],4,FALSE),"")</f>
        <v/>
      </c>
      <c r="AJ16" s="300"/>
      <c r="AK16" s="300"/>
      <c r="AL16" s="300"/>
      <c r="AM16" s="300"/>
      <c r="AN16" s="100" t="str">
        <f>IFERROR(MAX(tblRiskRegister3[[#This Row],[Risk Treatment Safeguard Impact to Mission]:[Risk Treatment Safeguard Impact to Obligations]])*tblRiskRegister3[[#This Row],[Risk Treatment
Safeguard Expectancy Score]],"")</f>
        <v/>
      </c>
      <c r="AO16" s="100" t="str">
        <f>IF(tblRiskRegister3[[#This Row],[Risk Score]]&gt;AcceptableRisk1,IF(tblRiskRegister3[[#This Row],[Risk Treatment Safeguard Risk Score]]&lt;AcceptableRisk1, IF(tblRiskRegister3[[#This Row],[Risk Treatment Safeguard Risk Score]]&lt;=tblRiskRegister3[[#This Row],[Risk Score]],"Yes","No"),"No"),"Yes")</f>
        <v>No</v>
      </c>
      <c r="AP16" s="15"/>
      <c r="AQ16" s="15"/>
      <c r="AR16" s="16"/>
      <c r="AT16" s="17">
        <f>SUMIF(tblRiskRegister3[[#All],[Implementation Year]],"="&amp;tblCostImpacts338[[#This Row],[Year]],tblRiskRegister3[[#All],[Risk Treatment Safeguard Cost]])</f>
        <v>0</v>
      </c>
      <c r="AU16" s="6">
        <v>2024</v>
      </c>
      <c r="AV16" s="6" t="str">
        <f>IF(tblCostImpacts338[[#This Row],[Impact to Financial Objectives]]&lt;='Enterprise Parameters-EXAMPLE'!$F$13,"Yes","No")</f>
        <v>Yes</v>
      </c>
    </row>
    <row r="17" spans="2:48" ht="38.25" x14ac:dyDescent="0.2">
      <c r="B17" s="207">
        <v>1.5</v>
      </c>
      <c r="C17" s="194" t="s">
        <v>540</v>
      </c>
      <c r="D17" s="88" t="s">
        <v>88</v>
      </c>
      <c r="E17" s="274" t="s">
        <v>656</v>
      </c>
      <c r="F17" s="14"/>
      <c r="G17" s="88"/>
      <c r="H17" s="88" t="s">
        <v>463</v>
      </c>
      <c r="I17" s="223"/>
      <c r="J17" s="292" t="s">
        <v>666</v>
      </c>
      <c r="K17" s="292" t="s">
        <v>666</v>
      </c>
      <c r="L17" s="292" t="s">
        <v>666</v>
      </c>
      <c r="M17" s="292" t="s">
        <v>666</v>
      </c>
      <c r="N17" s="292" t="s">
        <v>666</v>
      </c>
      <c r="O17" s="295">
        <f>COUNTIF(tblRiskRegister3[[#This Row],[Defends Against Malware]:[Defends Against Targeted Intrusions]],"Yes")</f>
        <v>0</v>
      </c>
      <c r="P17" s="12"/>
      <c r="Q17" s="197"/>
      <c r="R17" s="12"/>
      <c r="S17" s="12"/>
      <c r="T17" s="13"/>
      <c r="U17" s="24">
        <f>IFERROR(VLOOKUP(tblRiskRegister3[[#This Row],[Asset Class]],tblVCDBIndex[],4,FALSE),"")</f>
        <v>1</v>
      </c>
      <c r="V17" s="24" t="str">
        <f>IFERROR(VLOOKUP(10*tblRiskRegister3[[#This Row],[Safeguard Maturity Score]]+tblRiskRegister3[[#This Row],[VCDB Index]],tblHITIndexWeightTable[],4,FALSE),"")</f>
        <v/>
      </c>
      <c r="W17" s="299"/>
      <c r="X17" s="299"/>
      <c r="Y17" s="299"/>
      <c r="Z17" s="299"/>
      <c r="AA17" s="24" t="str">
        <f>IFERROR(MAX(tblRiskRegister3[[#This Row],[Impact to Mission]:[Impact to Obligations]])*tblRiskRegister3[[#This Row],[Expectancy Score]],"")</f>
        <v/>
      </c>
      <c r="AB17" s="24" t="str">
        <f>tblRiskRegister3[[#This Row],[Risk Score]]</f>
        <v/>
      </c>
      <c r="AC17" s="79"/>
      <c r="AD17" s="206">
        <v>1.5</v>
      </c>
      <c r="AE17" s="194" t="s">
        <v>540</v>
      </c>
      <c r="AF17" s="194" t="s">
        <v>552</v>
      </c>
      <c r="AG17" s="25"/>
      <c r="AH17" s="13"/>
      <c r="AI17" s="100" t="str">
        <f>IFERROR(VLOOKUP(10*tblRiskRegister3[[#This Row],[Risk Treatment Safeguard Maturity Score]]+tblRiskRegister3[[#This Row],[VCDB Index]],tblHITIndexWeightTable[],4,FALSE),"")</f>
        <v/>
      </c>
      <c r="AJ17" s="300"/>
      <c r="AK17" s="300"/>
      <c r="AL17" s="300"/>
      <c r="AM17" s="300"/>
      <c r="AN17" s="100" t="str">
        <f>IFERROR(MAX(tblRiskRegister3[[#This Row],[Risk Treatment Safeguard Impact to Mission]:[Risk Treatment Safeguard Impact to Obligations]])*tblRiskRegister3[[#This Row],[Risk Treatment
Safeguard Expectancy Score]],"")</f>
        <v/>
      </c>
      <c r="AO17" s="100" t="str">
        <f>IF(tblRiskRegister3[[#This Row],[Risk Score]]&gt;AcceptableRisk1,IF(tblRiskRegister3[[#This Row],[Risk Treatment Safeguard Risk Score]]&lt;AcceptableRisk1, IF(tblRiskRegister3[[#This Row],[Risk Treatment Safeguard Risk Score]]&lt;=tblRiskRegister3[[#This Row],[Risk Score]],"Yes","No"),"No"),"Yes")</f>
        <v>No</v>
      </c>
      <c r="AP17" s="15"/>
      <c r="AQ17" s="15"/>
      <c r="AR17" s="16"/>
      <c r="AT17" s="17">
        <f>SUMIF(tblRiskRegister3[[#All],[Implementation Year]],"="&amp;tblCostImpacts338[[#This Row],[Year]],tblRiskRegister3[[#All],[Risk Treatment Safeguard Cost]])</f>
        <v>0</v>
      </c>
      <c r="AU17" s="6">
        <v>2025</v>
      </c>
      <c r="AV17" s="6" t="str">
        <f>IF(tblCostImpacts338[[#This Row],[Impact to Financial Objectives]]&lt;='Enterprise Parameters-EXAMPLE'!$F$13,"Yes","No")</f>
        <v>Yes</v>
      </c>
    </row>
    <row r="18" spans="2:48" ht="89.25" x14ac:dyDescent="0.2">
      <c r="B18" s="207">
        <v>2.1</v>
      </c>
      <c r="C18" s="194" t="s">
        <v>36</v>
      </c>
      <c r="D18" s="88" t="s">
        <v>89</v>
      </c>
      <c r="E18" s="274" t="s">
        <v>654</v>
      </c>
      <c r="F18" s="14" t="s">
        <v>463</v>
      </c>
      <c r="G18" s="88" t="s">
        <v>463</v>
      </c>
      <c r="H18" s="88" t="s">
        <v>463</v>
      </c>
      <c r="I18" s="223"/>
      <c r="J18" s="293" t="s">
        <v>667</v>
      </c>
      <c r="K18" s="293" t="s">
        <v>667</v>
      </c>
      <c r="L18" s="293" t="s">
        <v>667</v>
      </c>
      <c r="M18" s="293" t="s">
        <v>667</v>
      </c>
      <c r="N18" s="293" t="s">
        <v>667</v>
      </c>
      <c r="O18" s="295">
        <f>COUNTIF(tblRiskRegister3[[#This Row],[Defends Against Malware]:[Defends Against Targeted Intrusions]],"Yes")</f>
        <v>5</v>
      </c>
      <c r="P18" s="12"/>
      <c r="Q18" s="12"/>
      <c r="R18" s="12"/>
      <c r="S18" s="12"/>
      <c r="T18" s="198"/>
      <c r="U18" s="199">
        <f>IFERROR(VLOOKUP(tblRiskRegister3[[#This Row],[Asset Class]],tblVCDBIndex[],4,FALSE),"")</f>
        <v>1</v>
      </c>
      <c r="V18" s="24" t="str">
        <f>IFERROR(VLOOKUP(10*tblRiskRegister3[[#This Row],[Safeguard Maturity Score]]+tblRiskRegister3[[#This Row],[VCDB Index]],tblHITIndexWeightTable[],4,FALSE),"")</f>
        <v/>
      </c>
      <c r="W18" s="294"/>
      <c r="X18" s="294"/>
      <c r="Y18" s="294"/>
      <c r="Z18" s="294"/>
      <c r="AA18" s="24" t="str">
        <f>IFERROR(MAX(tblRiskRegister3[[#This Row],[Impact to Mission]:[Impact to Obligations]])*tblRiskRegister3[[#This Row],[Expectancy Score]],"")</f>
        <v/>
      </c>
      <c r="AB18" s="24" t="str">
        <f>tblRiskRegister3[[#This Row],[Risk Score]]</f>
        <v/>
      </c>
      <c r="AC18" s="79"/>
      <c r="AD18" s="206">
        <v>2.1</v>
      </c>
      <c r="AE18" s="194" t="s">
        <v>36</v>
      </c>
      <c r="AF18" s="194" t="s">
        <v>338</v>
      </c>
      <c r="AG18" s="25"/>
      <c r="AH18" s="13"/>
      <c r="AI18" s="22" t="str">
        <f>IFERROR(VLOOKUP(10*tblRiskRegister3[[#This Row],[Risk Treatment Safeguard Maturity Score]]+tblRiskRegister3[[#This Row],[VCDB Index]],tblHITIndexWeightTable[],4,FALSE),"")</f>
        <v/>
      </c>
      <c r="AJ18" s="292"/>
      <c r="AK18" s="292"/>
      <c r="AL18" s="292"/>
      <c r="AM18" s="292"/>
      <c r="AN18" s="100" t="str">
        <f>IFERROR(MAX(tblRiskRegister3[[#This Row],[Risk Treatment Safeguard Impact to Mission]:[Risk Treatment Safeguard Impact to Obligations]])*tblRiskRegister3[[#This Row],[Risk Treatment
Safeguard Expectancy Score]],"")</f>
        <v/>
      </c>
      <c r="AO18" s="100" t="str">
        <f>IF(tblRiskRegister3[[#This Row],[Risk Score]]&gt;AcceptableRisk1,IF(tblRiskRegister3[[#This Row],[Risk Treatment Safeguard Risk Score]]&lt;AcceptableRisk1, IF(tblRiskRegister3[[#This Row],[Risk Treatment Safeguard Risk Score]]&lt;=tblRiskRegister3[[#This Row],[Risk Score]],"Yes","No"),"No"),"Yes")</f>
        <v>No</v>
      </c>
      <c r="AP18" s="15"/>
      <c r="AQ18" s="15"/>
      <c r="AR18" s="16"/>
      <c r="AT18" s="17">
        <f>SUMIF(tblRiskRegister3[[#All],[Implementation Year]],"="&amp;tblCostImpacts338[[#This Row],[Year]],tblRiskRegister3[[#All],[Risk Treatment Safeguard Cost]])</f>
        <v>0</v>
      </c>
      <c r="AU18" s="6">
        <v>2026</v>
      </c>
      <c r="AV18" s="6" t="str">
        <f>IF(tblCostImpacts338[[#This Row],[Impact to Financial Objectives]]&lt;='Enterprise Parameters-EXAMPLE'!$F$13,"Yes","No")</f>
        <v>Yes</v>
      </c>
    </row>
    <row r="19" spans="2:48" ht="102" x14ac:dyDescent="0.2">
      <c r="B19" s="207">
        <v>2.2000000000000002</v>
      </c>
      <c r="C19" s="194" t="s">
        <v>37</v>
      </c>
      <c r="D19" s="88" t="s">
        <v>89</v>
      </c>
      <c r="E19" s="274" t="s">
        <v>654</v>
      </c>
      <c r="F19" s="14" t="s">
        <v>463</v>
      </c>
      <c r="G19" s="88" t="s">
        <v>463</v>
      </c>
      <c r="H19" s="88" t="s">
        <v>463</v>
      </c>
      <c r="I19" s="223"/>
      <c r="J19" s="293" t="s">
        <v>667</v>
      </c>
      <c r="K19" s="293" t="s">
        <v>667</v>
      </c>
      <c r="L19" s="293" t="s">
        <v>667</v>
      </c>
      <c r="M19" s="293" t="s">
        <v>667</v>
      </c>
      <c r="N19" s="293" t="s">
        <v>667</v>
      </c>
      <c r="O19" s="295">
        <f>COUNTIF(tblRiskRegister3[[#This Row],[Defends Against Malware]:[Defends Against Targeted Intrusions]],"Yes")</f>
        <v>5</v>
      </c>
      <c r="P19" s="12"/>
      <c r="Q19" s="12"/>
      <c r="R19" s="12"/>
      <c r="S19" s="12"/>
      <c r="T19" s="198"/>
      <c r="U19" s="199">
        <f>IFERROR(VLOOKUP(tblRiskRegister3[[#This Row],[Asset Class]],tblVCDBIndex[],4,FALSE),"")</f>
        <v>1</v>
      </c>
      <c r="V19" s="24" t="str">
        <f>IFERROR(VLOOKUP(10*tblRiskRegister3[[#This Row],[Safeguard Maturity Score]]+tblRiskRegister3[[#This Row],[VCDB Index]],tblHITIndexWeightTable[],4,FALSE),"")</f>
        <v/>
      </c>
      <c r="W19" s="294"/>
      <c r="X19" s="294"/>
      <c r="Y19" s="294"/>
      <c r="Z19" s="294"/>
      <c r="AA19" s="24" t="str">
        <f>IFERROR(MAX(tblRiskRegister3[[#This Row],[Impact to Mission]:[Impact to Obligations]])*tblRiskRegister3[[#This Row],[Expectancy Score]],"")</f>
        <v/>
      </c>
      <c r="AB19" s="24" t="str">
        <f>tblRiskRegister3[[#This Row],[Risk Score]]</f>
        <v/>
      </c>
      <c r="AC19" s="79"/>
      <c r="AD19" s="206">
        <v>2.2000000000000002</v>
      </c>
      <c r="AE19" s="194" t="s">
        <v>37</v>
      </c>
      <c r="AF19" s="194" t="s">
        <v>339</v>
      </c>
      <c r="AG19" s="25"/>
      <c r="AH19" s="13"/>
      <c r="AI19" s="22" t="str">
        <f>IFERROR(VLOOKUP(10*tblRiskRegister3[[#This Row],[Risk Treatment Safeguard Maturity Score]]+tblRiskRegister3[[#This Row],[VCDB Index]],tblHITIndexWeightTable[],4,FALSE),"")</f>
        <v/>
      </c>
      <c r="AJ19" s="292"/>
      <c r="AK19" s="292"/>
      <c r="AL19" s="292"/>
      <c r="AM19" s="292"/>
      <c r="AN19" s="100" t="str">
        <f>IFERROR(MAX(tblRiskRegister3[[#This Row],[Risk Treatment Safeguard Impact to Mission]:[Risk Treatment Safeguard Impact to Obligations]])*tblRiskRegister3[[#This Row],[Risk Treatment
Safeguard Expectancy Score]],"")</f>
        <v/>
      </c>
      <c r="AO19" s="100" t="str">
        <f>IF(tblRiskRegister3[[#This Row],[Risk Score]]&gt;AcceptableRisk1,IF(tblRiskRegister3[[#This Row],[Risk Treatment Safeguard Risk Score]]&lt;AcceptableRisk1, IF(tblRiskRegister3[[#This Row],[Risk Treatment Safeguard Risk Score]]&lt;=tblRiskRegister3[[#This Row],[Risk Score]],"Yes","No"),"No"),"Yes")</f>
        <v>No</v>
      </c>
      <c r="AP19" s="15"/>
      <c r="AQ19" s="15"/>
      <c r="AR19" s="16"/>
      <c r="AT19" s="17">
        <f>SUMIF(tblRiskRegister3[[#All],[Implementation Year]],"="&amp;tblCostImpacts338[[#This Row],[Year]],tblRiskRegister3[[#All],[Risk Treatment Safeguard Cost]])</f>
        <v>0</v>
      </c>
      <c r="AU19" s="6">
        <v>2027</v>
      </c>
      <c r="AV19" s="6" t="str">
        <f>IF(tblCostImpacts338[[#This Row],[Impact to Financial Objectives]]&lt;='Enterprise Parameters-EXAMPLE'!$F$13,"Yes","No")</f>
        <v>Yes</v>
      </c>
    </row>
    <row r="20" spans="2:48" ht="38.25" x14ac:dyDescent="0.2">
      <c r="B20" s="207">
        <v>2.2999999999999998</v>
      </c>
      <c r="C20" s="194" t="s">
        <v>38</v>
      </c>
      <c r="D20" s="88" t="s">
        <v>89</v>
      </c>
      <c r="E20" s="274" t="s">
        <v>655</v>
      </c>
      <c r="F20" s="14" t="s">
        <v>463</v>
      </c>
      <c r="G20" s="88" t="s">
        <v>463</v>
      </c>
      <c r="H20" s="88" t="s">
        <v>463</v>
      </c>
      <c r="I20" s="223"/>
      <c r="J20" s="293" t="s">
        <v>667</v>
      </c>
      <c r="K20" s="293" t="s">
        <v>667</v>
      </c>
      <c r="L20" s="293" t="s">
        <v>667</v>
      </c>
      <c r="M20" s="293" t="s">
        <v>667</v>
      </c>
      <c r="N20" s="293" t="s">
        <v>667</v>
      </c>
      <c r="O20" s="295">
        <f>COUNTIF(tblRiskRegister3[[#This Row],[Defends Against Malware]:[Defends Against Targeted Intrusions]],"Yes")</f>
        <v>5</v>
      </c>
      <c r="P20" s="12"/>
      <c r="Q20" s="12"/>
      <c r="R20" s="12"/>
      <c r="S20" s="12"/>
      <c r="T20" s="198"/>
      <c r="U20" s="199">
        <f>IFERROR(VLOOKUP(tblRiskRegister3[[#This Row],[Asset Class]],tblVCDBIndex[],4,FALSE),"")</f>
        <v>1</v>
      </c>
      <c r="V20" s="24" t="str">
        <f>IFERROR(VLOOKUP(10*tblRiskRegister3[[#This Row],[Safeguard Maturity Score]]+tblRiskRegister3[[#This Row],[VCDB Index]],tblHITIndexWeightTable[],4,FALSE),"")</f>
        <v/>
      </c>
      <c r="W20" s="294"/>
      <c r="X20" s="294"/>
      <c r="Y20" s="294"/>
      <c r="Z20" s="294"/>
      <c r="AA20" s="24" t="str">
        <f>IFERROR(MAX(tblRiskRegister3[[#This Row],[Impact to Mission]:[Impact to Obligations]])*tblRiskRegister3[[#This Row],[Expectancy Score]],"")</f>
        <v/>
      </c>
      <c r="AB20" s="24" t="str">
        <f>tblRiskRegister3[[#This Row],[Risk Score]]</f>
        <v/>
      </c>
      <c r="AC20" s="79"/>
      <c r="AD20" s="206">
        <v>2.2999999999999998</v>
      </c>
      <c r="AE20" s="194" t="s">
        <v>38</v>
      </c>
      <c r="AF20" s="194" t="s">
        <v>340</v>
      </c>
      <c r="AG20" s="25"/>
      <c r="AH20" s="13"/>
      <c r="AI20" s="22" t="str">
        <f>IFERROR(VLOOKUP(10*tblRiskRegister3[[#This Row],[Risk Treatment Safeguard Maturity Score]]+tblRiskRegister3[[#This Row],[VCDB Index]],tblHITIndexWeightTable[],4,FALSE),"")</f>
        <v/>
      </c>
      <c r="AJ20" s="292"/>
      <c r="AK20" s="292"/>
      <c r="AL20" s="292"/>
      <c r="AM20" s="292"/>
      <c r="AN20" s="100" t="str">
        <f>IFERROR(MAX(tblRiskRegister3[[#This Row],[Risk Treatment Safeguard Impact to Mission]:[Risk Treatment Safeguard Impact to Obligations]])*tblRiskRegister3[[#This Row],[Risk Treatment
Safeguard Expectancy Score]],"")</f>
        <v/>
      </c>
      <c r="AO20" s="100" t="str">
        <f>IF(tblRiskRegister3[[#This Row],[Risk Score]]&gt;AcceptableRisk1,IF(tblRiskRegister3[[#This Row],[Risk Treatment Safeguard Risk Score]]&lt;AcceptableRisk1, IF(tblRiskRegister3[[#This Row],[Risk Treatment Safeguard Risk Score]]&lt;=tblRiskRegister3[[#This Row],[Risk Score]],"Yes","No"),"No"),"Yes")</f>
        <v>No</v>
      </c>
      <c r="AP20" s="15"/>
      <c r="AQ20" s="15"/>
      <c r="AR20" s="16"/>
      <c r="AT20" s="17">
        <f>SUMIF(tblRiskRegister3[[#All],[Implementation Year]],"="&amp;tblCostImpacts338[[#This Row],[Year]],tblRiskRegister3[[#All],[Risk Treatment Safeguard Cost]])</f>
        <v>0</v>
      </c>
      <c r="AU20" s="6">
        <v>2028</v>
      </c>
      <c r="AV20" s="6" t="str">
        <f>IF(tblCostImpacts338[[#This Row],[Impact to Financial Objectives]]&lt;='Enterprise Parameters-EXAMPLE'!$F$13,"Yes","No")</f>
        <v>Yes</v>
      </c>
    </row>
    <row r="21" spans="2:48" ht="38.25" x14ac:dyDescent="0.2">
      <c r="B21" s="207">
        <v>2.4</v>
      </c>
      <c r="C21" s="194" t="s">
        <v>155</v>
      </c>
      <c r="D21" s="88" t="s">
        <v>89</v>
      </c>
      <c r="E21" s="274" t="s">
        <v>656</v>
      </c>
      <c r="F21" s="14"/>
      <c r="G21" s="88" t="s">
        <v>463</v>
      </c>
      <c r="H21" s="88" t="s">
        <v>463</v>
      </c>
      <c r="I21" s="223"/>
      <c r="J21" s="293" t="s">
        <v>667</v>
      </c>
      <c r="K21" s="293" t="s">
        <v>667</v>
      </c>
      <c r="L21" s="293" t="s">
        <v>667</v>
      </c>
      <c r="M21" s="293" t="s">
        <v>667</v>
      </c>
      <c r="N21" s="293" t="s">
        <v>667</v>
      </c>
      <c r="O21" s="295">
        <f>COUNTIF(tblRiskRegister3[[#This Row],[Defends Against Malware]:[Defends Against Targeted Intrusions]],"Yes")</f>
        <v>5</v>
      </c>
      <c r="P21" s="12"/>
      <c r="Q21" s="12"/>
      <c r="R21" s="12"/>
      <c r="S21" s="12"/>
      <c r="T21" s="198"/>
      <c r="U21" s="199">
        <f>IFERROR(VLOOKUP(tblRiskRegister3[[#This Row],[Asset Class]],tblVCDBIndex[],4,FALSE),"")</f>
        <v>1</v>
      </c>
      <c r="V21" s="24" t="str">
        <f>IFERROR(VLOOKUP(10*tblRiskRegister3[[#This Row],[Safeguard Maturity Score]]+tblRiskRegister3[[#This Row],[VCDB Index]],tblHITIndexWeightTable[],4,FALSE),"")</f>
        <v/>
      </c>
      <c r="W21" s="294"/>
      <c r="X21" s="294"/>
      <c r="Y21" s="294"/>
      <c r="Z21" s="294"/>
      <c r="AA21" s="24" t="str">
        <f>IFERROR(MAX(tblRiskRegister3[[#This Row],[Impact to Mission]:[Impact to Obligations]])*tblRiskRegister3[[#This Row],[Expectancy Score]],"")</f>
        <v/>
      </c>
      <c r="AB21" s="24" t="str">
        <f>tblRiskRegister3[[#This Row],[Risk Score]]</f>
        <v/>
      </c>
      <c r="AC21" s="79"/>
      <c r="AD21" s="206">
        <v>2.4</v>
      </c>
      <c r="AE21" s="194" t="s">
        <v>155</v>
      </c>
      <c r="AF21" s="194" t="s">
        <v>341</v>
      </c>
      <c r="AG21" s="25"/>
      <c r="AH21" s="13"/>
      <c r="AI21" s="22" t="str">
        <f>IFERROR(VLOOKUP(10*tblRiskRegister3[[#This Row],[Risk Treatment Safeguard Maturity Score]]+tblRiskRegister3[[#This Row],[VCDB Index]],tblHITIndexWeightTable[],4,FALSE),"")</f>
        <v/>
      </c>
      <c r="AJ21" s="292"/>
      <c r="AK21" s="292"/>
      <c r="AL21" s="292"/>
      <c r="AM21" s="292"/>
      <c r="AN21" s="100" t="str">
        <f>IFERROR(MAX(tblRiskRegister3[[#This Row],[Risk Treatment Safeguard Impact to Mission]:[Risk Treatment Safeguard Impact to Obligations]])*tblRiskRegister3[[#This Row],[Risk Treatment
Safeguard Expectancy Score]],"")</f>
        <v/>
      </c>
      <c r="AO21" s="100" t="str">
        <f>IF(tblRiskRegister3[[#This Row],[Risk Score]]&gt;AcceptableRisk1,IF(tblRiskRegister3[[#This Row],[Risk Treatment Safeguard Risk Score]]&lt;AcceptableRisk1, IF(tblRiskRegister3[[#This Row],[Risk Treatment Safeguard Risk Score]]&lt;=tblRiskRegister3[[#This Row],[Risk Score]],"Yes","No"),"No"),"Yes")</f>
        <v>No</v>
      </c>
      <c r="AP21" s="15"/>
      <c r="AQ21" s="15"/>
      <c r="AR21" s="16"/>
      <c r="AT21" s="17">
        <f>SUMIF(tblRiskRegister3[[#All],[Implementation Year]],"="&amp;tblCostImpacts338[[#This Row],[Year]],tblRiskRegister3[[#All],[Risk Treatment Safeguard Cost]])</f>
        <v>0</v>
      </c>
      <c r="AU21" s="6">
        <v>2029</v>
      </c>
      <c r="AV21" s="6" t="str">
        <f>IF(tblCostImpacts338[[#This Row],[Impact to Financial Objectives]]&lt;='Enterprise Parameters-EXAMPLE'!$F$13,"Yes","No")</f>
        <v>Yes</v>
      </c>
    </row>
    <row r="22" spans="2:48" ht="38.25" x14ac:dyDescent="0.2">
      <c r="B22" s="207">
        <v>2.5</v>
      </c>
      <c r="C22" s="194" t="s">
        <v>156</v>
      </c>
      <c r="D22" s="88" t="s">
        <v>89</v>
      </c>
      <c r="E22" s="274" t="s">
        <v>657</v>
      </c>
      <c r="F22" s="14"/>
      <c r="G22" s="88" t="s">
        <v>463</v>
      </c>
      <c r="H22" s="88" t="s">
        <v>463</v>
      </c>
      <c r="I22" s="223"/>
      <c r="J22" s="293" t="s">
        <v>667</v>
      </c>
      <c r="K22" s="293" t="s">
        <v>667</v>
      </c>
      <c r="L22" s="293" t="s">
        <v>667</v>
      </c>
      <c r="M22" s="293" t="s">
        <v>667</v>
      </c>
      <c r="N22" s="293" t="s">
        <v>667</v>
      </c>
      <c r="O22" s="295">
        <f>COUNTIF(tblRiskRegister3[[#This Row],[Defends Against Malware]:[Defends Against Targeted Intrusions]],"Yes")</f>
        <v>5</v>
      </c>
      <c r="P22" s="12"/>
      <c r="Q22" s="12"/>
      <c r="R22" s="12"/>
      <c r="S22" s="12"/>
      <c r="T22" s="198"/>
      <c r="U22" s="199">
        <f>IFERROR(VLOOKUP(tblRiskRegister3[[#This Row],[Asset Class]],tblVCDBIndex[],4,FALSE),"")</f>
        <v>1</v>
      </c>
      <c r="V22" s="24" t="str">
        <f>IFERROR(VLOOKUP(10*tblRiskRegister3[[#This Row],[Safeguard Maturity Score]]+tblRiskRegister3[[#This Row],[VCDB Index]],tblHITIndexWeightTable[],4,FALSE),"")</f>
        <v/>
      </c>
      <c r="W22" s="294"/>
      <c r="X22" s="294"/>
      <c r="Y22" s="294"/>
      <c r="Z22" s="294"/>
      <c r="AA22" s="24" t="str">
        <f>IFERROR(MAX(tblRiskRegister3[[#This Row],[Impact to Mission]:[Impact to Obligations]])*tblRiskRegister3[[#This Row],[Expectancy Score]],"")</f>
        <v/>
      </c>
      <c r="AB22" s="24" t="str">
        <f>tblRiskRegister3[[#This Row],[Risk Score]]</f>
        <v/>
      </c>
      <c r="AC22" s="79"/>
      <c r="AD22" s="206">
        <v>2.5</v>
      </c>
      <c r="AE22" s="194" t="s">
        <v>156</v>
      </c>
      <c r="AF22" s="194" t="s">
        <v>342</v>
      </c>
      <c r="AG22" s="25"/>
      <c r="AH22" s="13"/>
      <c r="AI22" s="22" t="str">
        <f>IFERROR(VLOOKUP(10*tblRiskRegister3[[#This Row],[Risk Treatment Safeguard Maturity Score]]+tblRiskRegister3[[#This Row],[VCDB Index]],tblHITIndexWeightTable[],4,FALSE),"")</f>
        <v/>
      </c>
      <c r="AJ22" s="292"/>
      <c r="AK22" s="292"/>
      <c r="AL22" s="292"/>
      <c r="AM22" s="292"/>
      <c r="AN22" s="100" t="str">
        <f>IFERROR(MAX(tblRiskRegister3[[#This Row],[Risk Treatment Safeguard Impact to Mission]:[Risk Treatment Safeguard Impact to Obligations]])*tblRiskRegister3[[#This Row],[Risk Treatment
Safeguard Expectancy Score]],"")</f>
        <v/>
      </c>
      <c r="AO22" s="100" t="str">
        <f>IF(tblRiskRegister3[[#This Row],[Risk Score]]&gt;AcceptableRisk1,IF(tblRiskRegister3[[#This Row],[Risk Treatment Safeguard Risk Score]]&lt;AcceptableRisk1, IF(tblRiskRegister3[[#This Row],[Risk Treatment Safeguard Risk Score]]&lt;=tblRiskRegister3[[#This Row],[Risk Score]],"Yes","No"),"No"),"Yes")</f>
        <v>No</v>
      </c>
      <c r="AP22" s="15"/>
      <c r="AQ22" s="15"/>
      <c r="AR22" s="16"/>
      <c r="AT22" s="17">
        <f>SUMIF(tblRiskRegister3[[#All],[Implementation Year]],"="&amp;tblCostImpacts338[[#This Row],[Year]],tblRiskRegister3[[#All],[Risk Treatment Safeguard Cost]])</f>
        <v>0</v>
      </c>
      <c r="AU22" s="6">
        <v>2030</v>
      </c>
      <c r="AV22" s="6" t="str">
        <f>IF(tblCostImpacts338[[#This Row],[Impact to Financial Objectives]]&lt;='Enterprise Parameters-EXAMPLE'!$F$13,"Yes","No")</f>
        <v>Yes</v>
      </c>
    </row>
    <row r="23" spans="2:48" ht="63.75" x14ac:dyDescent="0.2">
      <c r="B23" s="207">
        <v>2.6</v>
      </c>
      <c r="C23" s="194" t="s">
        <v>157</v>
      </c>
      <c r="D23" s="88" t="s">
        <v>89</v>
      </c>
      <c r="E23" s="274" t="s">
        <v>657</v>
      </c>
      <c r="F23" s="14"/>
      <c r="G23" s="88" t="s">
        <v>463</v>
      </c>
      <c r="H23" s="88" t="s">
        <v>463</v>
      </c>
      <c r="I23" s="223"/>
      <c r="J23" s="293" t="s">
        <v>667</v>
      </c>
      <c r="K23" s="293" t="s">
        <v>667</v>
      </c>
      <c r="L23" s="293" t="s">
        <v>667</v>
      </c>
      <c r="M23" s="293" t="s">
        <v>667</v>
      </c>
      <c r="N23" s="293" t="s">
        <v>667</v>
      </c>
      <c r="O23" s="295">
        <f>COUNTIF(tblRiskRegister3[[#This Row],[Defends Against Malware]:[Defends Against Targeted Intrusions]],"Yes")</f>
        <v>5</v>
      </c>
      <c r="P23" s="12"/>
      <c r="Q23" s="12"/>
      <c r="R23" s="12"/>
      <c r="S23" s="12"/>
      <c r="T23" s="198"/>
      <c r="U23" s="199">
        <f>IFERROR(VLOOKUP(tblRiskRegister3[[#This Row],[Asset Class]],tblVCDBIndex[],4,FALSE),"")</f>
        <v>1</v>
      </c>
      <c r="V23" s="24" t="str">
        <f>IFERROR(VLOOKUP(10*tblRiskRegister3[[#This Row],[Safeguard Maturity Score]]+tblRiskRegister3[[#This Row],[VCDB Index]],tblHITIndexWeightTable[],4,FALSE),"")</f>
        <v/>
      </c>
      <c r="W23" s="294"/>
      <c r="X23" s="294"/>
      <c r="Y23" s="294"/>
      <c r="Z23" s="294"/>
      <c r="AA23" s="24" t="str">
        <f>IFERROR(MAX(tblRiskRegister3[[#This Row],[Impact to Mission]:[Impact to Obligations]])*tblRiskRegister3[[#This Row],[Expectancy Score]],"")</f>
        <v/>
      </c>
      <c r="AB23" s="24" t="str">
        <f>tblRiskRegister3[[#This Row],[Risk Score]]</f>
        <v/>
      </c>
      <c r="AC23" s="79"/>
      <c r="AD23" s="206">
        <v>2.6</v>
      </c>
      <c r="AE23" s="194" t="s">
        <v>157</v>
      </c>
      <c r="AF23" s="194" t="s">
        <v>343</v>
      </c>
      <c r="AG23" s="25"/>
      <c r="AH23" s="13"/>
      <c r="AI23" s="22" t="str">
        <f>IFERROR(VLOOKUP(10*tblRiskRegister3[[#This Row],[Risk Treatment Safeguard Maturity Score]]+tblRiskRegister3[[#This Row],[VCDB Index]],tblHITIndexWeightTable[],4,FALSE),"")</f>
        <v/>
      </c>
      <c r="AJ23" s="292"/>
      <c r="AK23" s="292"/>
      <c r="AL23" s="292"/>
      <c r="AM23" s="292"/>
      <c r="AN23" s="100" t="str">
        <f>IFERROR(MAX(tblRiskRegister3[[#This Row],[Risk Treatment Safeguard Impact to Mission]:[Risk Treatment Safeguard Impact to Obligations]])*tblRiskRegister3[[#This Row],[Risk Treatment
Safeguard Expectancy Score]],"")</f>
        <v/>
      </c>
      <c r="AO23" s="100" t="str">
        <f>IF(tblRiskRegister3[[#This Row],[Risk Score]]&gt;AcceptableRisk1,IF(tblRiskRegister3[[#This Row],[Risk Treatment Safeguard Risk Score]]&lt;AcceptableRisk1, IF(tblRiskRegister3[[#This Row],[Risk Treatment Safeguard Risk Score]]&lt;=tblRiskRegister3[[#This Row],[Risk Score]],"Yes","No"),"No"),"Yes")</f>
        <v>No</v>
      </c>
      <c r="AP23" s="15"/>
      <c r="AQ23" s="15"/>
      <c r="AR23" s="16"/>
    </row>
    <row r="24" spans="2:48" ht="51" x14ac:dyDescent="0.2">
      <c r="B24" s="207">
        <v>2.7</v>
      </c>
      <c r="C24" s="194" t="s">
        <v>531</v>
      </c>
      <c r="D24" s="88" t="s">
        <v>89</v>
      </c>
      <c r="E24" s="274" t="s">
        <v>657</v>
      </c>
      <c r="F24" s="14"/>
      <c r="G24" s="88"/>
      <c r="H24" s="88" t="s">
        <v>463</v>
      </c>
      <c r="I24" s="223"/>
      <c r="J24" s="293" t="s">
        <v>667</v>
      </c>
      <c r="K24" s="293" t="s">
        <v>667</v>
      </c>
      <c r="L24" s="293" t="s">
        <v>667</v>
      </c>
      <c r="M24" s="293" t="s">
        <v>667</v>
      </c>
      <c r="N24" s="293" t="s">
        <v>667</v>
      </c>
      <c r="O24" s="295">
        <f>COUNTIF(tblRiskRegister3[[#This Row],[Defends Against Malware]:[Defends Against Targeted Intrusions]],"Yes")</f>
        <v>5</v>
      </c>
      <c r="P24" s="12"/>
      <c r="Q24" s="12"/>
      <c r="R24" s="12"/>
      <c r="S24" s="12"/>
      <c r="T24" s="198"/>
      <c r="U24" s="199">
        <f>IFERROR(VLOOKUP(tblRiskRegister3[[#This Row],[Asset Class]],tblVCDBIndex[],4,FALSE),"")</f>
        <v>1</v>
      </c>
      <c r="V24" s="24" t="str">
        <f>IFERROR(VLOOKUP(10*tblRiskRegister3[[#This Row],[Safeguard Maturity Score]]+tblRiskRegister3[[#This Row],[VCDB Index]],tblHITIndexWeightTable[],4,FALSE),"")</f>
        <v/>
      </c>
      <c r="W24" s="294"/>
      <c r="X24" s="294"/>
      <c r="Y24" s="294"/>
      <c r="Z24" s="294"/>
      <c r="AA24" s="24" t="str">
        <f>IFERROR(MAX(tblRiskRegister3[[#This Row],[Impact to Mission]:[Impact to Obligations]])*tblRiskRegister3[[#This Row],[Expectancy Score]],"")</f>
        <v/>
      </c>
      <c r="AB24" s="24" t="str">
        <f>tblRiskRegister3[[#This Row],[Risk Score]]</f>
        <v/>
      </c>
      <c r="AC24" s="79"/>
      <c r="AD24" s="206">
        <v>2.7</v>
      </c>
      <c r="AE24" s="194" t="s">
        <v>531</v>
      </c>
      <c r="AF24" s="194" t="s">
        <v>553</v>
      </c>
      <c r="AG24" s="25"/>
      <c r="AH24" s="13"/>
      <c r="AI24" s="22" t="str">
        <f>IFERROR(VLOOKUP(10*tblRiskRegister3[[#This Row],[Risk Treatment Safeguard Maturity Score]]+tblRiskRegister3[[#This Row],[VCDB Index]],tblHITIndexWeightTable[],4,FALSE),"")</f>
        <v/>
      </c>
      <c r="AJ24" s="292"/>
      <c r="AK24" s="292"/>
      <c r="AL24" s="292"/>
      <c r="AM24" s="292"/>
      <c r="AN24" s="100" t="str">
        <f>IFERROR(MAX(tblRiskRegister3[[#This Row],[Risk Treatment Safeguard Impact to Mission]:[Risk Treatment Safeguard Impact to Obligations]])*tblRiskRegister3[[#This Row],[Risk Treatment
Safeguard Expectancy Score]],"")</f>
        <v/>
      </c>
      <c r="AO24" s="100" t="str">
        <f>IF(tblRiskRegister3[[#This Row],[Risk Score]]&gt;AcceptableRisk1,IF(tblRiskRegister3[[#This Row],[Risk Treatment Safeguard Risk Score]]&lt;AcceptableRisk1, IF(tblRiskRegister3[[#This Row],[Risk Treatment Safeguard Risk Score]]&lt;=tblRiskRegister3[[#This Row],[Risk Score]],"Yes","No"),"No"),"Yes")</f>
        <v>No</v>
      </c>
      <c r="AP24" s="15"/>
      <c r="AQ24" s="15"/>
      <c r="AR24" s="16"/>
    </row>
    <row r="25" spans="2:48" ht="76.5" x14ac:dyDescent="0.2">
      <c r="B25" s="207">
        <v>3.1</v>
      </c>
      <c r="C25" s="194" t="s">
        <v>39</v>
      </c>
      <c r="D25" s="88" t="s">
        <v>87</v>
      </c>
      <c r="E25" s="274" t="s">
        <v>654</v>
      </c>
      <c r="F25" s="14" t="s">
        <v>463</v>
      </c>
      <c r="G25" s="88" t="s">
        <v>463</v>
      </c>
      <c r="H25" s="88" t="s">
        <v>463</v>
      </c>
      <c r="I25" s="223"/>
      <c r="J25" s="293" t="s">
        <v>667</v>
      </c>
      <c r="K25" s="293" t="s">
        <v>667</v>
      </c>
      <c r="L25" s="293" t="s">
        <v>667</v>
      </c>
      <c r="M25" s="293" t="s">
        <v>667</v>
      </c>
      <c r="N25" s="293" t="s">
        <v>667</v>
      </c>
      <c r="O25" s="295">
        <f>COUNTIF(tblRiskRegister3[[#This Row],[Defends Against Malware]:[Defends Against Targeted Intrusions]],"Yes")</f>
        <v>5</v>
      </c>
      <c r="P25" s="12"/>
      <c r="Q25" s="12"/>
      <c r="R25" s="12"/>
      <c r="S25" s="12"/>
      <c r="T25" s="198"/>
      <c r="U25" s="199">
        <f>IFERROR(VLOOKUP(tblRiskRegister3[[#This Row],[Asset Class]],tblVCDBIndex[],4,FALSE),"")</f>
        <v>3</v>
      </c>
      <c r="V25" s="24" t="str">
        <f>IFERROR(VLOOKUP(10*tblRiskRegister3[[#This Row],[Safeguard Maturity Score]]+tblRiskRegister3[[#This Row],[VCDB Index]],tblHITIndexWeightTable[],4,FALSE),"")</f>
        <v/>
      </c>
      <c r="W25" s="294"/>
      <c r="X25" s="294"/>
      <c r="Y25" s="294"/>
      <c r="Z25" s="294"/>
      <c r="AA25" s="24" t="str">
        <f>IFERROR(MAX(tblRiskRegister3[[#This Row],[Impact to Mission]:[Impact to Obligations]])*tblRiskRegister3[[#This Row],[Expectancy Score]],"")</f>
        <v/>
      </c>
      <c r="AB25" s="24" t="str">
        <f>tblRiskRegister3[[#This Row],[Risk Score]]</f>
        <v/>
      </c>
      <c r="AC25" s="79"/>
      <c r="AD25" s="206">
        <v>3.1</v>
      </c>
      <c r="AE25" s="194" t="s">
        <v>39</v>
      </c>
      <c r="AF25" s="194" t="s">
        <v>344</v>
      </c>
      <c r="AG25" s="25"/>
      <c r="AH25" s="13"/>
      <c r="AI25" s="22" t="str">
        <f>IFERROR(VLOOKUP(10*tblRiskRegister3[[#This Row],[Risk Treatment Safeguard Maturity Score]]+tblRiskRegister3[[#This Row],[VCDB Index]],tblHITIndexWeightTable[],4,FALSE),"")</f>
        <v/>
      </c>
      <c r="AJ25" s="292"/>
      <c r="AK25" s="292"/>
      <c r="AL25" s="292"/>
      <c r="AM25" s="292"/>
      <c r="AN25" s="100" t="str">
        <f>IFERROR(MAX(tblRiskRegister3[[#This Row],[Risk Treatment Safeguard Impact to Mission]:[Risk Treatment Safeguard Impact to Obligations]])*tblRiskRegister3[[#This Row],[Risk Treatment
Safeguard Expectancy Score]],"")</f>
        <v/>
      </c>
      <c r="AO25" s="100" t="str">
        <f>IF(tblRiskRegister3[[#This Row],[Risk Score]]&gt;AcceptableRisk1,IF(tblRiskRegister3[[#This Row],[Risk Treatment Safeguard Risk Score]]&lt;AcceptableRisk1, IF(tblRiskRegister3[[#This Row],[Risk Treatment Safeguard Risk Score]]&lt;=tblRiskRegister3[[#This Row],[Risk Score]],"Yes","No"),"No"),"Yes")</f>
        <v>No</v>
      </c>
      <c r="AP25" s="15"/>
      <c r="AQ25" s="15"/>
      <c r="AR25" s="16"/>
    </row>
    <row r="26" spans="2:48" ht="51" x14ac:dyDescent="0.2">
      <c r="B26" s="207">
        <v>3.2</v>
      </c>
      <c r="C26" s="194" t="s">
        <v>40</v>
      </c>
      <c r="D26" s="88" t="s">
        <v>87</v>
      </c>
      <c r="E26" s="274" t="s">
        <v>654</v>
      </c>
      <c r="F26" s="14" t="s">
        <v>463</v>
      </c>
      <c r="G26" s="88" t="s">
        <v>463</v>
      </c>
      <c r="H26" s="88" t="s">
        <v>463</v>
      </c>
      <c r="I26" s="223"/>
      <c r="J26" s="293" t="s">
        <v>667</v>
      </c>
      <c r="K26" s="293" t="s">
        <v>667</v>
      </c>
      <c r="L26" s="293" t="s">
        <v>667</v>
      </c>
      <c r="M26" s="293" t="s">
        <v>667</v>
      </c>
      <c r="N26" s="293" t="s">
        <v>667</v>
      </c>
      <c r="O26" s="295">
        <f>COUNTIF(tblRiskRegister3[[#This Row],[Defends Against Malware]:[Defends Against Targeted Intrusions]],"Yes")</f>
        <v>5</v>
      </c>
      <c r="P26" s="12"/>
      <c r="Q26" s="12"/>
      <c r="R26" s="12"/>
      <c r="S26" s="12"/>
      <c r="T26" s="198"/>
      <c r="U26" s="199">
        <f>IFERROR(VLOOKUP(tblRiskRegister3[[#This Row],[Asset Class]],tblVCDBIndex[],4,FALSE),"")</f>
        <v>3</v>
      </c>
      <c r="V26" s="24" t="str">
        <f>IFERROR(VLOOKUP(10*tblRiskRegister3[[#This Row],[Safeguard Maturity Score]]+tblRiskRegister3[[#This Row],[VCDB Index]],tblHITIndexWeightTable[],4,FALSE),"")</f>
        <v/>
      </c>
      <c r="W26" s="294"/>
      <c r="X26" s="294"/>
      <c r="Y26" s="294"/>
      <c r="Z26" s="294"/>
      <c r="AA26" s="24" t="str">
        <f>IFERROR(MAX(tblRiskRegister3[[#This Row],[Impact to Mission]:[Impact to Obligations]])*tblRiskRegister3[[#This Row],[Expectancy Score]],"")</f>
        <v/>
      </c>
      <c r="AB26" s="24" t="str">
        <f>tblRiskRegister3[[#This Row],[Risk Score]]</f>
        <v/>
      </c>
      <c r="AC26" s="79"/>
      <c r="AD26" s="206">
        <v>3.2</v>
      </c>
      <c r="AE26" s="194" t="s">
        <v>40</v>
      </c>
      <c r="AF26" s="194" t="s">
        <v>345</v>
      </c>
      <c r="AG26" s="25"/>
      <c r="AH26" s="13"/>
      <c r="AI26" s="22" t="str">
        <f>IFERROR(VLOOKUP(10*tblRiskRegister3[[#This Row],[Risk Treatment Safeguard Maturity Score]]+tblRiskRegister3[[#This Row],[VCDB Index]],tblHITIndexWeightTable[],4,FALSE),"")</f>
        <v/>
      </c>
      <c r="AJ26" s="292"/>
      <c r="AK26" s="292"/>
      <c r="AL26" s="292"/>
      <c r="AM26" s="292"/>
      <c r="AN26" s="100" t="str">
        <f>IFERROR(MAX(tblRiskRegister3[[#This Row],[Risk Treatment Safeguard Impact to Mission]:[Risk Treatment Safeguard Impact to Obligations]])*tblRiskRegister3[[#This Row],[Risk Treatment
Safeguard Expectancy Score]],"")</f>
        <v/>
      </c>
      <c r="AO26" s="100" t="str">
        <f>IF(tblRiskRegister3[[#This Row],[Risk Score]]&gt;AcceptableRisk1,IF(tblRiskRegister3[[#This Row],[Risk Treatment Safeguard Risk Score]]&lt;AcceptableRisk1, IF(tblRiskRegister3[[#This Row],[Risk Treatment Safeguard Risk Score]]&lt;=tblRiskRegister3[[#This Row],[Risk Score]],"Yes","No"),"No"),"Yes")</f>
        <v>No</v>
      </c>
      <c r="AP26" s="15"/>
      <c r="AQ26" s="15"/>
      <c r="AR26" s="16"/>
    </row>
    <row r="27" spans="2:48" ht="38.25" x14ac:dyDescent="0.2">
      <c r="B27" s="207">
        <v>3.3</v>
      </c>
      <c r="C27" s="194" t="s">
        <v>41</v>
      </c>
      <c r="D27" s="88" t="s">
        <v>87</v>
      </c>
      <c r="E27" s="274" t="s">
        <v>657</v>
      </c>
      <c r="F27" s="14" t="s">
        <v>463</v>
      </c>
      <c r="G27" s="88" t="s">
        <v>463</v>
      </c>
      <c r="H27" s="88" t="s">
        <v>463</v>
      </c>
      <c r="I27" s="223"/>
      <c r="J27" s="293" t="s">
        <v>667</v>
      </c>
      <c r="K27" s="293" t="s">
        <v>667</v>
      </c>
      <c r="L27" s="293" t="s">
        <v>667</v>
      </c>
      <c r="M27" s="293" t="s">
        <v>667</v>
      </c>
      <c r="N27" s="293" t="s">
        <v>667</v>
      </c>
      <c r="O27" s="295">
        <f>COUNTIF(tblRiskRegister3[[#This Row],[Defends Against Malware]:[Defends Against Targeted Intrusions]],"Yes")</f>
        <v>5</v>
      </c>
      <c r="P27" s="12"/>
      <c r="Q27" s="12"/>
      <c r="R27" s="12"/>
      <c r="S27" s="12"/>
      <c r="T27" s="198"/>
      <c r="U27" s="199">
        <f>IFERROR(VLOOKUP(tblRiskRegister3[[#This Row],[Asset Class]],tblVCDBIndex[],4,FALSE),"")</f>
        <v>3</v>
      </c>
      <c r="V27" s="24" t="str">
        <f>IFERROR(VLOOKUP(10*tblRiskRegister3[[#This Row],[Safeguard Maturity Score]]+tblRiskRegister3[[#This Row],[VCDB Index]],tblHITIndexWeightTable[],4,FALSE),"")</f>
        <v/>
      </c>
      <c r="W27" s="294"/>
      <c r="X27" s="294"/>
      <c r="Y27" s="294"/>
      <c r="Z27" s="294"/>
      <c r="AA27" s="24" t="str">
        <f>IFERROR(MAX(tblRiskRegister3[[#This Row],[Impact to Mission]:[Impact to Obligations]])*tblRiskRegister3[[#This Row],[Expectancy Score]],"")</f>
        <v/>
      </c>
      <c r="AB27" s="24" t="str">
        <f>tblRiskRegister3[[#This Row],[Risk Score]]</f>
        <v/>
      </c>
      <c r="AC27" s="79"/>
      <c r="AD27" s="206">
        <v>3.3</v>
      </c>
      <c r="AE27" s="194" t="s">
        <v>41</v>
      </c>
      <c r="AF27" s="194" t="s">
        <v>346</v>
      </c>
      <c r="AG27" s="25"/>
      <c r="AH27" s="13"/>
      <c r="AI27" s="22" t="str">
        <f>IFERROR(VLOOKUP(10*tblRiskRegister3[[#This Row],[Risk Treatment Safeguard Maturity Score]]+tblRiskRegister3[[#This Row],[VCDB Index]],tblHITIndexWeightTable[],4,FALSE),"")</f>
        <v/>
      </c>
      <c r="AJ27" s="292"/>
      <c r="AK27" s="292"/>
      <c r="AL27" s="292"/>
      <c r="AM27" s="292"/>
      <c r="AN27" s="100" t="str">
        <f>IFERROR(MAX(tblRiskRegister3[[#This Row],[Risk Treatment Safeguard Impact to Mission]:[Risk Treatment Safeguard Impact to Obligations]])*tblRiskRegister3[[#This Row],[Risk Treatment
Safeguard Expectancy Score]],"")</f>
        <v/>
      </c>
      <c r="AO27" s="100" t="str">
        <f>IF(tblRiskRegister3[[#This Row],[Risk Score]]&gt;AcceptableRisk1,IF(tblRiskRegister3[[#This Row],[Risk Treatment Safeguard Risk Score]]&lt;AcceptableRisk1, IF(tblRiskRegister3[[#This Row],[Risk Treatment Safeguard Risk Score]]&lt;=tblRiskRegister3[[#This Row],[Risk Score]],"Yes","No"),"No"),"Yes")</f>
        <v>No</v>
      </c>
      <c r="AP27" s="15"/>
      <c r="AQ27" s="15"/>
      <c r="AR27" s="16"/>
    </row>
    <row r="28" spans="2:48" ht="25.5" x14ac:dyDescent="0.2">
      <c r="B28" s="207">
        <v>3.4</v>
      </c>
      <c r="C28" s="194" t="s">
        <v>42</v>
      </c>
      <c r="D28" s="88" t="s">
        <v>87</v>
      </c>
      <c r="E28" s="274" t="s">
        <v>657</v>
      </c>
      <c r="F28" s="14" t="s">
        <v>463</v>
      </c>
      <c r="G28" s="88" t="s">
        <v>463</v>
      </c>
      <c r="H28" s="88" t="s">
        <v>463</v>
      </c>
      <c r="I28" s="223"/>
      <c r="J28" s="293" t="s">
        <v>667</v>
      </c>
      <c r="K28" s="293" t="s">
        <v>667</v>
      </c>
      <c r="L28" s="293" t="s">
        <v>667</v>
      </c>
      <c r="M28" s="293" t="s">
        <v>667</v>
      </c>
      <c r="N28" s="293" t="s">
        <v>667</v>
      </c>
      <c r="O28" s="295">
        <f>COUNTIF(tblRiskRegister3[[#This Row],[Defends Against Malware]:[Defends Against Targeted Intrusions]],"Yes")</f>
        <v>5</v>
      </c>
      <c r="P28" s="12"/>
      <c r="Q28" s="12"/>
      <c r="R28" s="12"/>
      <c r="S28" s="12"/>
      <c r="T28" s="198"/>
      <c r="U28" s="199">
        <f>IFERROR(VLOOKUP(tblRiskRegister3[[#This Row],[Asset Class]],tblVCDBIndex[],4,FALSE),"")</f>
        <v>3</v>
      </c>
      <c r="V28" s="24" t="str">
        <f>IFERROR(VLOOKUP(10*tblRiskRegister3[[#This Row],[Safeguard Maturity Score]]+tblRiskRegister3[[#This Row],[VCDB Index]],tblHITIndexWeightTable[],4,FALSE),"")</f>
        <v/>
      </c>
      <c r="W28" s="294"/>
      <c r="X28" s="294"/>
      <c r="Y28" s="294"/>
      <c r="Z28" s="294"/>
      <c r="AA28" s="24" t="str">
        <f>IFERROR(MAX(tblRiskRegister3[[#This Row],[Impact to Mission]:[Impact to Obligations]])*tblRiskRegister3[[#This Row],[Expectancy Score]],"")</f>
        <v/>
      </c>
      <c r="AB28" s="24" t="str">
        <f>tblRiskRegister3[[#This Row],[Risk Score]]</f>
        <v/>
      </c>
      <c r="AC28" s="79"/>
      <c r="AD28" s="206">
        <v>3.4</v>
      </c>
      <c r="AE28" s="194" t="s">
        <v>42</v>
      </c>
      <c r="AF28" s="194" t="s">
        <v>347</v>
      </c>
      <c r="AG28" s="25"/>
      <c r="AH28" s="13"/>
      <c r="AI28" s="22" t="str">
        <f>IFERROR(VLOOKUP(10*tblRiskRegister3[[#This Row],[Risk Treatment Safeguard Maturity Score]]+tblRiskRegister3[[#This Row],[VCDB Index]],tblHITIndexWeightTable[],4,FALSE),"")</f>
        <v/>
      </c>
      <c r="AJ28" s="292"/>
      <c r="AK28" s="292"/>
      <c r="AL28" s="292"/>
      <c r="AM28" s="292"/>
      <c r="AN28" s="100" t="str">
        <f>IFERROR(MAX(tblRiskRegister3[[#This Row],[Risk Treatment Safeguard Impact to Mission]:[Risk Treatment Safeguard Impact to Obligations]])*tblRiskRegister3[[#This Row],[Risk Treatment
Safeguard Expectancy Score]],"")</f>
        <v/>
      </c>
      <c r="AO28" s="100" t="str">
        <f>IF(tblRiskRegister3[[#This Row],[Risk Score]]&gt;AcceptableRisk1,IF(tblRiskRegister3[[#This Row],[Risk Treatment Safeguard Risk Score]]&lt;AcceptableRisk1, IF(tblRiskRegister3[[#This Row],[Risk Treatment Safeguard Risk Score]]&lt;=tblRiskRegister3[[#This Row],[Risk Score]],"Yes","No"),"No"),"Yes")</f>
        <v>No</v>
      </c>
      <c r="AP28" s="15"/>
      <c r="AQ28" s="15"/>
      <c r="AR28" s="16"/>
    </row>
    <row r="29" spans="2:48" ht="38.25" x14ac:dyDescent="0.2">
      <c r="B29" s="207">
        <v>3.5</v>
      </c>
      <c r="C29" s="194" t="s">
        <v>43</v>
      </c>
      <c r="D29" s="88" t="s">
        <v>87</v>
      </c>
      <c r="E29" s="274" t="s">
        <v>657</v>
      </c>
      <c r="F29" s="14" t="s">
        <v>463</v>
      </c>
      <c r="G29" s="88" t="s">
        <v>463</v>
      </c>
      <c r="H29" s="88" t="s">
        <v>463</v>
      </c>
      <c r="I29" s="223"/>
      <c r="J29" s="292" t="s">
        <v>666</v>
      </c>
      <c r="K29" s="292" t="s">
        <v>666</v>
      </c>
      <c r="L29" s="292" t="s">
        <v>666</v>
      </c>
      <c r="M29" s="292" t="s">
        <v>666</v>
      </c>
      <c r="N29" s="292" t="s">
        <v>666</v>
      </c>
      <c r="O29" s="295">
        <f>COUNTIF(tblRiskRegister3[[#This Row],[Defends Against Malware]:[Defends Against Targeted Intrusions]],"Yes")</f>
        <v>0</v>
      </c>
      <c r="P29" s="12"/>
      <c r="Q29" s="12"/>
      <c r="R29" s="12"/>
      <c r="S29" s="12"/>
      <c r="T29" s="198"/>
      <c r="U29" s="199">
        <f>IFERROR(VLOOKUP(tblRiskRegister3[[#This Row],[Asset Class]],tblVCDBIndex[],4,FALSE),"")</f>
        <v>3</v>
      </c>
      <c r="V29" s="24" t="str">
        <f>IFERROR(VLOOKUP(10*tblRiskRegister3[[#This Row],[Safeguard Maturity Score]]+tblRiskRegister3[[#This Row],[VCDB Index]],tblHITIndexWeightTable[],4,FALSE),"")</f>
        <v/>
      </c>
      <c r="W29" s="294"/>
      <c r="X29" s="294"/>
      <c r="Y29" s="294"/>
      <c r="Z29" s="294"/>
      <c r="AA29" s="24" t="str">
        <f>IFERROR(MAX(tblRiskRegister3[[#This Row],[Impact to Mission]:[Impact to Obligations]])*tblRiskRegister3[[#This Row],[Expectancy Score]],"")</f>
        <v/>
      </c>
      <c r="AB29" s="24" t="str">
        <f>tblRiskRegister3[[#This Row],[Risk Score]]</f>
        <v/>
      </c>
      <c r="AC29" s="79"/>
      <c r="AD29" s="206">
        <v>3.5</v>
      </c>
      <c r="AE29" s="194" t="s">
        <v>43</v>
      </c>
      <c r="AF29" s="194" t="s">
        <v>348</v>
      </c>
      <c r="AG29" s="25"/>
      <c r="AH29" s="13"/>
      <c r="AI29" s="22" t="str">
        <f>IFERROR(VLOOKUP(10*tblRiskRegister3[[#This Row],[Risk Treatment Safeguard Maturity Score]]+tblRiskRegister3[[#This Row],[VCDB Index]],tblHITIndexWeightTable[],4,FALSE),"")</f>
        <v/>
      </c>
      <c r="AJ29" s="292"/>
      <c r="AK29" s="292"/>
      <c r="AL29" s="292"/>
      <c r="AM29" s="292"/>
      <c r="AN29" s="100" t="str">
        <f>IFERROR(MAX(tblRiskRegister3[[#This Row],[Risk Treatment Safeguard Impact to Mission]:[Risk Treatment Safeguard Impact to Obligations]])*tblRiskRegister3[[#This Row],[Risk Treatment
Safeguard Expectancy Score]],"")</f>
        <v/>
      </c>
      <c r="AO29" s="100" t="str">
        <f>IF(tblRiskRegister3[[#This Row],[Risk Score]]&gt;AcceptableRisk1,IF(tblRiskRegister3[[#This Row],[Risk Treatment Safeguard Risk Score]]&lt;AcceptableRisk1, IF(tblRiskRegister3[[#This Row],[Risk Treatment Safeguard Risk Score]]&lt;=tblRiskRegister3[[#This Row],[Risk Score]],"Yes","No"),"No"),"Yes")</f>
        <v>No</v>
      </c>
      <c r="AP29" s="15"/>
      <c r="AQ29" s="15"/>
      <c r="AR29" s="16"/>
    </row>
    <row r="30" spans="2:48" ht="45" x14ac:dyDescent="0.2">
      <c r="B30" s="207">
        <v>3.6</v>
      </c>
      <c r="C30" s="194" t="s">
        <v>44</v>
      </c>
      <c r="D30" s="88" t="s">
        <v>88</v>
      </c>
      <c r="E30" s="274" t="s">
        <v>657</v>
      </c>
      <c r="F30" s="14" t="s">
        <v>463</v>
      </c>
      <c r="G30" s="88" t="s">
        <v>463</v>
      </c>
      <c r="H30" s="88" t="s">
        <v>463</v>
      </c>
      <c r="I30" s="223"/>
      <c r="J30" s="292" t="s">
        <v>666</v>
      </c>
      <c r="K30" s="292" t="s">
        <v>666</v>
      </c>
      <c r="L30" s="292" t="s">
        <v>666</v>
      </c>
      <c r="M30" s="292" t="s">
        <v>666</v>
      </c>
      <c r="N30" s="292" t="s">
        <v>666</v>
      </c>
      <c r="O30" s="295">
        <f>COUNTIF(tblRiskRegister3[[#This Row],[Defends Against Malware]:[Defends Against Targeted Intrusions]],"Yes")</f>
        <v>0</v>
      </c>
      <c r="P30" s="12"/>
      <c r="Q30" s="12"/>
      <c r="R30" s="12"/>
      <c r="S30" s="12"/>
      <c r="T30" s="198"/>
      <c r="U30" s="199">
        <f>IFERROR(VLOOKUP(tblRiskRegister3[[#This Row],[Asset Class]],tblVCDBIndex[],4,FALSE),"")</f>
        <v>1</v>
      </c>
      <c r="V30" s="24" t="str">
        <f>IFERROR(VLOOKUP(10*tblRiskRegister3[[#This Row],[Safeguard Maturity Score]]+tblRiskRegister3[[#This Row],[VCDB Index]],tblHITIndexWeightTable[],4,FALSE),"")</f>
        <v/>
      </c>
      <c r="W30" s="294"/>
      <c r="X30" s="294"/>
      <c r="Y30" s="294"/>
      <c r="Z30" s="294"/>
      <c r="AA30" s="24" t="str">
        <f>IFERROR(MAX(tblRiskRegister3[[#This Row],[Impact to Mission]:[Impact to Obligations]])*tblRiskRegister3[[#This Row],[Expectancy Score]],"")</f>
        <v/>
      </c>
      <c r="AB30" s="24" t="str">
        <f>tblRiskRegister3[[#This Row],[Risk Score]]</f>
        <v/>
      </c>
      <c r="AC30" s="79"/>
      <c r="AD30" s="206">
        <v>3.6</v>
      </c>
      <c r="AE30" s="194" t="s">
        <v>44</v>
      </c>
      <c r="AF30" s="194" t="s">
        <v>676</v>
      </c>
      <c r="AG30" s="25"/>
      <c r="AH30" s="13"/>
      <c r="AI30" s="22" t="str">
        <f>IFERROR(VLOOKUP(10*tblRiskRegister3[[#This Row],[Risk Treatment Safeguard Maturity Score]]+tblRiskRegister3[[#This Row],[VCDB Index]],tblHITIndexWeightTable[],4,FALSE),"")</f>
        <v/>
      </c>
      <c r="AJ30" s="292"/>
      <c r="AK30" s="292"/>
      <c r="AL30" s="292"/>
      <c r="AM30" s="292"/>
      <c r="AN30" s="100" t="str">
        <f>IFERROR(MAX(tblRiskRegister3[[#This Row],[Risk Treatment Safeguard Impact to Mission]:[Risk Treatment Safeguard Impact to Obligations]])*tblRiskRegister3[[#This Row],[Risk Treatment
Safeguard Expectancy Score]],"")</f>
        <v/>
      </c>
      <c r="AO30" s="100" t="str">
        <f>IF(tblRiskRegister3[[#This Row],[Risk Score]]&gt;AcceptableRisk1,IF(tblRiskRegister3[[#This Row],[Risk Treatment Safeguard Risk Score]]&lt;AcceptableRisk1, IF(tblRiskRegister3[[#This Row],[Risk Treatment Safeguard Risk Score]]&lt;=tblRiskRegister3[[#This Row],[Risk Score]],"Yes","No"),"No"),"Yes")</f>
        <v>No</v>
      </c>
      <c r="AP30" s="15"/>
      <c r="AQ30" s="15"/>
      <c r="AR30" s="16"/>
    </row>
    <row r="31" spans="2:48" ht="76.5" x14ac:dyDescent="0.2">
      <c r="B31" s="207">
        <v>3.7</v>
      </c>
      <c r="C31" s="194" t="s">
        <v>172</v>
      </c>
      <c r="D31" s="88" t="s">
        <v>87</v>
      </c>
      <c r="E31" s="274" t="s">
        <v>654</v>
      </c>
      <c r="F31" s="14"/>
      <c r="G31" s="88" t="s">
        <v>463</v>
      </c>
      <c r="H31" s="88" t="s">
        <v>463</v>
      </c>
      <c r="I31" s="223"/>
      <c r="J31" s="292" t="s">
        <v>666</v>
      </c>
      <c r="K31" s="292" t="s">
        <v>666</v>
      </c>
      <c r="L31" s="292" t="s">
        <v>666</v>
      </c>
      <c r="M31" s="292" t="s">
        <v>666</v>
      </c>
      <c r="N31" s="292" t="s">
        <v>666</v>
      </c>
      <c r="O31" s="295">
        <f>COUNTIF(tblRiskRegister3[[#This Row],[Defends Against Malware]:[Defends Against Targeted Intrusions]],"Yes")</f>
        <v>0</v>
      </c>
      <c r="P31" s="12"/>
      <c r="Q31" s="12"/>
      <c r="R31" s="12"/>
      <c r="S31" s="12"/>
      <c r="T31" s="198"/>
      <c r="U31" s="199">
        <f>IFERROR(VLOOKUP(tblRiskRegister3[[#This Row],[Asset Class]],tblVCDBIndex[],4,FALSE),"")</f>
        <v>3</v>
      </c>
      <c r="V31" s="24" t="str">
        <f>IFERROR(VLOOKUP(10*tblRiskRegister3[[#This Row],[Safeguard Maturity Score]]+tblRiskRegister3[[#This Row],[VCDB Index]],tblHITIndexWeightTable[],4,FALSE),"")</f>
        <v/>
      </c>
      <c r="W31" s="294"/>
      <c r="X31" s="294"/>
      <c r="Y31" s="294"/>
      <c r="Z31" s="294"/>
      <c r="AA31" s="24" t="str">
        <f>IFERROR(MAX(tblRiskRegister3[[#This Row],[Impact to Mission]:[Impact to Obligations]])*tblRiskRegister3[[#This Row],[Expectancy Score]],"")</f>
        <v/>
      </c>
      <c r="AB31" s="24" t="str">
        <f>tblRiskRegister3[[#This Row],[Risk Score]]</f>
        <v/>
      </c>
      <c r="AC31" s="79"/>
      <c r="AD31" s="206">
        <v>3.7</v>
      </c>
      <c r="AE31" s="194" t="s">
        <v>172</v>
      </c>
      <c r="AF31" s="194" t="s">
        <v>349</v>
      </c>
      <c r="AG31" s="25"/>
      <c r="AH31" s="13"/>
      <c r="AI31" s="22" t="str">
        <f>IFERROR(VLOOKUP(10*tblRiskRegister3[[#This Row],[Risk Treatment Safeguard Maturity Score]]+tblRiskRegister3[[#This Row],[VCDB Index]],tblHITIndexWeightTable[],4,FALSE),"")</f>
        <v/>
      </c>
      <c r="AJ31" s="292"/>
      <c r="AK31" s="292"/>
      <c r="AL31" s="292"/>
      <c r="AM31" s="292"/>
      <c r="AN31" s="100" t="str">
        <f>IFERROR(MAX(tblRiskRegister3[[#This Row],[Risk Treatment Safeguard Impact to Mission]:[Risk Treatment Safeguard Impact to Obligations]])*tblRiskRegister3[[#This Row],[Risk Treatment
Safeguard Expectancy Score]],"")</f>
        <v/>
      </c>
      <c r="AO31" s="100" t="str">
        <f>IF(tblRiskRegister3[[#This Row],[Risk Score]]&gt;AcceptableRisk1,IF(tblRiskRegister3[[#This Row],[Risk Treatment Safeguard Risk Score]]&lt;AcceptableRisk1, IF(tblRiskRegister3[[#This Row],[Risk Treatment Safeguard Risk Score]]&lt;=tblRiskRegister3[[#This Row],[Risk Score]],"Yes","No"),"No"),"Yes")</f>
        <v>No</v>
      </c>
      <c r="AP31" s="15"/>
      <c r="AQ31" s="15"/>
      <c r="AR31" s="16"/>
    </row>
    <row r="32" spans="2:48" ht="63.75" x14ac:dyDescent="0.2">
      <c r="B32" s="207">
        <v>3.8</v>
      </c>
      <c r="C32" s="194" t="s">
        <v>173</v>
      </c>
      <c r="D32" s="88" t="s">
        <v>87</v>
      </c>
      <c r="E32" s="274" t="s">
        <v>654</v>
      </c>
      <c r="F32" s="14"/>
      <c r="G32" s="88" t="s">
        <v>463</v>
      </c>
      <c r="H32" s="88" t="s">
        <v>463</v>
      </c>
      <c r="I32" s="223"/>
      <c r="J32" s="292" t="s">
        <v>666</v>
      </c>
      <c r="K32" s="292" t="s">
        <v>666</v>
      </c>
      <c r="L32" s="292" t="s">
        <v>666</v>
      </c>
      <c r="M32" s="292" t="s">
        <v>666</v>
      </c>
      <c r="N32" s="292" t="s">
        <v>666</v>
      </c>
      <c r="O32" s="295">
        <f>COUNTIF(tblRiskRegister3[[#This Row],[Defends Against Malware]:[Defends Against Targeted Intrusions]],"Yes")</f>
        <v>0</v>
      </c>
      <c r="P32" s="12"/>
      <c r="Q32" s="12"/>
      <c r="R32" s="12"/>
      <c r="S32" s="12"/>
      <c r="T32" s="198"/>
      <c r="U32" s="199">
        <f>IFERROR(VLOOKUP(tblRiskRegister3[[#This Row],[Asset Class]],tblVCDBIndex[],4,FALSE),"")</f>
        <v>3</v>
      </c>
      <c r="V32" s="24" t="str">
        <f>IFERROR(VLOOKUP(10*tblRiskRegister3[[#This Row],[Safeguard Maturity Score]]+tblRiskRegister3[[#This Row],[VCDB Index]],tblHITIndexWeightTable[],4,FALSE),"")</f>
        <v/>
      </c>
      <c r="W32" s="294"/>
      <c r="X32" s="294"/>
      <c r="Y32" s="294"/>
      <c r="Z32" s="294"/>
      <c r="AA32" s="24" t="str">
        <f>IFERROR(MAX(tblRiskRegister3[[#This Row],[Impact to Mission]:[Impact to Obligations]])*tblRiskRegister3[[#This Row],[Expectancy Score]],"")</f>
        <v/>
      </c>
      <c r="AB32" s="24" t="str">
        <f>tblRiskRegister3[[#This Row],[Risk Score]]</f>
        <v/>
      </c>
      <c r="AC32" s="79"/>
      <c r="AD32" s="206">
        <v>3.8</v>
      </c>
      <c r="AE32" s="194" t="s">
        <v>173</v>
      </c>
      <c r="AF32" s="194" t="s">
        <v>350</v>
      </c>
      <c r="AG32" s="25"/>
      <c r="AH32" s="13"/>
      <c r="AI32" s="22" t="str">
        <f>IFERROR(VLOOKUP(10*tblRiskRegister3[[#This Row],[Risk Treatment Safeguard Maturity Score]]+tblRiskRegister3[[#This Row],[VCDB Index]],tblHITIndexWeightTable[],4,FALSE),"")</f>
        <v/>
      </c>
      <c r="AJ32" s="292"/>
      <c r="AK32" s="292"/>
      <c r="AL32" s="292"/>
      <c r="AM32" s="292"/>
      <c r="AN32" s="100" t="str">
        <f>IFERROR(MAX(tblRiskRegister3[[#This Row],[Risk Treatment Safeguard Impact to Mission]:[Risk Treatment Safeguard Impact to Obligations]])*tblRiskRegister3[[#This Row],[Risk Treatment
Safeguard Expectancy Score]],"")</f>
        <v/>
      </c>
      <c r="AO32" s="100" t="str">
        <f>IF(tblRiskRegister3[[#This Row],[Risk Score]]&gt;AcceptableRisk1,IF(tblRiskRegister3[[#This Row],[Risk Treatment Safeguard Risk Score]]&lt;AcceptableRisk1, IF(tblRiskRegister3[[#This Row],[Risk Treatment Safeguard Risk Score]]&lt;=tblRiskRegister3[[#This Row],[Risk Score]],"Yes","No"),"No"),"Yes")</f>
        <v>No</v>
      </c>
      <c r="AP32" s="15"/>
      <c r="AQ32" s="15"/>
      <c r="AR32" s="16"/>
    </row>
    <row r="33" spans="2:44" ht="25.5" x14ac:dyDescent="0.2">
      <c r="B33" s="207">
        <v>3.9</v>
      </c>
      <c r="C33" s="194" t="s">
        <v>174</v>
      </c>
      <c r="D33" s="88" t="s">
        <v>87</v>
      </c>
      <c r="E33" s="274" t="s">
        <v>657</v>
      </c>
      <c r="F33" s="14"/>
      <c r="G33" s="88" t="s">
        <v>463</v>
      </c>
      <c r="H33" s="88" t="s">
        <v>463</v>
      </c>
      <c r="I33" s="223"/>
      <c r="J33" s="292" t="s">
        <v>666</v>
      </c>
      <c r="K33" s="292" t="s">
        <v>666</v>
      </c>
      <c r="L33" s="292" t="s">
        <v>666</v>
      </c>
      <c r="M33" s="292" t="s">
        <v>666</v>
      </c>
      <c r="N33" s="292" t="s">
        <v>666</v>
      </c>
      <c r="O33" s="295">
        <f>COUNTIF(tblRiskRegister3[[#This Row],[Defends Against Malware]:[Defends Against Targeted Intrusions]],"Yes")</f>
        <v>0</v>
      </c>
      <c r="P33" s="12"/>
      <c r="Q33" s="12"/>
      <c r="R33" s="12"/>
      <c r="S33" s="12"/>
      <c r="T33" s="198"/>
      <c r="U33" s="199">
        <f>IFERROR(VLOOKUP(tblRiskRegister3[[#This Row],[Asset Class]],tblVCDBIndex[],4,FALSE),"")</f>
        <v>3</v>
      </c>
      <c r="V33" s="24" t="str">
        <f>IFERROR(VLOOKUP(10*tblRiskRegister3[[#This Row],[Safeguard Maturity Score]]+tblRiskRegister3[[#This Row],[VCDB Index]],tblHITIndexWeightTable[],4,FALSE),"")</f>
        <v/>
      </c>
      <c r="W33" s="294"/>
      <c r="X33" s="294"/>
      <c r="Y33" s="294"/>
      <c r="Z33" s="294"/>
      <c r="AA33" s="24" t="str">
        <f>IFERROR(MAX(tblRiskRegister3[[#This Row],[Impact to Mission]:[Impact to Obligations]])*tblRiskRegister3[[#This Row],[Expectancy Score]],"")</f>
        <v/>
      </c>
      <c r="AB33" s="24" t="str">
        <f>tblRiskRegister3[[#This Row],[Risk Score]]</f>
        <v/>
      </c>
      <c r="AC33" s="79"/>
      <c r="AD33" s="206">
        <v>3.9</v>
      </c>
      <c r="AE33" s="194" t="s">
        <v>174</v>
      </c>
      <c r="AF33" s="194" t="s">
        <v>351</v>
      </c>
      <c r="AG33" s="25"/>
      <c r="AH33" s="13"/>
      <c r="AI33" s="22" t="str">
        <f>IFERROR(VLOOKUP(10*tblRiskRegister3[[#This Row],[Risk Treatment Safeguard Maturity Score]]+tblRiskRegister3[[#This Row],[VCDB Index]],tblHITIndexWeightTable[],4,FALSE),"")</f>
        <v/>
      </c>
      <c r="AJ33" s="292"/>
      <c r="AK33" s="292"/>
      <c r="AL33" s="292"/>
      <c r="AM33" s="292"/>
      <c r="AN33" s="100" t="str">
        <f>IFERROR(MAX(tblRiskRegister3[[#This Row],[Risk Treatment Safeguard Impact to Mission]:[Risk Treatment Safeguard Impact to Obligations]])*tblRiskRegister3[[#This Row],[Risk Treatment
Safeguard Expectancy Score]],"")</f>
        <v/>
      </c>
      <c r="AO33" s="100" t="str">
        <f>IF(tblRiskRegister3[[#This Row],[Risk Score]]&gt;AcceptableRisk1,IF(tblRiskRegister3[[#This Row],[Risk Treatment Safeguard Risk Score]]&lt;AcceptableRisk1, IF(tblRiskRegister3[[#This Row],[Risk Treatment Safeguard Risk Score]]&lt;=tblRiskRegister3[[#This Row],[Risk Score]],"Yes","No"),"No"),"Yes")</f>
        <v>No</v>
      </c>
      <c r="AP33" s="15"/>
      <c r="AQ33" s="15"/>
      <c r="AR33" s="16"/>
    </row>
    <row r="34" spans="2:44" ht="38.25" x14ac:dyDescent="0.2">
      <c r="B34" s="207" t="s">
        <v>528</v>
      </c>
      <c r="C34" s="194" t="s">
        <v>175</v>
      </c>
      <c r="D34" s="88" t="s">
        <v>87</v>
      </c>
      <c r="E34" s="274" t="s">
        <v>657</v>
      </c>
      <c r="F34" s="14"/>
      <c r="G34" s="88" t="s">
        <v>463</v>
      </c>
      <c r="H34" s="88" t="s">
        <v>463</v>
      </c>
      <c r="I34" s="223"/>
      <c r="J34" s="293" t="s">
        <v>667</v>
      </c>
      <c r="K34" s="293" t="s">
        <v>667</v>
      </c>
      <c r="L34" s="293" t="s">
        <v>667</v>
      </c>
      <c r="M34" s="293" t="s">
        <v>667</v>
      </c>
      <c r="N34" s="293" t="s">
        <v>667</v>
      </c>
      <c r="O34" s="295">
        <f>COUNTIF(tblRiskRegister3[[#This Row],[Defends Against Malware]:[Defends Against Targeted Intrusions]],"Yes")</f>
        <v>5</v>
      </c>
      <c r="P34" s="12"/>
      <c r="Q34" s="12"/>
      <c r="R34" s="12"/>
      <c r="S34" s="12"/>
      <c r="T34" s="198"/>
      <c r="U34" s="199">
        <f>IFERROR(VLOOKUP(tblRiskRegister3[[#This Row],[Asset Class]],tblVCDBIndex[],4,FALSE),"")</f>
        <v>3</v>
      </c>
      <c r="V34" s="24" t="str">
        <f>IFERROR(VLOOKUP(10*tblRiskRegister3[[#This Row],[Safeguard Maturity Score]]+tblRiskRegister3[[#This Row],[VCDB Index]],tblHITIndexWeightTable[],4,FALSE),"")</f>
        <v/>
      </c>
      <c r="W34" s="294"/>
      <c r="X34" s="294"/>
      <c r="Y34" s="294"/>
      <c r="Z34" s="294"/>
      <c r="AA34" s="24" t="str">
        <f>IFERROR(MAX(tblRiskRegister3[[#This Row],[Impact to Mission]:[Impact to Obligations]])*tblRiskRegister3[[#This Row],[Expectancy Score]],"")</f>
        <v/>
      </c>
      <c r="AB34" s="24" t="str">
        <f>tblRiskRegister3[[#This Row],[Risk Score]]</f>
        <v/>
      </c>
      <c r="AC34" s="79"/>
      <c r="AD34" s="206">
        <v>3.1</v>
      </c>
      <c r="AE34" s="194" t="s">
        <v>175</v>
      </c>
      <c r="AF34" s="194" t="s">
        <v>352</v>
      </c>
      <c r="AG34" s="25"/>
      <c r="AH34" s="13"/>
      <c r="AI34" s="22" t="str">
        <f>IFERROR(VLOOKUP(10*tblRiskRegister3[[#This Row],[Risk Treatment Safeguard Maturity Score]]+tblRiskRegister3[[#This Row],[VCDB Index]],tblHITIndexWeightTable[],4,FALSE),"")</f>
        <v/>
      </c>
      <c r="AJ34" s="292"/>
      <c r="AK34" s="292"/>
      <c r="AL34" s="292"/>
      <c r="AM34" s="292"/>
      <c r="AN34" s="100" t="str">
        <f>IFERROR(MAX(tblRiskRegister3[[#This Row],[Risk Treatment Safeguard Impact to Mission]:[Risk Treatment Safeguard Impact to Obligations]])*tblRiskRegister3[[#This Row],[Risk Treatment
Safeguard Expectancy Score]],"")</f>
        <v/>
      </c>
      <c r="AO34" s="100" t="str">
        <f>IF(tblRiskRegister3[[#This Row],[Risk Score]]&gt;AcceptableRisk1,IF(tblRiskRegister3[[#This Row],[Risk Treatment Safeguard Risk Score]]&lt;AcceptableRisk1, IF(tblRiskRegister3[[#This Row],[Risk Treatment Safeguard Risk Score]]&lt;=tblRiskRegister3[[#This Row],[Risk Score]],"Yes","No"),"No"),"Yes")</f>
        <v>No</v>
      </c>
      <c r="AP34" s="15"/>
      <c r="AQ34" s="15"/>
      <c r="AR34" s="16"/>
    </row>
    <row r="35" spans="2:44" ht="89.25" x14ac:dyDescent="0.2">
      <c r="B35" s="207">
        <v>3.11</v>
      </c>
      <c r="C35" s="194" t="s">
        <v>176</v>
      </c>
      <c r="D35" s="88" t="s">
        <v>87</v>
      </c>
      <c r="E35" s="274" t="s">
        <v>657</v>
      </c>
      <c r="F35" s="14"/>
      <c r="G35" s="88" t="s">
        <v>463</v>
      </c>
      <c r="H35" s="88" t="s">
        <v>463</v>
      </c>
      <c r="I35" s="223"/>
      <c r="J35" s="293" t="s">
        <v>667</v>
      </c>
      <c r="K35" s="293" t="s">
        <v>667</v>
      </c>
      <c r="L35" s="293" t="s">
        <v>667</v>
      </c>
      <c r="M35" s="293" t="s">
        <v>667</v>
      </c>
      <c r="N35" s="293" t="s">
        <v>667</v>
      </c>
      <c r="O35" s="295">
        <f>COUNTIF(tblRiskRegister3[[#This Row],[Defends Against Malware]:[Defends Against Targeted Intrusions]],"Yes")</f>
        <v>5</v>
      </c>
      <c r="P35" s="12"/>
      <c r="Q35" s="12"/>
      <c r="R35" s="12"/>
      <c r="S35" s="12"/>
      <c r="T35" s="198"/>
      <c r="U35" s="199">
        <f>IFERROR(VLOOKUP(tblRiskRegister3[[#This Row],[Asset Class]],tblVCDBIndex[],4,FALSE),"")</f>
        <v>3</v>
      </c>
      <c r="V35" s="24" t="str">
        <f>IFERROR(VLOOKUP(10*tblRiskRegister3[[#This Row],[Safeguard Maturity Score]]+tblRiskRegister3[[#This Row],[VCDB Index]],tblHITIndexWeightTable[],4,FALSE),"")</f>
        <v/>
      </c>
      <c r="W35" s="294"/>
      <c r="X35" s="294"/>
      <c r="Y35" s="294"/>
      <c r="Z35" s="294"/>
      <c r="AA35" s="24" t="str">
        <f>IFERROR(MAX(tblRiskRegister3[[#This Row],[Impact to Mission]:[Impact to Obligations]])*tblRiskRegister3[[#This Row],[Expectancy Score]],"")</f>
        <v/>
      </c>
      <c r="AB35" s="24" t="str">
        <f>tblRiskRegister3[[#This Row],[Risk Score]]</f>
        <v/>
      </c>
      <c r="AC35" s="79"/>
      <c r="AD35" s="206">
        <v>3.11</v>
      </c>
      <c r="AE35" s="194" t="s">
        <v>176</v>
      </c>
      <c r="AF35" s="194" t="s">
        <v>353</v>
      </c>
      <c r="AG35" s="25"/>
      <c r="AH35" s="13"/>
      <c r="AI35" s="22" t="str">
        <f>IFERROR(VLOOKUP(10*tblRiskRegister3[[#This Row],[Risk Treatment Safeguard Maturity Score]]+tblRiskRegister3[[#This Row],[VCDB Index]],tblHITIndexWeightTable[],4,FALSE),"")</f>
        <v/>
      </c>
      <c r="AJ35" s="292"/>
      <c r="AK35" s="292"/>
      <c r="AL35" s="292"/>
      <c r="AM35" s="292"/>
      <c r="AN35" s="100" t="str">
        <f>IFERROR(MAX(tblRiskRegister3[[#This Row],[Risk Treatment Safeguard Impact to Mission]:[Risk Treatment Safeguard Impact to Obligations]])*tblRiskRegister3[[#This Row],[Risk Treatment
Safeguard Expectancy Score]],"")</f>
        <v/>
      </c>
      <c r="AO35" s="100" t="str">
        <f>IF(tblRiskRegister3[[#This Row],[Risk Score]]&gt;AcceptableRisk1,IF(tblRiskRegister3[[#This Row],[Risk Treatment Safeguard Risk Score]]&lt;AcceptableRisk1, IF(tblRiskRegister3[[#This Row],[Risk Treatment Safeguard Risk Score]]&lt;=tblRiskRegister3[[#This Row],[Risk Score]],"Yes","No"),"No"),"Yes")</f>
        <v>No</v>
      </c>
      <c r="AP35" s="15"/>
      <c r="AQ35" s="15"/>
      <c r="AR35" s="16"/>
    </row>
    <row r="36" spans="2:44" ht="38.25" x14ac:dyDescent="0.2">
      <c r="B36" s="207">
        <v>3.12</v>
      </c>
      <c r="C36" s="194" t="s">
        <v>202</v>
      </c>
      <c r="D36" s="88" t="s">
        <v>90</v>
      </c>
      <c r="E36" s="274" t="s">
        <v>657</v>
      </c>
      <c r="F36" s="14"/>
      <c r="G36" s="88" t="s">
        <v>463</v>
      </c>
      <c r="H36" s="88" t="s">
        <v>463</v>
      </c>
      <c r="I36" s="223"/>
      <c r="J36" s="293" t="s">
        <v>667</v>
      </c>
      <c r="K36" s="293" t="s">
        <v>667</v>
      </c>
      <c r="L36" s="293" t="s">
        <v>667</v>
      </c>
      <c r="M36" s="293" t="s">
        <v>667</v>
      </c>
      <c r="N36" s="293" t="s">
        <v>667</v>
      </c>
      <c r="O36" s="295">
        <f>COUNTIF(tblRiskRegister3[[#This Row],[Defends Against Malware]:[Defends Against Targeted Intrusions]],"Yes")</f>
        <v>5</v>
      </c>
      <c r="P36" s="12"/>
      <c r="Q36" s="12"/>
      <c r="R36" s="12"/>
      <c r="S36" s="12"/>
      <c r="T36" s="198"/>
      <c r="U36" s="199">
        <f>IFERROR(VLOOKUP(tblRiskRegister3[[#This Row],[Asset Class]],tblVCDBIndex[],4,FALSE),"")</f>
        <v>1</v>
      </c>
      <c r="V36" s="24" t="str">
        <f>IFERROR(VLOOKUP(10*tblRiskRegister3[[#This Row],[Safeguard Maturity Score]]+tblRiskRegister3[[#This Row],[VCDB Index]],tblHITIndexWeightTable[],4,FALSE),"")</f>
        <v/>
      </c>
      <c r="W36" s="294"/>
      <c r="X36" s="294"/>
      <c r="Y36" s="294"/>
      <c r="Z36" s="294"/>
      <c r="AA36" s="24" t="str">
        <f>IFERROR(MAX(tblRiskRegister3[[#This Row],[Impact to Mission]:[Impact to Obligations]])*tblRiskRegister3[[#This Row],[Expectancy Score]],"")</f>
        <v/>
      </c>
      <c r="AB36" s="24" t="str">
        <f>tblRiskRegister3[[#This Row],[Risk Score]]</f>
        <v/>
      </c>
      <c r="AC36" s="79"/>
      <c r="AD36" s="206">
        <v>3.12</v>
      </c>
      <c r="AE36" s="194" t="s">
        <v>202</v>
      </c>
      <c r="AF36" s="194" t="s">
        <v>354</v>
      </c>
      <c r="AG36" s="25"/>
      <c r="AH36" s="13"/>
      <c r="AI36" s="22" t="str">
        <f>IFERROR(VLOOKUP(10*tblRiskRegister3[[#This Row],[Risk Treatment Safeguard Maturity Score]]+tblRiskRegister3[[#This Row],[VCDB Index]],tblHITIndexWeightTable[],4,FALSE),"")</f>
        <v/>
      </c>
      <c r="AJ36" s="292"/>
      <c r="AK36" s="292"/>
      <c r="AL36" s="292"/>
      <c r="AM36" s="292"/>
      <c r="AN36" s="100" t="str">
        <f>IFERROR(MAX(tblRiskRegister3[[#This Row],[Risk Treatment Safeguard Impact to Mission]:[Risk Treatment Safeguard Impact to Obligations]])*tblRiskRegister3[[#This Row],[Risk Treatment
Safeguard Expectancy Score]],"")</f>
        <v/>
      </c>
      <c r="AO36" s="100" t="str">
        <f>IF(tblRiskRegister3[[#This Row],[Risk Score]]&gt;AcceptableRisk1,IF(tblRiskRegister3[[#This Row],[Risk Treatment Safeguard Risk Score]]&lt;AcceptableRisk1, IF(tblRiskRegister3[[#This Row],[Risk Treatment Safeguard Risk Score]]&lt;=tblRiskRegister3[[#This Row],[Risk Score]],"Yes","No"),"No"),"Yes")</f>
        <v>No</v>
      </c>
      <c r="AP36" s="15"/>
      <c r="AQ36" s="15"/>
      <c r="AR36" s="16"/>
    </row>
    <row r="37" spans="2:44" ht="63.75" x14ac:dyDescent="0.2">
      <c r="B37" s="207">
        <v>3.13</v>
      </c>
      <c r="C37" s="194" t="s">
        <v>541</v>
      </c>
      <c r="D37" s="88" t="s">
        <v>87</v>
      </c>
      <c r="E37" s="274" t="s">
        <v>657</v>
      </c>
      <c r="F37" s="14"/>
      <c r="G37" s="88"/>
      <c r="H37" s="88" t="s">
        <v>463</v>
      </c>
      <c r="I37" s="223"/>
      <c r="J37" s="292" t="s">
        <v>666</v>
      </c>
      <c r="K37" s="292" t="s">
        <v>666</v>
      </c>
      <c r="L37" s="292" t="s">
        <v>666</v>
      </c>
      <c r="M37" s="292" t="s">
        <v>666</v>
      </c>
      <c r="N37" s="292" t="s">
        <v>666</v>
      </c>
      <c r="O37" s="295">
        <f>COUNTIF(tblRiskRegister3[[#This Row],[Defends Against Malware]:[Defends Against Targeted Intrusions]],"Yes")</f>
        <v>0</v>
      </c>
      <c r="P37" s="12"/>
      <c r="Q37" s="12"/>
      <c r="R37" s="12"/>
      <c r="S37" s="12"/>
      <c r="T37" s="198"/>
      <c r="U37" s="199">
        <f>IFERROR(VLOOKUP(tblRiskRegister3[[#This Row],[Asset Class]],tblVCDBIndex[],4,FALSE),"")</f>
        <v>3</v>
      </c>
      <c r="V37" s="24" t="str">
        <f>IFERROR(VLOOKUP(10*tblRiskRegister3[[#This Row],[Safeguard Maturity Score]]+tblRiskRegister3[[#This Row],[VCDB Index]],tblHITIndexWeightTable[],4,FALSE),"")</f>
        <v/>
      </c>
      <c r="W37" s="294"/>
      <c r="X37" s="294"/>
      <c r="Y37" s="294"/>
      <c r="Z37" s="294"/>
      <c r="AA37" s="24" t="str">
        <f>IFERROR(MAX(tblRiskRegister3[[#This Row],[Impact to Mission]:[Impact to Obligations]])*tblRiskRegister3[[#This Row],[Expectancy Score]],"")</f>
        <v/>
      </c>
      <c r="AB37" s="24" t="str">
        <f>tblRiskRegister3[[#This Row],[Risk Score]]</f>
        <v/>
      </c>
      <c r="AC37" s="79"/>
      <c r="AD37" s="206">
        <v>3.13</v>
      </c>
      <c r="AE37" s="194" t="s">
        <v>541</v>
      </c>
      <c r="AF37" s="194" t="s">
        <v>554</v>
      </c>
      <c r="AG37" s="25"/>
      <c r="AH37" s="13"/>
      <c r="AI37" s="22" t="str">
        <f>IFERROR(VLOOKUP(10*tblRiskRegister3[[#This Row],[Risk Treatment Safeguard Maturity Score]]+tblRiskRegister3[[#This Row],[VCDB Index]],tblHITIndexWeightTable[],4,FALSE),"")</f>
        <v/>
      </c>
      <c r="AJ37" s="292"/>
      <c r="AK37" s="292"/>
      <c r="AL37" s="292"/>
      <c r="AM37" s="292"/>
      <c r="AN37" s="100" t="str">
        <f>IFERROR(MAX(tblRiskRegister3[[#This Row],[Risk Treatment Safeguard Impact to Mission]:[Risk Treatment Safeguard Impact to Obligations]])*tblRiskRegister3[[#This Row],[Risk Treatment
Safeguard Expectancy Score]],"")</f>
        <v/>
      </c>
      <c r="AO37" s="100" t="str">
        <f>IF(tblRiskRegister3[[#This Row],[Risk Score]]&gt;AcceptableRisk1,IF(tblRiskRegister3[[#This Row],[Risk Treatment Safeguard Risk Score]]&lt;AcceptableRisk1, IF(tblRiskRegister3[[#This Row],[Risk Treatment Safeguard Risk Score]]&lt;=tblRiskRegister3[[#This Row],[Risk Score]],"Yes","No"),"No"),"Yes")</f>
        <v>No</v>
      </c>
      <c r="AP37" s="15"/>
      <c r="AQ37" s="15"/>
      <c r="AR37" s="16"/>
    </row>
    <row r="38" spans="2:44" ht="25.5" x14ac:dyDescent="0.2">
      <c r="B38" s="207">
        <v>3.14</v>
      </c>
      <c r="C38" s="194" t="s">
        <v>542</v>
      </c>
      <c r="D38" s="88" t="s">
        <v>87</v>
      </c>
      <c r="E38" s="274" t="s">
        <v>656</v>
      </c>
      <c r="F38" s="14"/>
      <c r="G38" s="88"/>
      <c r="H38" s="88" t="s">
        <v>463</v>
      </c>
      <c r="I38" s="223"/>
      <c r="J38" s="292" t="s">
        <v>666</v>
      </c>
      <c r="K38" s="292" t="s">
        <v>666</v>
      </c>
      <c r="L38" s="292" t="s">
        <v>666</v>
      </c>
      <c r="M38" s="292" t="s">
        <v>666</v>
      </c>
      <c r="N38" s="292" t="s">
        <v>666</v>
      </c>
      <c r="O38" s="295">
        <f>COUNTIF(tblRiskRegister3[[#This Row],[Defends Against Malware]:[Defends Against Targeted Intrusions]],"Yes")</f>
        <v>0</v>
      </c>
      <c r="P38" s="12"/>
      <c r="Q38" s="12"/>
      <c r="R38" s="12"/>
      <c r="S38" s="12"/>
      <c r="T38" s="198"/>
      <c r="U38" s="199">
        <f>IFERROR(VLOOKUP(tblRiskRegister3[[#This Row],[Asset Class]],tblVCDBIndex[],4,FALSE),"")</f>
        <v>3</v>
      </c>
      <c r="V38" s="24" t="str">
        <f>IFERROR(VLOOKUP(10*tblRiskRegister3[[#This Row],[Safeguard Maturity Score]]+tblRiskRegister3[[#This Row],[VCDB Index]],tblHITIndexWeightTable[],4,FALSE),"")</f>
        <v/>
      </c>
      <c r="W38" s="294"/>
      <c r="X38" s="294"/>
      <c r="Y38" s="294"/>
      <c r="Z38" s="294"/>
      <c r="AA38" s="24" t="str">
        <f>IFERROR(MAX(tblRiskRegister3[[#This Row],[Impact to Mission]:[Impact to Obligations]])*tblRiskRegister3[[#This Row],[Expectancy Score]],"")</f>
        <v/>
      </c>
      <c r="AB38" s="24" t="str">
        <f>tblRiskRegister3[[#This Row],[Risk Score]]</f>
        <v/>
      </c>
      <c r="AC38" s="79"/>
      <c r="AD38" s="206">
        <v>3.14</v>
      </c>
      <c r="AE38" s="194" t="s">
        <v>542</v>
      </c>
      <c r="AF38" s="194" t="s">
        <v>555</v>
      </c>
      <c r="AG38" s="25"/>
      <c r="AH38" s="13"/>
      <c r="AI38" s="22" t="str">
        <f>IFERROR(VLOOKUP(10*tblRiskRegister3[[#This Row],[Risk Treatment Safeguard Maturity Score]]+tblRiskRegister3[[#This Row],[VCDB Index]],tblHITIndexWeightTable[],4,FALSE),"")</f>
        <v/>
      </c>
      <c r="AJ38" s="292"/>
      <c r="AK38" s="292"/>
      <c r="AL38" s="292"/>
      <c r="AM38" s="292"/>
      <c r="AN38" s="100" t="str">
        <f>IFERROR(MAX(tblRiskRegister3[[#This Row],[Risk Treatment Safeguard Impact to Mission]:[Risk Treatment Safeguard Impact to Obligations]])*tblRiskRegister3[[#This Row],[Risk Treatment
Safeguard Expectancy Score]],"")</f>
        <v/>
      </c>
      <c r="AO38" s="100" t="str">
        <f>IF(tblRiskRegister3[[#This Row],[Risk Score]]&gt;AcceptableRisk1,IF(tblRiskRegister3[[#This Row],[Risk Treatment Safeguard Risk Score]]&lt;AcceptableRisk1, IF(tblRiskRegister3[[#This Row],[Risk Treatment Safeguard Risk Score]]&lt;=tblRiskRegister3[[#This Row],[Risk Score]],"Yes","No"),"No"),"Yes")</f>
        <v>No</v>
      </c>
      <c r="AP38" s="15"/>
      <c r="AQ38" s="15"/>
      <c r="AR38" s="16"/>
    </row>
    <row r="39" spans="2:44" ht="76.5" x14ac:dyDescent="0.2">
      <c r="B39" s="207">
        <v>4.0999999999999996</v>
      </c>
      <c r="C39" s="194" t="s">
        <v>45</v>
      </c>
      <c r="D39" s="88" t="s">
        <v>89</v>
      </c>
      <c r="E39" s="274" t="s">
        <v>657</v>
      </c>
      <c r="F39" s="14" t="s">
        <v>463</v>
      </c>
      <c r="G39" s="88" t="s">
        <v>463</v>
      </c>
      <c r="H39" s="88" t="s">
        <v>463</v>
      </c>
      <c r="I39" s="223"/>
      <c r="J39" s="293" t="s">
        <v>667</v>
      </c>
      <c r="K39" s="293" t="s">
        <v>667</v>
      </c>
      <c r="L39" s="293" t="s">
        <v>667</v>
      </c>
      <c r="M39" s="293" t="s">
        <v>667</v>
      </c>
      <c r="N39" s="293" t="s">
        <v>667</v>
      </c>
      <c r="O39" s="295">
        <f>COUNTIF(tblRiskRegister3[[#This Row],[Defends Against Malware]:[Defends Against Targeted Intrusions]],"Yes")</f>
        <v>5</v>
      </c>
      <c r="P39" s="12"/>
      <c r="Q39" s="12"/>
      <c r="R39" s="12"/>
      <c r="S39" s="12"/>
      <c r="T39" s="198"/>
      <c r="U39" s="199">
        <f>IFERROR(VLOOKUP(tblRiskRegister3[[#This Row],[Asset Class]],tblVCDBIndex[],4,FALSE),"")</f>
        <v>1</v>
      </c>
      <c r="V39" s="24" t="str">
        <f>IFERROR(VLOOKUP(10*tblRiskRegister3[[#This Row],[Safeguard Maturity Score]]+tblRiskRegister3[[#This Row],[VCDB Index]],tblHITIndexWeightTable[],4,FALSE),"")</f>
        <v/>
      </c>
      <c r="W39" s="294"/>
      <c r="X39" s="294"/>
      <c r="Y39" s="294"/>
      <c r="Z39" s="294"/>
      <c r="AA39" s="24" t="str">
        <f>IFERROR(MAX(tblRiskRegister3[[#This Row],[Impact to Mission]:[Impact to Obligations]])*tblRiskRegister3[[#This Row],[Expectancy Score]],"")</f>
        <v/>
      </c>
      <c r="AB39" s="24" t="str">
        <f>tblRiskRegister3[[#This Row],[Risk Score]]</f>
        <v/>
      </c>
      <c r="AC39" s="79"/>
      <c r="AD39" s="206">
        <v>4.0999999999999996</v>
      </c>
      <c r="AE39" s="194" t="s">
        <v>45</v>
      </c>
      <c r="AF39" s="194" t="s">
        <v>355</v>
      </c>
      <c r="AG39" s="25"/>
      <c r="AH39" s="13"/>
      <c r="AI39" s="22" t="str">
        <f>IFERROR(VLOOKUP(10*tblRiskRegister3[[#This Row],[Risk Treatment Safeguard Maturity Score]]+tblRiskRegister3[[#This Row],[VCDB Index]],tblHITIndexWeightTable[],4,FALSE),"")</f>
        <v/>
      </c>
      <c r="AJ39" s="292"/>
      <c r="AK39" s="292"/>
      <c r="AL39" s="292"/>
      <c r="AM39" s="292"/>
      <c r="AN39" s="100" t="str">
        <f>IFERROR(MAX(tblRiskRegister3[[#This Row],[Risk Treatment Safeguard Impact to Mission]:[Risk Treatment Safeguard Impact to Obligations]])*tblRiskRegister3[[#This Row],[Risk Treatment
Safeguard Expectancy Score]],"")</f>
        <v/>
      </c>
      <c r="AO39" s="100" t="str">
        <f>IF(tblRiskRegister3[[#This Row],[Risk Score]]&gt;AcceptableRisk1,IF(tblRiskRegister3[[#This Row],[Risk Treatment Safeguard Risk Score]]&lt;AcceptableRisk1, IF(tblRiskRegister3[[#This Row],[Risk Treatment Safeguard Risk Score]]&lt;=tblRiskRegister3[[#This Row],[Risk Score]],"Yes","No"),"No"),"Yes")</f>
        <v>No</v>
      </c>
      <c r="AP39" s="15"/>
      <c r="AQ39" s="15"/>
      <c r="AR39" s="16"/>
    </row>
    <row r="40" spans="2:44" ht="51" x14ac:dyDescent="0.2">
      <c r="B40" s="207">
        <v>4.2</v>
      </c>
      <c r="C40" s="194" t="s">
        <v>46</v>
      </c>
      <c r="D40" s="88" t="s">
        <v>90</v>
      </c>
      <c r="E40" s="274" t="s">
        <v>657</v>
      </c>
      <c r="F40" s="14" t="s">
        <v>463</v>
      </c>
      <c r="G40" s="88" t="s">
        <v>463</v>
      </c>
      <c r="H40" s="88" t="s">
        <v>463</v>
      </c>
      <c r="I40" s="223"/>
      <c r="J40" s="293" t="s">
        <v>667</v>
      </c>
      <c r="K40" s="293" t="s">
        <v>667</v>
      </c>
      <c r="L40" s="293" t="s">
        <v>667</v>
      </c>
      <c r="M40" s="293" t="s">
        <v>667</v>
      </c>
      <c r="N40" s="293" t="s">
        <v>667</v>
      </c>
      <c r="O40" s="295">
        <f>COUNTIF(tblRiskRegister3[[#This Row],[Defends Against Malware]:[Defends Against Targeted Intrusions]],"Yes")</f>
        <v>5</v>
      </c>
      <c r="P40" s="12"/>
      <c r="Q40" s="12"/>
      <c r="R40" s="12"/>
      <c r="S40" s="12"/>
      <c r="T40" s="198"/>
      <c r="U40" s="199">
        <f>IFERROR(VLOOKUP(tblRiskRegister3[[#This Row],[Asset Class]],tblVCDBIndex[],4,FALSE),"")</f>
        <v>1</v>
      </c>
      <c r="V40" s="24" t="str">
        <f>IFERROR(VLOOKUP(10*tblRiskRegister3[[#This Row],[Safeguard Maturity Score]]+tblRiskRegister3[[#This Row],[VCDB Index]],tblHITIndexWeightTable[],4,FALSE),"")</f>
        <v/>
      </c>
      <c r="W40" s="294"/>
      <c r="X40" s="294"/>
      <c r="Y40" s="294"/>
      <c r="Z40" s="294"/>
      <c r="AA40" s="24" t="str">
        <f>IFERROR(MAX(tblRiskRegister3[[#This Row],[Impact to Mission]:[Impact to Obligations]])*tblRiskRegister3[[#This Row],[Expectancy Score]],"")</f>
        <v/>
      </c>
      <c r="AB40" s="24" t="str">
        <f>tblRiskRegister3[[#This Row],[Risk Score]]</f>
        <v/>
      </c>
      <c r="AC40" s="79"/>
      <c r="AD40" s="206">
        <v>4.2</v>
      </c>
      <c r="AE40" s="194" t="s">
        <v>46</v>
      </c>
      <c r="AF40" s="194" t="s">
        <v>356</v>
      </c>
      <c r="AG40" s="25"/>
      <c r="AH40" s="13"/>
      <c r="AI40" s="22" t="str">
        <f>IFERROR(VLOOKUP(10*tblRiskRegister3[[#This Row],[Risk Treatment Safeguard Maturity Score]]+tblRiskRegister3[[#This Row],[VCDB Index]],tblHITIndexWeightTable[],4,FALSE),"")</f>
        <v/>
      </c>
      <c r="AJ40" s="292"/>
      <c r="AK40" s="292"/>
      <c r="AL40" s="292"/>
      <c r="AM40" s="292"/>
      <c r="AN40" s="100" t="str">
        <f>IFERROR(MAX(tblRiskRegister3[[#This Row],[Risk Treatment Safeguard Impact to Mission]:[Risk Treatment Safeguard Impact to Obligations]])*tblRiskRegister3[[#This Row],[Risk Treatment
Safeguard Expectancy Score]],"")</f>
        <v/>
      </c>
      <c r="AO40" s="100" t="str">
        <f>IF(tblRiskRegister3[[#This Row],[Risk Score]]&gt;AcceptableRisk1,IF(tblRiskRegister3[[#This Row],[Risk Treatment Safeguard Risk Score]]&lt;AcceptableRisk1, IF(tblRiskRegister3[[#This Row],[Risk Treatment Safeguard Risk Score]]&lt;=tblRiskRegister3[[#This Row],[Risk Score]],"Yes","No"),"No"),"Yes")</f>
        <v>No</v>
      </c>
      <c r="AP40" s="15"/>
      <c r="AQ40" s="15"/>
      <c r="AR40" s="16"/>
    </row>
    <row r="41" spans="2:44" ht="51" x14ac:dyDescent="0.2">
      <c r="B41" s="207">
        <v>4.3</v>
      </c>
      <c r="C41" s="194" t="s">
        <v>47</v>
      </c>
      <c r="D41" s="88" t="s">
        <v>91</v>
      </c>
      <c r="E41" s="274" t="s">
        <v>657</v>
      </c>
      <c r="F41" s="14" t="s">
        <v>463</v>
      </c>
      <c r="G41" s="88" t="s">
        <v>463</v>
      </c>
      <c r="H41" s="88" t="s">
        <v>463</v>
      </c>
      <c r="I41" s="223"/>
      <c r="J41" s="292" t="s">
        <v>666</v>
      </c>
      <c r="K41" s="292" t="s">
        <v>666</v>
      </c>
      <c r="L41" s="292" t="s">
        <v>666</v>
      </c>
      <c r="M41" s="292" t="s">
        <v>666</v>
      </c>
      <c r="N41" s="292" t="s">
        <v>666</v>
      </c>
      <c r="O41" s="295">
        <f>COUNTIF(tblRiskRegister3[[#This Row],[Defends Against Malware]:[Defends Against Targeted Intrusions]],"Yes")</f>
        <v>0</v>
      </c>
      <c r="P41" s="12"/>
      <c r="Q41" s="12"/>
      <c r="R41" s="12"/>
      <c r="S41" s="12"/>
      <c r="T41" s="198"/>
      <c r="U41" s="199">
        <f>IFERROR(VLOOKUP(tblRiskRegister3[[#This Row],[Asset Class]],tblVCDBIndex[],4,FALSE),"")</f>
        <v>3</v>
      </c>
      <c r="V41" s="24" t="str">
        <f>IFERROR(VLOOKUP(10*tblRiskRegister3[[#This Row],[Safeguard Maturity Score]]+tblRiskRegister3[[#This Row],[VCDB Index]],tblHITIndexWeightTable[],4,FALSE),"")</f>
        <v/>
      </c>
      <c r="W41" s="294"/>
      <c r="X41" s="294"/>
      <c r="Y41" s="294"/>
      <c r="Z41" s="294"/>
      <c r="AA41" s="24" t="str">
        <f>IFERROR(MAX(tblRiskRegister3[[#This Row],[Impact to Mission]:[Impact to Obligations]])*tblRiskRegister3[[#This Row],[Expectancy Score]],"")</f>
        <v/>
      </c>
      <c r="AB41" s="24" t="str">
        <f>tblRiskRegister3[[#This Row],[Risk Score]]</f>
        <v/>
      </c>
      <c r="AC41" s="79"/>
      <c r="AD41" s="206">
        <v>4.3</v>
      </c>
      <c r="AE41" s="194" t="s">
        <v>47</v>
      </c>
      <c r="AF41" s="194" t="s">
        <v>357</v>
      </c>
      <c r="AG41" s="25"/>
      <c r="AH41" s="13"/>
      <c r="AI41" s="22" t="str">
        <f>IFERROR(VLOOKUP(10*tblRiskRegister3[[#This Row],[Risk Treatment Safeguard Maturity Score]]+tblRiskRegister3[[#This Row],[VCDB Index]],tblHITIndexWeightTable[],4,FALSE),"")</f>
        <v/>
      </c>
      <c r="AJ41" s="292"/>
      <c r="AK41" s="292"/>
      <c r="AL41" s="292"/>
      <c r="AM41" s="292"/>
      <c r="AN41" s="100" t="str">
        <f>IFERROR(MAX(tblRiskRegister3[[#This Row],[Risk Treatment Safeguard Impact to Mission]:[Risk Treatment Safeguard Impact to Obligations]])*tblRiskRegister3[[#This Row],[Risk Treatment
Safeguard Expectancy Score]],"")</f>
        <v/>
      </c>
      <c r="AO41" s="100" t="str">
        <f>IF(tblRiskRegister3[[#This Row],[Risk Score]]&gt;AcceptableRisk1,IF(tblRiskRegister3[[#This Row],[Risk Treatment Safeguard Risk Score]]&lt;AcceptableRisk1, IF(tblRiskRegister3[[#This Row],[Risk Treatment Safeguard Risk Score]]&lt;=tblRiskRegister3[[#This Row],[Risk Score]],"Yes","No"),"No"),"Yes")</f>
        <v>No</v>
      </c>
      <c r="AP41" s="15"/>
      <c r="AQ41" s="15"/>
      <c r="AR41" s="16"/>
    </row>
    <row r="42" spans="2:44" ht="38.25" x14ac:dyDescent="0.2">
      <c r="B42" s="207">
        <v>4.4000000000000004</v>
      </c>
      <c r="C42" s="194" t="s">
        <v>48</v>
      </c>
      <c r="D42" s="88" t="s">
        <v>88</v>
      </c>
      <c r="E42" s="274" t="s">
        <v>657</v>
      </c>
      <c r="F42" s="14" t="s">
        <v>463</v>
      </c>
      <c r="G42" s="88" t="s">
        <v>463</v>
      </c>
      <c r="H42" s="88" t="s">
        <v>463</v>
      </c>
      <c r="I42" s="223"/>
      <c r="J42" s="293" t="s">
        <v>667</v>
      </c>
      <c r="K42" s="293" t="s">
        <v>667</v>
      </c>
      <c r="L42" s="293" t="s">
        <v>667</v>
      </c>
      <c r="M42" s="293" t="s">
        <v>667</v>
      </c>
      <c r="N42" s="293" t="s">
        <v>667</v>
      </c>
      <c r="O42" s="295">
        <f>COUNTIF(tblRiskRegister3[[#This Row],[Defends Against Malware]:[Defends Against Targeted Intrusions]],"Yes")</f>
        <v>5</v>
      </c>
      <c r="P42" s="12"/>
      <c r="Q42" s="12"/>
      <c r="R42" s="12"/>
      <c r="S42" s="12"/>
      <c r="T42" s="198"/>
      <c r="U42" s="199">
        <f>IFERROR(VLOOKUP(tblRiskRegister3[[#This Row],[Asset Class]],tblVCDBIndex[],4,FALSE),"")</f>
        <v>1</v>
      </c>
      <c r="V42" s="24" t="str">
        <f>IFERROR(VLOOKUP(10*tblRiskRegister3[[#This Row],[Safeguard Maturity Score]]+tblRiskRegister3[[#This Row],[VCDB Index]],tblHITIndexWeightTable[],4,FALSE),"")</f>
        <v/>
      </c>
      <c r="W42" s="294"/>
      <c r="X42" s="294"/>
      <c r="Y42" s="294"/>
      <c r="Z42" s="294"/>
      <c r="AA42" s="24" t="str">
        <f>IFERROR(MAX(tblRiskRegister3[[#This Row],[Impact to Mission]:[Impact to Obligations]])*tblRiskRegister3[[#This Row],[Expectancy Score]],"")</f>
        <v/>
      </c>
      <c r="AB42" s="24" t="str">
        <f>tblRiskRegister3[[#This Row],[Risk Score]]</f>
        <v/>
      </c>
      <c r="AC42" s="79"/>
      <c r="AD42" s="206">
        <v>4.4000000000000004</v>
      </c>
      <c r="AE42" s="194" t="s">
        <v>556</v>
      </c>
      <c r="AF42" s="194" t="s">
        <v>358</v>
      </c>
      <c r="AG42" s="25"/>
      <c r="AH42" s="13"/>
      <c r="AI42" s="22" t="str">
        <f>IFERROR(VLOOKUP(10*tblRiskRegister3[[#This Row],[Risk Treatment Safeguard Maturity Score]]+tblRiskRegister3[[#This Row],[VCDB Index]],tblHITIndexWeightTable[],4,FALSE),"")</f>
        <v/>
      </c>
      <c r="AJ42" s="292"/>
      <c r="AK42" s="292"/>
      <c r="AL42" s="292"/>
      <c r="AM42" s="292"/>
      <c r="AN42" s="100" t="str">
        <f>IFERROR(MAX(tblRiskRegister3[[#This Row],[Risk Treatment Safeguard Impact to Mission]:[Risk Treatment Safeguard Impact to Obligations]])*tblRiskRegister3[[#This Row],[Risk Treatment
Safeguard Expectancy Score]],"")</f>
        <v/>
      </c>
      <c r="AO42" s="100" t="str">
        <f>IF(tblRiskRegister3[[#This Row],[Risk Score]]&gt;AcceptableRisk1,IF(tblRiskRegister3[[#This Row],[Risk Treatment Safeguard Risk Score]]&lt;AcceptableRisk1, IF(tblRiskRegister3[[#This Row],[Risk Treatment Safeguard Risk Score]]&lt;=tblRiskRegister3[[#This Row],[Risk Score]],"Yes","No"),"No"),"Yes")</f>
        <v>No</v>
      </c>
      <c r="AP42" s="15"/>
      <c r="AQ42" s="15"/>
      <c r="AR42" s="16"/>
    </row>
    <row r="43" spans="2:44" ht="38.25" x14ac:dyDescent="0.2">
      <c r="B43" s="207">
        <v>4.5</v>
      </c>
      <c r="C43" s="194" t="s">
        <v>49</v>
      </c>
      <c r="D43" s="88" t="s">
        <v>88</v>
      </c>
      <c r="E43" s="274" t="s">
        <v>657</v>
      </c>
      <c r="F43" s="14" t="s">
        <v>463</v>
      </c>
      <c r="G43" s="88" t="s">
        <v>463</v>
      </c>
      <c r="H43" s="88" t="s">
        <v>463</v>
      </c>
      <c r="I43" s="223"/>
      <c r="J43" s="293" t="s">
        <v>667</v>
      </c>
      <c r="K43" s="293" t="s">
        <v>667</v>
      </c>
      <c r="L43" s="293" t="s">
        <v>667</v>
      </c>
      <c r="M43" s="293" t="s">
        <v>667</v>
      </c>
      <c r="N43" s="293" t="s">
        <v>667</v>
      </c>
      <c r="O43" s="295">
        <f>COUNTIF(tblRiskRegister3[[#This Row],[Defends Against Malware]:[Defends Against Targeted Intrusions]],"Yes")</f>
        <v>5</v>
      </c>
      <c r="P43" s="12"/>
      <c r="Q43" s="12"/>
      <c r="R43" s="12"/>
      <c r="S43" s="12"/>
      <c r="T43" s="198"/>
      <c r="U43" s="199">
        <f>IFERROR(VLOOKUP(tblRiskRegister3[[#This Row],[Asset Class]],tblVCDBIndex[],4,FALSE),"")</f>
        <v>1</v>
      </c>
      <c r="V43" s="24" t="str">
        <f>IFERROR(VLOOKUP(10*tblRiskRegister3[[#This Row],[Safeguard Maturity Score]]+tblRiskRegister3[[#This Row],[VCDB Index]],tblHITIndexWeightTable[],4,FALSE),"")</f>
        <v/>
      </c>
      <c r="W43" s="294"/>
      <c r="X43" s="294"/>
      <c r="Y43" s="294"/>
      <c r="Z43" s="294"/>
      <c r="AA43" s="24" t="str">
        <f>IFERROR(MAX(tblRiskRegister3[[#This Row],[Impact to Mission]:[Impact to Obligations]])*tblRiskRegister3[[#This Row],[Expectancy Score]],"")</f>
        <v/>
      </c>
      <c r="AB43" s="24" t="str">
        <f>tblRiskRegister3[[#This Row],[Risk Score]]</f>
        <v/>
      </c>
      <c r="AC43" s="79"/>
      <c r="AD43" s="206">
        <v>4.5</v>
      </c>
      <c r="AE43" s="194" t="s">
        <v>49</v>
      </c>
      <c r="AF43" s="194" t="s">
        <v>359</v>
      </c>
      <c r="AG43" s="25"/>
      <c r="AH43" s="13"/>
      <c r="AI43" s="22" t="str">
        <f>IFERROR(VLOOKUP(10*tblRiskRegister3[[#This Row],[Risk Treatment Safeguard Maturity Score]]+tblRiskRegister3[[#This Row],[VCDB Index]],tblHITIndexWeightTable[],4,FALSE),"")</f>
        <v/>
      </c>
      <c r="AJ43" s="292"/>
      <c r="AK43" s="292"/>
      <c r="AL43" s="292"/>
      <c r="AM43" s="292"/>
      <c r="AN43" s="100" t="str">
        <f>IFERROR(MAX(tblRiskRegister3[[#This Row],[Risk Treatment Safeguard Impact to Mission]:[Risk Treatment Safeguard Impact to Obligations]])*tblRiskRegister3[[#This Row],[Risk Treatment
Safeguard Expectancy Score]],"")</f>
        <v/>
      </c>
      <c r="AO43" s="100" t="str">
        <f>IF(tblRiskRegister3[[#This Row],[Risk Score]]&gt;AcceptableRisk1,IF(tblRiskRegister3[[#This Row],[Risk Treatment Safeguard Risk Score]]&lt;AcceptableRisk1, IF(tblRiskRegister3[[#This Row],[Risk Treatment Safeguard Risk Score]]&lt;=tblRiskRegister3[[#This Row],[Risk Score]],"Yes","No"),"No"),"Yes")</f>
        <v>No</v>
      </c>
      <c r="AP43" s="15"/>
      <c r="AQ43" s="15"/>
      <c r="AR43" s="16"/>
    </row>
    <row r="44" spans="2:44" ht="89.25" x14ac:dyDescent="0.2">
      <c r="B44" s="207">
        <v>4.5999999999999996</v>
      </c>
      <c r="C44" s="194" t="s">
        <v>50</v>
      </c>
      <c r="D44" s="88" t="s">
        <v>90</v>
      </c>
      <c r="E44" s="274" t="s">
        <v>657</v>
      </c>
      <c r="F44" s="14" t="s">
        <v>463</v>
      </c>
      <c r="G44" s="88" t="s">
        <v>463</v>
      </c>
      <c r="H44" s="88" t="s">
        <v>463</v>
      </c>
      <c r="I44" s="223"/>
      <c r="J44" s="293" t="s">
        <v>667</v>
      </c>
      <c r="K44" s="293" t="s">
        <v>667</v>
      </c>
      <c r="L44" s="293" t="s">
        <v>667</v>
      </c>
      <c r="M44" s="293" t="s">
        <v>667</v>
      </c>
      <c r="N44" s="292" t="s">
        <v>666</v>
      </c>
      <c r="O44" s="295">
        <f>COUNTIF(tblRiskRegister3[[#This Row],[Defends Against Malware]:[Defends Against Targeted Intrusions]],"Yes")</f>
        <v>4</v>
      </c>
      <c r="P44" s="12"/>
      <c r="Q44" s="12"/>
      <c r="R44" s="12"/>
      <c r="S44" s="12"/>
      <c r="T44" s="198"/>
      <c r="U44" s="199">
        <f>IFERROR(VLOOKUP(tblRiskRegister3[[#This Row],[Asset Class]],tblVCDBIndex[],4,FALSE),"")</f>
        <v>1</v>
      </c>
      <c r="V44" s="24" t="str">
        <f>IFERROR(VLOOKUP(10*tblRiskRegister3[[#This Row],[Safeguard Maturity Score]]+tblRiskRegister3[[#This Row],[VCDB Index]],tblHITIndexWeightTable[],4,FALSE),"")</f>
        <v/>
      </c>
      <c r="W44" s="294"/>
      <c r="X44" s="294"/>
      <c r="Y44" s="294"/>
      <c r="Z44" s="294"/>
      <c r="AA44" s="24" t="str">
        <f>IFERROR(MAX(tblRiskRegister3[[#This Row],[Impact to Mission]:[Impact to Obligations]])*tblRiskRegister3[[#This Row],[Expectancy Score]],"")</f>
        <v/>
      </c>
      <c r="AB44" s="24" t="str">
        <f>tblRiskRegister3[[#This Row],[Risk Score]]</f>
        <v/>
      </c>
      <c r="AC44" s="79"/>
      <c r="AD44" s="206">
        <v>4.5999999999999996</v>
      </c>
      <c r="AE44" s="194" t="s">
        <v>50</v>
      </c>
      <c r="AF44" s="194" t="s">
        <v>360</v>
      </c>
      <c r="AG44" s="25"/>
      <c r="AH44" s="13"/>
      <c r="AI44" s="22" t="str">
        <f>IFERROR(VLOOKUP(10*tblRiskRegister3[[#This Row],[Risk Treatment Safeguard Maturity Score]]+tblRiskRegister3[[#This Row],[VCDB Index]],tblHITIndexWeightTable[],4,FALSE),"")</f>
        <v/>
      </c>
      <c r="AJ44" s="292"/>
      <c r="AK44" s="292"/>
      <c r="AL44" s="292"/>
      <c r="AM44" s="292"/>
      <c r="AN44" s="100" t="str">
        <f>IFERROR(MAX(tblRiskRegister3[[#This Row],[Risk Treatment Safeguard Impact to Mission]:[Risk Treatment Safeguard Impact to Obligations]])*tblRiskRegister3[[#This Row],[Risk Treatment
Safeguard Expectancy Score]],"")</f>
        <v/>
      </c>
      <c r="AO44" s="100" t="str">
        <f>IF(tblRiskRegister3[[#This Row],[Risk Score]]&gt;AcceptableRisk1,IF(tblRiskRegister3[[#This Row],[Risk Treatment Safeguard Risk Score]]&lt;AcceptableRisk1, IF(tblRiskRegister3[[#This Row],[Risk Treatment Safeguard Risk Score]]&lt;=tblRiskRegister3[[#This Row],[Risk Score]],"Yes","No"),"No"),"Yes")</f>
        <v>No</v>
      </c>
      <c r="AP44" s="15"/>
      <c r="AQ44" s="15"/>
      <c r="AR44" s="16"/>
    </row>
    <row r="45" spans="2:44" ht="51" x14ac:dyDescent="0.2">
      <c r="B45" s="207">
        <v>4.7</v>
      </c>
      <c r="C45" s="194" t="s">
        <v>51</v>
      </c>
      <c r="D45" s="88" t="s">
        <v>91</v>
      </c>
      <c r="E45" s="274" t="s">
        <v>657</v>
      </c>
      <c r="F45" s="14" t="s">
        <v>463</v>
      </c>
      <c r="G45" s="88" t="s">
        <v>463</v>
      </c>
      <c r="H45" s="88" t="s">
        <v>463</v>
      </c>
      <c r="I45" s="223"/>
      <c r="J45" s="293" t="s">
        <v>667</v>
      </c>
      <c r="K45" s="293" t="s">
        <v>667</v>
      </c>
      <c r="L45" s="293" t="s">
        <v>667</v>
      </c>
      <c r="M45" s="293" t="s">
        <v>667</v>
      </c>
      <c r="N45" s="293" t="s">
        <v>667</v>
      </c>
      <c r="O45" s="295">
        <f>COUNTIF(tblRiskRegister3[[#This Row],[Defends Against Malware]:[Defends Against Targeted Intrusions]],"Yes")</f>
        <v>5</v>
      </c>
      <c r="P45" s="12"/>
      <c r="Q45" s="12"/>
      <c r="R45" s="12"/>
      <c r="S45" s="12"/>
      <c r="T45" s="198"/>
      <c r="U45" s="199">
        <f>IFERROR(VLOOKUP(tblRiskRegister3[[#This Row],[Asset Class]],tblVCDBIndex[],4,FALSE),"")</f>
        <v>3</v>
      </c>
      <c r="V45" s="24" t="str">
        <f>IFERROR(VLOOKUP(10*tblRiskRegister3[[#This Row],[Safeguard Maturity Score]]+tblRiskRegister3[[#This Row],[VCDB Index]],tblHITIndexWeightTable[],4,FALSE),"")</f>
        <v/>
      </c>
      <c r="W45" s="294"/>
      <c r="X45" s="294"/>
      <c r="Y45" s="294"/>
      <c r="Z45" s="294"/>
      <c r="AA45" s="24" t="str">
        <f>IFERROR(MAX(tblRiskRegister3[[#This Row],[Impact to Mission]:[Impact to Obligations]])*tblRiskRegister3[[#This Row],[Expectancy Score]],"")</f>
        <v/>
      </c>
      <c r="AB45" s="24" t="str">
        <f>tblRiskRegister3[[#This Row],[Risk Score]]</f>
        <v/>
      </c>
      <c r="AC45" s="79"/>
      <c r="AD45" s="206">
        <v>4.7</v>
      </c>
      <c r="AE45" s="194" t="s">
        <v>51</v>
      </c>
      <c r="AF45" s="194" t="s">
        <v>361</v>
      </c>
      <c r="AG45" s="25"/>
      <c r="AH45" s="13"/>
      <c r="AI45" s="22" t="str">
        <f>IFERROR(VLOOKUP(10*tblRiskRegister3[[#This Row],[Risk Treatment Safeguard Maturity Score]]+tblRiskRegister3[[#This Row],[VCDB Index]],tblHITIndexWeightTable[],4,FALSE),"")</f>
        <v/>
      </c>
      <c r="AJ45" s="292"/>
      <c r="AK45" s="292"/>
      <c r="AL45" s="292"/>
      <c r="AM45" s="292"/>
      <c r="AN45" s="100" t="str">
        <f>IFERROR(MAX(tblRiskRegister3[[#This Row],[Risk Treatment Safeguard Impact to Mission]:[Risk Treatment Safeguard Impact to Obligations]])*tblRiskRegister3[[#This Row],[Risk Treatment
Safeguard Expectancy Score]],"")</f>
        <v/>
      </c>
      <c r="AO45" s="100" t="str">
        <f>IF(tblRiskRegister3[[#This Row],[Risk Score]]&gt;AcceptableRisk1,IF(tblRiskRegister3[[#This Row],[Risk Treatment Safeguard Risk Score]]&lt;AcceptableRisk1, IF(tblRiskRegister3[[#This Row],[Risk Treatment Safeguard Risk Score]]&lt;=tblRiskRegister3[[#This Row],[Risk Score]],"Yes","No"),"No"),"Yes")</f>
        <v>No</v>
      </c>
      <c r="AP45" s="15"/>
      <c r="AQ45" s="15"/>
      <c r="AR45" s="16"/>
    </row>
    <row r="46" spans="2:44" ht="51" x14ac:dyDescent="0.2">
      <c r="B46" s="207">
        <v>4.8</v>
      </c>
      <c r="C46" s="194" t="s">
        <v>180</v>
      </c>
      <c r="D46" s="88" t="s">
        <v>88</v>
      </c>
      <c r="E46" s="274" t="s">
        <v>657</v>
      </c>
      <c r="F46" s="14"/>
      <c r="G46" s="88" t="s">
        <v>463</v>
      </c>
      <c r="H46" s="88" t="s">
        <v>463</v>
      </c>
      <c r="I46" s="223"/>
      <c r="J46" s="293" t="s">
        <v>667</v>
      </c>
      <c r="K46" s="293" t="s">
        <v>667</v>
      </c>
      <c r="L46" s="293" t="s">
        <v>667</v>
      </c>
      <c r="M46" s="293" t="s">
        <v>667</v>
      </c>
      <c r="N46" s="293" t="s">
        <v>667</v>
      </c>
      <c r="O46" s="295">
        <f>COUNTIF(tblRiskRegister3[[#This Row],[Defends Against Malware]:[Defends Against Targeted Intrusions]],"Yes")</f>
        <v>5</v>
      </c>
      <c r="P46" s="12"/>
      <c r="Q46" s="12"/>
      <c r="R46" s="12"/>
      <c r="S46" s="12"/>
      <c r="T46" s="198"/>
      <c r="U46" s="199">
        <f>IFERROR(VLOOKUP(tblRiskRegister3[[#This Row],[Asset Class]],tblVCDBIndex[],4,FALSE),"")</f>
        <v>1</v>
      </c>
      <c r="V46" s="24" t="str">
        <f>IFERROR(VLOOKUP(10*tblRiskRegister3[[#This Row],[Safeguard Maturity Score]]+tblRiskRegister3[[#This Row],[VCDB Index]],tblHITIndexWeightTable[],4,FALSE),"")</f>
        <v/>
      </c>
      <c r="W46" s="294"/>
      <c r="X46" s="294"/>
      <c r="Y46" s="294"/>
      <c r="Z46" s="294"/>
      <c r="AA46" s="24" t="str">
        <f>IFERROR(MAX(tblRiskRegister3[[#This Row],[Impact to Mission]:[Impact to Obligations]])*tblRiskRegister3[[#This Row],[Expectancy Score]],"")</f>
        <v/>
      </c>
      <c r="AB46" s="24" t="str">
        <f>tblRiskRegister3[[#This Row],[Risk Score]]</f>
        <v/>
      </c>
      <c r="AC46" s="79"/>
      <c r="AD46" s="206">
        <v>4.8</v>
      </c>
      <c r="AE46" s="194" t="s">
        <v>180</v>
      </c>
      <c r="AF46" s="194" t="s">
        <v>362</v>
      </c>
      <c r="AG46" s="25"/>
      <c r="AH46" s="13"/>
      <c r="AI46" s="22" t="str">
        <f>IFERROR(VLOOKUP(10*tblRiskRegister3[[#This Row],[Risk Treatment Safeguard Maturity Score]]+tblRiskRegister3[[#This Row],[VCDB Index]],tblHITIndexWeightTable[],4,FALSE),"")</f>
        <v/>
      </c>
      <c r="AJ46" s="292"/>
      <c r="AK46" s="292"/>
      <c r="AL46" s="292"/>
      <c r="AM46" s="292"/>
      <c r="AN46" s="100" t="str">
        <f>IFERROR(MAX(tblRiskRegister3[[#This Row],[Risk Treatment Safeguard Impact to Mission]:[Risk Treatment Safeguard Impact to Obligations]])*tblRiskRegister3[[#This Row],[Risk Treatment
Safeguard Expectancy Score]],"")</f>
        <v/>
      </c>
      <c r="AO46" s="100" t="str">
        <f>IF(tblRiskRegister3[[#This Row],[Risk Score]]&gt;AcceptableRisk1,IF(tblRiskRegister3[[#This Row],[Risk Treatment Safeguard Risk Score]]&lt;AcceptableRisk1, IF(tblRiskRegister3[[#This Row],[Risk Treatment Safeguard Risk Score]]&lt;=tblRiskRegister3[[#This Row],[Risk Score]],"Yes","No"),"No"),"Yes")</f>
        <v>No</v>
      </c>
      <c r="AP46" s="15"/>
      <c r="AQ46" s="15"/>
      <c r="AR46" s="16"/>
    </row>
    <row r="47" spans="2:44" ht="51" x14ac:dyDescent="0.2">
      <c r="B47" s="207">
        <v>4.9000000000000004</v>
      </c>
      <c r="C47" s="194" t="s">
        <v>181</v>
      </c>
      <c r="D47" s="88" t="s">
        <v>88</v>
      </c>
      <c r="E47" s="274" t="s">
        <v>657</v>
      </c>
      <c r="F47" s="14"/>
      <c r="G47" s="88" t="s">
        <v>463</v>
      </c>
      <c r="H47" s="88" t="s">
        <v>463</v>
      </c>
      <c r="I47" s="223"/>
      <c r="J47" s="293" t="s">
        <v>667</v>
      </c>
      <c r="K47" s="292" t="s">
        <v>666</v>
      </c>
      <c r="L47" s="292" t="s">
        <v>666</v>
      </c>
      <c r="M47" s="292" t="s">
        <v>666</v>
      </c>
      <c r="N47" s="293" t="s">
        <v>667</v>
      </c>
      <c r="O47" s="295">
        <f>COUNTIF(tblRiskRegister3[[#This Row],[Defends Against Malware]:[Defends Against Targeted Intrusions]],"Yes")</f>
        <v>2</v>
      </c>
      <c r="P47" s="12"/>
      <c r="Q47" s="12"/>
      <c r="R47" s="12"/>
      <c r="S47" s="12"/>
      <c r="T47" s="198"/>
      <c r="U47" s="199">
        <f>IFERROR(VLOOKUP(tblRiskRegister3[[#This Row],[Asset Class]],tblVCDBIndex[],4,FALSE),"")</f>
        <v>1</v>
      </c>
      <c r="V47" s="24" t="str">
        <f>IFERROR(VLOOKUP(10*tblRiskRegister3[[#This Row],[Safeguard Maturity Score]]+tblRiskRegister3[[#This Row],[VCDB Index]],tblHITIndexWeightTable[],4,FALSE),"")</f>
        <v/>
      </c>
      <c r="W47" s="294"/>
      <c r="X47" s="294"/>
      <c r="Y47" s="294"/>
      <c r="Z47" s="294"/>
      <c r="AA47" s="24" t="str">
        <f>IFERROR(MAX(tblRiskRegister3[[#This Row],[Impact to Mission]:[Impact to Obligations]])*tblRiskRegister3[[#This Row],[Expectancy Score]],"")</f>
        <v/>
      </c>
      <c r="AB47" s="24" t="str">
        <f>tblRiskRegister3[[#This Row],[Risk Score]]</f>
        <v/>
      </c>
      <c r="AC47" s="79"/>
      <c r="AD47" s="206">
        <v>4.9000000000000004</v>
      </c>
      <c r="AE47" s="194" t="s">
        <v>181</v>
      </c>
      <c r="AF47" s="194" t="s">
        <v>363</v>
      </c>
      <c r="AG47" s="25"/>
      <c r="AH47" s="13"/>
      <c r="AI47" s="22" t="str">
        <f>IFERROR(VLOOKUP(10*tblRiskRegister3[[#This Row],[Risk Treatment Safeguard Maturity Score]]+tblRiskRegister3[[#This Row],[VCDB Index]],tblHITIndexWeightTable[],4,FALSE),"")</f>
        <v/>
      </c>
      <c r="AJ47" s="292"/>
      <c r="AK47" s="292"/>
      <c r="AL47" s="292"/>
      <c r="AM47" s="292"/>
      <c r="AN47" s="100" t="str">
        <f>IFERROR(MAX(tblRiskRegister3[[#This Row],[Risk Treatment Safeguard Impact to Mission]:[Risk Treatment Safeguard Impact to Obligations]])*tblRiskRegister3[[#This Row],[Risk Treatment
Safeguard Expectancy Score]],"")</f>
        <v/>
      </c>
      <c r="AO47" s="100" t="str">
        <f>IF(tblRiskRegister3[[#This Row],[Risk Score]]&gt;AcceptableRisk1,IF(tblRiskRegister3[[#This Row],[Risk Treatment Safeguard Risk Score]]&lt;AcceptableRisk1, IF(tblRiskRegister3[[#This Row],[Risk Treatment Safeguard Risk Score]]&lt;=tblRiskRegister3[[#This Row],[Risk Score]],"Yes","No"),"No"),"Yes")</f>
        <v>No</v>
      </c>
      <c r="AP47" s="15"/>
      <c r="AQ47" s="15"/>
      <c r="AR47" s="16"/>
    </row>
    <row r="48" spans="2:44" ht="89.25" x14ac:dyDescent="0.2">
      <c r="B48" s="207" t="s">
        <v>527</v>
      </c>
      <c r="C48" s="194" t="s">
        <v>182</v>
      </c>
      <c r="D48" s="88" t="s">
        <v>88</v>
      </c>
      <c r="E48" s="274" t="s">
        <v>655</v>
      </c>
      <c r="F48" s="14"/>
      <c r="G48" s="88" t="s">
        <v>463</v>
      </c>
      <c r="H48" s="88" t="s">
        <v>463</v>
      </c>
      <c r="I48" s="223"/>
      <c r="J48" s="293" t="s">
        <v>667</v>
      </c>
      <c r="K48" s="293" t="s">
        <v>667</v>
      </c>
      <c r="L48" s="293" t="s">
        <v>667</v>
      </c>
      <c r="M48" s="293" t="s">
        <v>667</v>
      </c>
      <c r="N48" s="293" t="s">
        <v>667</v>
      </c>
      <c r="O48" s="295">
        <f>COUNTIF(tblRiskRegister3[[#This Row],[Defends Against Malware]:[Defends Against Targeted Intrusions]],"Yes")</f>
        <v>5</v>
      </c>
      <c r="P48" s="12"/>
      <c r="Q48" s="12"/>
      <c r="R48" s="12"/>
      <c r="S48" s="12"/>
      <c r="T48" s="198"/>
      <c r="U48" s="199">
        <f>IFERROR(VLOOKUP(tblRiskRegister3[[#This Row],[Asset Class]],tblVCDBIndex[],4,FALSE),"")</f>
        <v>1</v>
      </c>
      <c r="V48" s="24" t="str">
        <f>IFERROR(VLOOKUP(10*tblRiskRegister3[[#This Row],[Safeguard Maturity Score]]+tblRiskRegister3[[#This Row],[VCDB Index]],tblHITIndexWeightTable[],4,FALSE),"")</f>
        <v/>
      </c>
      <c r="W48" s="294"/>
      <c r="X48" s="294"/>
      <c r="Y48" s="294"/>
      <c r="Z48" s="294"/>
      <c r="AA48" s="24" t="str">
        <f>IFERROR(MAX(tblRiskRegister3[[#This Row],[Impact to Mission]:[Impact to Obligations]])*tblRiskRegister3[[#This Row],[Expectancy Score]],"")</f>
        <v/>
      </c>
      <c r="AB48" s="24" t="str">
        <f>tblRiskRegister3[[#This Row],[Risk Score]]</f>
        <v/>
      </c>
      <c r="AC48" s="79"/>
      <c r="AD48" s="206">
        <v>4.0999999999999996</v>
      </c>
      <c r="AE48" s="194" t="s">
        <v>182</v>
      </c>
      <c r="AF48" s="194" t="s">
        <v>364</v>
      </c>
      <c r="AG48" s="25"/>
      <c r="AH48" s="13"/>
      <c r="AI48" s="22" t="str">
        <f>IFERROR(VLOOKUP(10*tblRiskRegister3[[#This Row],[Risk Treatment Safeguard Maturity Score]]+tblRiskRegister3[[#This Row],[VCDB Index]],tblHITIndexWeightTable[],4,FALSE),"")</f>
        <v/>
      </c>
      <c r="AJ48" s="292"/>
      <c r="AK48" s="292"/>
      <c r="AL48" s="292"/>
      <c r="AM48" s="292"/>
      <c r="AN48" s="100" t="str">
        <f>IFERROR(MAX(tblRiskRegister3[[#This Row],[Risk Treatment Safeguard Impact to Mission]:[Risk Treatment Safeguard Impact to Obligations]])*tblRiskRegister3[[#This Row],[Risk Treatment
Safeguard Expectancy Score]],"")</f>
        <v/>
      </c>
      <c r="AO48" s="100" t="str">
        <f>IF(tblRiskRegister3[[#This Row],[Risk Score]]&gt;AcceptableRisk1,IF(tblRiskRegister3[[#This Row],[Risk Treatment Safeguard Risk Score]]&lt;AcceptableRisk1, IF(tblRiskRegister3[[#This Row],[Risk Treatment Safeguard Risk Score]]&lt;=tblRiskRegister3[[#This Row],[Risk Score]],"Yes","No"),"No"),"Yes")</f>
        <v>No</v>
      </c>
      <c r="AP48" s="15"/>
      <c r="AQ48" s="15"/>
      <c r="AR48" s="16"/>
    </row>
    <row r="49" spans="2:44" ht="38.25" x14ac:dyDescent="0.2">
      <c r="B49" s="207">
        <v>4.1100000000000003</v>
      </c>
      <c r="C49" s="194" t="s">
        <v>183</v>
      </c>
      <c r="D49" s="88" t="s">
        <v>88</v>
      </c>
      <c r="E49" s="274" t="s">
        <v>657</v>
      </c>
      <c r="F49" s="14"/>
      <c r="G49" s="88" t="s">
        <v>463</v>
      </c>
      <c r="H49" s="88" t="s">
        <v>463</v>
      </c>
      <c r="I49" s="223"/>
      <c r="J49" s="292" t="s">
        <v>666</v>
      </c>
      <c r="K49" s="292" t="s">
        <v>666</v>
      </c>
      <c r="L49" s="292" t="s">
        <v>666</v>
      </c>
      <c r="M49" s="292" t="s">
        <v>666</v>
      </c>
      <c r="N49" s="292" t="s">
        <v>666</v>
      </c>
      <c r="O49" s="295">
        <f>COUNTIF(tblRiskRegister3[[#This Row],[Defends Against Malware]:[Defends Against Targeted Intrusions]],"Yes")</f>
        <v>0</v>
      </c>
      <c r="P49" s="12"/>
      <c r="Q49" s="12"/>
      <c r="R49" s="12"/>
      <c r="S49" s="12"/>
      <c r="T49" s="198"/>
      <c r="U49" s="199">
        <f>IFERROR(VLOOKUP(tblRiskRegister3[[#This Row],[Asset Class]],tblVCDBIndex[],4,FALSE),"")</f>
        <v>1</v>
      </c>
      <c r="V49" s="24" t="str">
        <f>IFERROR(VLOOKUP(10*tblRiskRegister3[[#This Row],[Safeguard Maturity Score]]+tblRiskRegister3[[#This Row],[VCDB Index]],tblHITIndexWeightTable[],4,FALSE),"")</f>
        <v/>
      </c>
      <c r="W49" s="294"/>
      <c r="X49" s="294"/>
      <c r="Y49" s="294"/>
      <c r="Z49" s="294"/>
      <c r="AA49" s="24" t="str">
        <f>IFERROR(MAX(tblRiskRegister3[[#This Row],[Impact to Mission]:[Impact to Obligations]])*tblRiskRegister3[[#This Row],[Expectancy Score]],"")</f>
        <v/>
      </c>
      <c r="AB49" s="24" t="str">
        <f>tblRiskRegister3[[#This Row],[Risk Score]]</f>
        <v/>
      </c>
      <c r="AC49" s="79"/>
      <c r="AD49" s="206">
        <v>4.1100000000000003</v>
      </c>
      <c r="AE49" s="194" t="s">
        <v>183</v>
      </c>
      <c r="AF49" s="194" t="s">
        <v>365</v>
      </c>
      <c r="AG49" s="25"/>
      <c r="AH49" s="13"/>
      <c r="AI49" s="22" t="str">
        <f>IFERROR(VLOOKUP(10*tblRiskRegister3[[#This Row],[Risk Treatment Safeguard Maturity Score]]+tblRiskRegister3[[#This Row],[VCDB Index]],tblHITIndexWeightTable[],4,FALSE),"")</f>
        <v/>
      </c>
      <c r="AJ49" s="292"/>
      <c r="AK49" s="292"/>
      <c r="AL49" s="292"/>
      <c r="AM49" s="292"/>
      <c r="AN49" s="100" t="str">
        <f>IFERROR(MAX(tblRiskRegister3[[#This Row],[Risk Treatment Safeguard Impact to Mission]:[Risk Treatment Safeguard Impact to Obligations]])*tblRiskRegister3[[#This Row],[Risk Treatment
Safeguard Expectancy Score]],"")</f>
        <v/>
      </c>
      <c r="AO49" s="100" t="str">
        <f>IF(tblRiskRegister3[[#This Row],[Risk Score]]&gt;AcceptableRisk1,IF(tblRiskRegister3[[#This Row],[Risk Treatment Safeguard Risk Score]]&lt;AcceptableRisk1, IF(tblRiskRegister3[[#This Row],[Risk Treatment Safeguard Risk Score]]&lt;=tblRiskRegister3[[#This Row],[Risk Score]],"Yes","No"),"No"),"Yes")</f>
        <v>No</v>
      </c>
      <c r="AP49" s="15"/>
      <c r="AQ49" s="15"/>
      <c r="AR49" s="16"/>
    </row>
    <row r="50" spans="2:44" ht="63.75" x14ac:dyDescent="0.2">
      <c r="B50" s="207">
        <v>4.12</v>
      </c>
      <c r="C50" s="194" t="s">
        <v>543</v>
      </c>
      <c r="D50" s="88" t="s">
        <v>88</v>
      </c>
      <c r="E50" s="274" t="s">
        <v>657</v>
      </c>
      <c r="F50" s="14"/>
      <c r="G50" s="88"/>
      <c r="H50" s="88" t="s">
        <v>463</v>
      </c>
      <c r="I50" s="223"/>
      <c r="J50" s="292" t="s">
        <v>666</v>
      </c>
      <c r="K50" s="292" t="s">
        <v>666</v>
      </c>
      <c r="L50" s="292" t="s">
        <v>666</v>
      </c>
      <c r="M50" s="292" t="s">
        <v>666</v>
      </c>
      <c r="N50" s="292" t="s">
        <v>666</v>
      </c>
      <c r="O50" s="295">
        <f>COUNTIF(tblRiskRegister3[[#This Row],[Defends Against Malware]:[Defends Against Targeted Intrusions]],"Yes")</f>
        <v>0</v>
      </c>
      <c r="P50" s="12"/>
      <c r="Q50" s="12"/>
      <c r="R50" s="12"/>
      <c r="S50" s="12"/>
      <c r="T50" s="198"/>
      <c r="U50" s="199">
        <f>IFERROR(VLOOKUP(tblRiskRegister3[[#This Row],[Asset Class]],tblVCDBIndex[],4,FALSE),"")</f>
        <v>1</v>
      </c>
      <c r="V50" s="24" t="str">
        <f>IFERROR(VLOOKUP(10*tblRiskRegister3[[#This Row],[Safeguard Maturity Score]]+tblRiskRegister3[[#This Row],[VCDB Index]],tblHITIndexWeightTable[],4,FALSE),"")</f>
        <v/>
      </c>
      <c r="W50" s="294"/>
      <c r="X50" s="294"/>
      <c r="Y50" s="294"/>
      <c r="Z50" s="294"/>
      <c r="AA50" s="24" t="str">
        <f>IFERROR(MAX(tblRiskRegister3[[#This Row],[Impact to Mission]:[Impact to Obligations]])*tblRiskRegister3[[#This Row],[Expectancy Score]],"")</f>
        <v/>
      </c>
      <c r="AB50" s="24" t="str">
        <f>tblRiskRegister3[[#This Row],[Risk Score]]</f>
        <v/>
      </c>
      <c r="AC50" s="79"/>
      <c r="AD50" s="206">
        <v>4.12</v>
      </c>
      <c r="AE50" s="194" t="s">
        <v>543</v>
      </c>
      <c r="AF50" s="194" t="s">
        <v>557</v>
      </c>
      <c r="AG50" s="25"/>
      <c r="AH50" s="13"/>
      <c r="AI50" s="22" t="str">
        <f>IFERROR(VLOOKUP(10*tblRiskRegister3[[#This Row],[Risk Treatment Safeguard Maturity Score]]+tblRiskRegister3[[#This Row],[VCDB Index]],tblHITIndexWeightTable[],4,FALSE),"")</f>
        <v/>
      </c>
      <c r="AJ50" s="292"/>
      <c r="AK50" s="292"/>
      <c r="AL50" s="292"/>
      <c r="AM50" s="292"/>
      <c r="AN50" s="100" t="str">
        <f>IFERROR(MAX(tblRiskRegister3[[#This Row],[Risk Treatment Safeguard Impact to Mission]:[Risk Treatment Safeguard Impact to Obligations]])*tblRiskRegister3[[#This Row],[Risk Treatment
Safeguard Expectancy Score]],"")</f>
        <v/>
      </c>
      <c r="AO50" s="100" t="str">
        <f>IF(tblRiskRegister3[[#This Row],[Risk Score]]&gt;AcceptableRisk1,IF(tblRiskRegister3[[#This Row],[Risk Treatment Safeguard Risk Score]]&lt;AcceptableRisk1, IF(tblRiskRegister3[[#This Row],[Risk Treatment Safeguard Risk Score]]&lt;=tblRiskRegister3[[#This Row],[Risk Score]],"Yes","No"),"No"),"Yes")</f>
        <v>No</v>
      </c>
      <c r="AP50" s="15"/>
      <c r="AQ50" s="15"/>
      <c r="AR50" s="16"/>
    </row>
    <row r="51" spans="2:44" ht="76.5" x14ac:dyDescent="0.2">
      <c r="B51" s="207">
        <v>5.0999999999999996</v>
      </c>
      <c r="C51" s="194" t="s">
        <v>52</v>
      </c>
      <c r="D51" s="88" t="s">
        <v>91</v>
      </c>
      <c r="E51" s="274" t="s">
        <v>654</v>
      </c>
      <c r="F51" s="14" t="s">
        <v>463</v>
      </c>
      <c r="G51" s="88" t="s">
        <v>463</v>
      </c>
      <c r="H51" s="88" t="s">
        <v>463</v>
      </c>
      <c r="I51" s="223"/>
      <c r="J51" s="293" t="s">
        <v>667</v>
      </c>
      <c r="K51" s="293" t="s">
        <v>667</v>
      </c>
      <c r="L51" s="293" t="s">
        <v>667</v>
      </c>
      <c r="M51" s="293" t="s">
        <v>667</v>
      </c>
      <c r="N51" s="293" t="s">
        <v>667</v>
      </c>
      <c r="O51" s="295">
        <f>COUNTIF(tblRiskRegister3[[#This Row],[Defends Against Malware]:[Defends Against Targeted Intrusions]],"Yes")</f>
        <v>5</v>
      </c>
      <c r="P51" s="12"/>
      <c r="Q51" s="12"/>
      <c r="R51" s="12"/>
      <c r="S51" s="12"/>
      <c r="T51" s="198"/>
      <c r="U51" s="199">
        <f>IFERROR(VLOOKUP(tblRiskRegister3[[#This Row],[Asset Class]],tblVCDBIndex[],4,FALSE),"")</f>
        <v>3</v>
      </c>
      <c r="V51" s="24" t="str">
        <f>IFERROR(VLOOKUP(10*tblRiskRegister3[[#This Row],[Safeguard Maturity Score]]+tblRiskRegister3[[#This Row],[VCDB Index]],tblHITIndexWeightTable[],4,FALSE),"")</f>
        <v/>
      </c>
      <c r="W51" s="294"/>
      <c r="X51" s="294"/>
      <c r="Y51" s="294"/>
      <c r="Z51" s="294"/>
      <c r="AA51" s="24" t="str">
        <f>IFERROR(MAX(tblRiskRegister3[[#This Row],[Impact to Mission]:[Impact to Obligations]])*tblRiskRegister3[[#This Row],[Expectancy Score]],"")</f>
        <v/>
      </c>
      <c r="AB51" s="24" t="str">
        <f>tblRiskRegister3[[#This Row],[Risk Score]]</f>
        <v/>
      </c>
      <c r="AC51" s="79"/>
      <c r="AD51" s="206">
        <v>5.0999999999999996</v>
      </c>
      <c r="AE51" s="194" t="s">
        <v>52</v>
      </c>
      <c r="AF51" s="194" t="s">
        <v>366</v>
      </c>
      <c r="AG51" s="25"/>
      <c r="AH51" s="13"/>
      <c r="AI51" s="22" t="str">
        <f>IFERROR(VLOOKUP(10*tblRiskRegister3[[#This Row],[Risk Treatment Safeguard Maturity Score]]+tblRiskRegister3[[#This Row],[VCDB Index]],tblHITIndexWeightTable[],4,FALSE),"")</f>
        <v/>
      </c>
      <c r="AJ51" s="292"/>
      <c r="AK51" s="292"/>
      <c r="AL51" s="292"/>
      <c r="AM51" s="292"/>
      <c r="AN51" s="100" t="str">
        <f>IFERROR(MAX(tblRiskRegister3[[#This Row],[Risk Treatment Safeguard Impact to Mission]:[Risk Treatment Safeguard Impact to Obligations]])*tblRiskRegister3[[#This Row],[Risk Treatment
Safeguard Expectancy Score]],"")</f>
        <v/>
      </c>
      <c r="AO51" s="100" t="str">
        <f>IF(tblRiskRegister3[[#This Row],[Risk Score]]&gt;AcceptableRisk1,IF(tblRiskRegister3[[#This Row],[Risk Treatment Safeguard Risk Score]]&lt;AcceptableRisk1, IF(tblRiskRegister3[[#This Row],[Risk Treatment Safeguard Risk Score]]&lt;=tblRiskRegister3[[#This Row],[Risk Score]],"Yes","No"),"No"),"Yes")</f>
        <v>No</v>
      </c>
      <c r="AP51" s="15"/>
      <c r="AQ51" s="15"/>
      <c r="AR51" s="16"/>
    </row>
    <row r="52" spans="2:44" ht="51" x14ac:dyDescent="0.2">
      <c r="B52" s="207">
        <v>5.2</v>
      </c>
      <c r="C52" s="194" t="s">
        <v>14</v>
      </c>
      <c r="D52" s="88" t="s">
        <v>91</v>
      </c>
      <c r="E52" s="274" t="s">
        <v>657</v>
      </c>
      <c r="F52" s="14" t="s">
        <v>463</v>
      </c>
      <c r="G52" s="88" t="s">
        <v>463</v>
      </c>
      <c r="H52" s="88" t="s">
        <v>463</v>
      </c>
      <c r="I52" s="223"/>
      <c r="J52" s="293" t="s">
        <v>667</v>
      </c>
      <c r="K52" s="293" t="s">
        <v>667</v>
      </c>
      <c r="L52" s="293" t="s">
        <v>667</v>
      </c>
      <c r="M52" s="293" t="s">
        <v>667</v>
      </c>
      <c r="N52" s="293" t="s">
        <v>667</v>
      </c>
      <c r="O52" s="295">
        <f>COUNTIF(tblRiskRegister3[[#This Row],[Defends Against Malware]:[Defends Against Targeted Intrusions]],"Yes")</f>
        <v>5</v>
      </c>
      <c r="P52" s="12"/>
      <c r="Q52" s="12"/>
      <c r="R52" s="12"/>
      <c r="S52" s="12"/>
      <c r="T52" s="198"/>
      <c r="U52" s="199">
        <f>IFERROR(VLOOKUP(tblRiskRegister3[[#This Row],[Asset Class]],tblVCDBIndex[],4,FALSE),"")</f>
        <v>3</v>
      </c>
      <c r="V52" s="24" t="str">
        <f>IFERROR(VLOOKUP(10*tblRiskRegister3[[#This Row],[Safeguard Maturity Score]]+tblRiskRegister3[[#This Row],[VCDB Index]],tblHITIndexWeightTable[],4,FALSE),"")</f>
        <v/>
      </c>
      <c r="W52" s="294"/>
      <c r="X52" s="294"/>
      <c r="Y52" s="294"/>
      <c r="Z52" s="294"/>
      <c r="AA52" s="24" t="str">
        <f>IFERROR(MAX(tblRiskRegister3[[#This Row],[Impact to Mission]:[Impact to Obligations]])*tblRiskRegister3[[#This Row],[Expectancy Score]],"")</f>
        <v/>
      </c>
      <c r="AB52" s="24" t="str">
        <f>tblRiskRegister3[[#This Row],[Risk Score]]</f>
        <v/>
      </c>
      <c r="AC52" s="79"/>
      <c r="AD52" s="206">
        <v>5.2</v>
      </c>
      <c r="AE52" s="194" t="s">
        <v>14</v>
      </c>
      <c r="AF52" s="194" t="s">
        <v>367</v>
      </c>
      <c r="AG52" s="25"/>
      <c r="AH52" s="13"/>
      <c r="AI52" s="22" t="str">
        <f>IFERROR(VLOOKUP(10*tblRiskRegister3[[#This Row],[Risk Treatment Safeguard Maturity Score]]+tblRiskRegister3[[#This Row],[VCDB Index]],tblHITIndexWeightTable[],4,FALSE),"")</f>
        <v/>
      </c>
      <c r="AJ52" s="292"/>
      <c r="AK52" s="292"/>
      <c r="AL52" s="292"/>
      <c r="AM52" s="292"/>
      <c r="AN52" s="100" t="str">
        <f>IFERROR(MAX(tblRiskRegister3[[#This Row],[Risk Treatment Safeguard Impact to Mission]:[Risk Treatment Safeguard Impact to Obligations]])*tblRiskRegister3[[#This Row],[Risk Treatment
Safeguard Expectancy Score]],"")</f>
        <v/>
      </c>
      <c r="AO52" s="100" t="str">
        <f>IF(tblRiskRegister3[[#This Row],[Risk Score]]&gt;AcceptableRisk1,IF(tblRiskRegister3[[#This Row],[Risk Treatment Safeguard Risk Score]]&lt;AcceptableRisk1, IF(tblRiskRegister3[[#This Row],[Risk Treatment Safeguard Risk Score]]&lt;=tblRiskRegister3[[#This Row],[Risk Score]],"Yes","No"),"No"),"Yes")</f>
        <v>No</v>
      </c>
      <c r="AP52" s="15"/>
      <c r="AQ52" s="15"/>
      <c r="AR52" s="16"/>
    </row>
    <row r="53" spans="2:44" ht="25.5" x14ac:dyDescent="0.2">
      <c r="B53" s="207">
        <v>5.3</v>
      </c>
      <c r="C53" s="194" t="s">
        <v>16</v>
      </c>
      <c r="D53" s="88" t="s">
        <v>91</v>
      </c>
      <c r="E53" s="274" t="s">
        <v>655</v>
      </c>
      <c r="F53" s="14" t="s">
        <v>463</v>
      </c>
      <c r="G53" s="88" t="s">
        <v>463</v>
      </c>
      <c r="H53" s="88" t="s">
        <v>463</v>
      </c>
      <c r="I53" s="223"/>
      <c r="J53" s="293" t="s">
        <v>667</v>
      </c>
      <c r="K53" s="293" t="s">
        <v>667</v>
      </c>
      <c r="L53" s="293" t="s">
        <v>667</v>
      </c>
      <c r="M53" s="293" t="s">
        <v>667</v>
      </c>
      <c r="N53" s="293" t="s">
        <v>667</v>
      </c>
      <c r="O53" s="295">
        <f>COUNTIF(tblRiskRegister3[[#This Row],[Defends Against Malware]:[Defends Against Targeted Intrusions]],"Yes")</f>
        <v>5</v>
      </c>
      <c r="P53" s="12"/>
      <c r="Q53" s="12"/>
      <c r="R53" s="12"/>
      <c r="S53" s="12"/>
      <c r="T53" s="198"/>
      <c r="U53" s="199">
        <f>IFERROR(VLOOKUP(tblRiskRegister3[[#This Row],[Asset Class]],tblVCDBIndex[],4,FALSE),"")</f>
        <v>3</v>
      </c>
      <c r="V53" s="24" t="str">
        <f>IFERROR(VLOOKUP(10*tblRiskRegister3[[#This Row],[Safeguard Maturity Score]]+tblRiskRegister3[[#This Row],[VCDB Index]],tblHITIndexWeightTable[],4,FALSE),"")</f>
        <v/>
      </c>
      <c r="W53" s="294"/>
      <c r="X53" s="294"/>
      <c r="Y53" s="294"/>
      <c r="Z53" s="294"/>
      <c r="AA53" s="24" t="str">
        <f>IFERROR(MAX(tblRiskRegister3[[#This Row],[Impact to Mission]:[Impact to Obligations]])*tblRiskRegister3[[#This Row],[Expectancy Score]],"")</f>
        <v/>
      </c>
      <c r="AB53" s="24" t="str">
        <f>tblRiskRegister3[[#This Row],[Risk Score]]</f>
        <v/>
      </c>
      <c r="AC53" s="79"/>
      <c r="AD53" s="206">
        <v>5.3</v>
      </c>
      <c r="AE53" s="194" t="s">
        <v>16</v>
      </c>
      <c r="AF53" s="194" t="s">
        <v>368</v>
      </c>
      <c r="AG53" s="25"/>
      <c r="AH53" s="13"/>
      <c r="AI53" s="22" t="str">
        <f>IFERROR(VLOOKUP(10*tblRiskRegister3[[#This Row],[Risk Treatment Safeguard Maturity Score]]+tblRiskRegister3[[#This Row],[VCDB Index]],tblHITIndexWeightTable[],4,FALSE),"")</f>
        <v/>
      </c>
      <c r="AJ53" s="292"/>
      <c r="AK53" s="292"/>
      <c r="AL53" s="292"/>
      <c r="AM53" s="292"/>
      <c r="AN53" s="100" t="str">
        <f>IFERROR(MAX(tblRiskRegister3[[#This Row],[Risk Treatment Safeguard Impact to Mission]:[Risk Treatment Safeguard Impact to Obligations]])*tblRiskRegister3[[#This Row],[Risk Treatment
Safeguard Expectancy Score]],"")</f>
        <v/>
      </c>
      <c r="AO53" s="100" t="str">
        <f>IF(tblRiskRegister3[[#This Row],[Risk Score]]&gt;AcceptableRisk1,IF(tblRiskRegister3[[#This Row],[Risk Treatment Safeguard Risk Score]]&lt;AcceptableRisk1, IF(tblRiskRegister3[[#This Row],[Risk Treatment Safeguard Risk Score]]&lt;=tblRiskRegister3[[#This Row],[Risk Score]],"Yes","No"),"No"),"Yes")</f>
        <v>No</v>
      </c>
      <c r="AP53" s="15"/>
      <c r="AQ53" s="15"/>
      <c r="AR53" s="16"/>
    </row>
    <row r="54" spans="2:44" ht="51" x14ac:dyDescent="0.2">
      <c r="B54" s="207">
        <v>5.4</v>
      </c>
      <c r="C54" s="194" t="s">
        <v>53</v>
      </c>
      <c r="D54" s="88" t="s">
        <v>91</v>
      </c>
      <c r="E54" s="274" t="s">
        <v>657</v>
      </c>
      <c r="F54" s="14" t="s">
        <v>463</v>
      </c>
      <c r="G54" s="88" t="s">
        <v>463</v>
      </c>
      <c r="H54" s="88" t="s">
        <v>463</v>
      </c>
      <c r="I54" s="223"/>
      <c r="J54" s="293" t="s">
        <v>667</v>
      </c>
      <c r="K54" s="293" t="s">
        <v>667</v>
      </c>
      <c r="L54" s="293" t="s">
        <v>667</v>
      </c>
      <c r="M54" s="293" t="s">
        <v>667</v>
      </c>
      <c r="N54" s="293" t="s">
        <v>667</v>
      </c>
      <c r="O54" s="295">
        <f>COUNTIF(tblRiskRegister3[[#This Row],[Defends Against Malware]:[Defends Against Targeted Intrusions]],"Yes")</f>
        <v>5</v>
      </c>
      <c r="P54" s="12"/>
      <c r="Q54" s="12"/>
      <c r="R54" s="12"/>
      <c r="S54" s="12"/>
      <c r="T54" s="198"/>
      <c r="U54" s="199">
        <f>IFERROR(VLOOKUP(tblRiskRegister3[[#This Row],[Asset Class]],tblVCDBIndex[],4,FALSE),"")</f>
        <v>3</v>
      </c>
      <c r="V54" s="24" t="str">
        <f>IFERROR(VLOOKUP(10*tblRiskRegister3[[#This Row],[Safeguard Maturity Score]]+tblRiskRegister3[[#This Row],[VCDB Index]],tblHITIndexWeightTable[],4,FALSE),"")</f>
        <v/>
      </c>
      <c r="W54" s="294"/>
      <c r="X54" s="294"/>
      <c r="Y54" s="294"/>
      <c r="Z54" s="294"/>
      <c r="AA54" s="24" t="str">
        <f>IFERROR(MAX(tblRiskRegister3[[#This Row],[Impact to Mission]:[Impact to Obligations]])*tblRiskRegister3[[#This Row],[Expectancy Score]],"")</f>
        <v/>
      </c>
      <c r="AB54" s="24" t="str">
        <f>tblRiskRegister3[[#This Row],[Risk Score]]</f>
        <v/>
      </c>
      <c r="AC54" s="79"/>
      <c r="AD54" s="206">
        <v>5.4</v>
      </c>
      <c r="AE54" s="194" t="s">
        <v>53</v>
      </c>
      <c r="AF54" s="194" t="s">
        <v>369</v>
      </c>
      <c r="AG54" s="25"/>
      <c r="AH54" s="13"/>
      <c r="AI54" s="22" t="str">
        <f>IFERROR(VLOOKUP(10*tblRiskRegister3[[#This Row],[Risk Treatment Safeguard Maturity Score]]+tblRiskRegister3[[#This Row],[VCDB Index]],tblHITIndexWeightTable[],4,FALSE),"")</f>
        <v/>
      </c>
      <c r="AJ54" s="292"/>
      <c r="AK54" s="292"/>
      <c r="AL54" s="292"/>
      <c r="AM54" s="292"/>
      <c r="AN54" s="100" t="str">
        <f>IFERROR(MAX(tblRiskRegister3[[#This Row],[Risk Treatment Safeguard Impact to Mission]:[Risk Treatment Safeguard Impact to Obligations]])*tblRiskRegister3[[#This Row],[Risk Treatment
Safeguard Expectancy Score]],"")</f>
        <v/>
      </c>
      <c r="AO54" s="100" t="str">
        <f>IF(tblRiskRegister3[[#This Row],[Risk Score]]&gt;AcceptableRisk1,IF(tblRiskRegister3[[#This Row],[Risk Treatment Safeguard Risk Score]]&lt;AcceptableRisk1, IF(tblRiskRegister3[[#This Row],[Risk Treatment Safeguard Risk Score]]&lt;=tblRiskRegister3[[#This Row],[Risk Score]],"Yes","No"),"No"),"Yes")</f>
        <v>No</v>
      </c>
      <c r="AP54" s="15"/>
      <c r="AQ54" s="15"/>
      <c r="AR54" s="16"/>
    </row>
    <row r="55" spans="2:44" ht="63.75" x14ac:dyDescent="0.2">
      <c r="B55" s="207">
        <v>5.5</v>
      </c>
      <c r="C55" s="194" t="s">
        <v>224</v>
      </c>
      <c r="D55" s="88" t="s">
        <v>91</v>
      </c>
      <c r="E55" s="274" t="s">
        <v>654</v>
      </c>
      <c r="F55" s="14"/>
      <c r="G55" s="88" t="s">
        <v>463</v>
      </c>
      <c r="H55" s="88" t="s">
        <v>463</v>
      </c>
      <c r="I55" s="223"/>
      <c r="J55" s="293" t="s">
        <v>667</v>
      </c>
      <c r="K55" s="293" t="s">
        <v>667</v>
      </c>
      <c r="L55" s="293" t="s">
        <v>667</v>
      </c>
      <c r="M55" s="293" t="s">
        <v>667</v>
      </c>
      <c r="N55" s="293" t="s">
        <v>667</v>
      </c>
      <c r="O55" s="295">
        <f>COUNTIF(tblRiskRegister3[[#This Row],[Defends Against Malware]:[Defends Against Targeted Intrusions]],"Yes")</f>
        <v>5</v>
      </c>
      <c r="P55" s="12"/>
      <c r="Q55" s="12"/>
      <c r="R55" s="12"/>
      <c r="S55" s="12"/>
      <c r="T55" s="198"/>
      <c r="U55" s="199">
        <f>IFERROR(VLOOKUP(tblRiskRegister3[[#This Row],[Asset Class]],tblVCDBIndex[],4,FALSE),"")</f>
        <v>3</v>
      </c>
      <c r="V55" s="24" t="str">
        <f>IFERROR(VLOOKUP(10*tblRiskRegister3[[#This Row],[Safeguard Maturity Score]]+tblRiskRegister3[[#This Row],[VCDB Index]],tblHITIndexWeightTable[],4,FALSE),"")</f>
        <v/>
      </c>
      <c r="W55" s="294"/>
      <c r="X55" s="294"/>
      <c r="Y55" s="294"/>
      <c r="Z55" s="294"/>
      <c r="AA55" s="24" t="str">
        <f>IFERROR(MAX(tblRiskRegister3[[#This Row],[Impact to Mission]:[Impact to Obligations]])*tblRiskRegister3[[#This Row],[Expectancy Score]],"")</f>
        <v/>
      </c>
      <c r="AB55" s="24" t="str">
        <f>tblRiskRegister3[[#This Row],[Risk Score]]</f>
        <v/>
      </c>
      <c r="AC55" s="79"/>
      <c r="AD55" s="206">
        <v>5.5</v>
      </c>
      <c r="AE55" s="194" t="s">
        <v>224</v>
      </c>
      <c r="AF55" s="194" t="s">
        <v>370</v>
      </c>
      <c r="AG55" s="25"/>
      <c r="AH55" s="13"/>
      <c r="AI55" s="22" t="str">
        <f>IFERROR(VLOOKUP(10*tblRiskRegister3[[#This Row],[Risk Treatment Safeguard Maturity Score]]+tblRiskRegister3[[#This Row],[VCDB Index]],tblHITIndexWeightTable[],4,FALSE),"")</f>
        <v/>
      </c>
      <c r="AJ55" s="292"/>
      <c r="AK55" s="292"/>
      <c r="AL55" s="292"/>
      <c r="AM55" s="292"/>
      <c r="AN55" s="100" t="str">
        <f>IFERROR(MAX(tblRiskRegister3[[#This Row],[Risk Treatment Safeguard Impact to Mission]:[Risk Treatment Safeguard Impact to Obligations]])*tblRiskRegister3[[#This Row],[Risk Treatment
Safeguard Expectancy Score]],"")</f>
        <v/>
      </c>
      <c r="AO55" s="100" t="str">
        <f>IF(tblRiskRegister3[[#This Row],[Risk Score]]&gt;AcceptableRisk1,IF(tblRiskRegister3[[#This Row],[Risk Treatment Safeguard Risk Score]]&lt;AcceptableRisk1, IF(tblRiskRegister3[[#This Row],[Risk Treatment Safeguard Risk Score]]&lt;=tblRiskRegister3[[#This Row],[Risk Score]],"Yes","No"),"No"),"Yes")</f>
        <v>No</v>
      </c>
      <c r="AP55" s="15"/>
      <c r="AQ55" s="15"/>
      <c r="AR55" s="16"/>
    </row>
    <row r="56" spans="2:44" ht="25.5" x14ac:dyDescent="0.2">
      <c r="B56" s="207">
        <v>5.6</v>
      </c>
      <c r="C56" s="194" t="s">
        <v>225</v>
      </c>
      <c r="D56" s="88" t="s">
        <v>91</v>
      </c>
      <c r="E56" s="274" t="s">
        <v>657</v>
      </c>
      <c r="F56" s="14"/>
      <c r="G56" s="88" t="s">
        <v>463</v>
      </c>
      <c r="H56" s="88" t="s">
        <v>463</v>
      </c>
      <c r="I56" s="223"/>
      <c r="J56" s="292" t="s">
        <v>666</v>
      </c>
      <c r="K56" s="292" t="s">
        <v>666</v>
      </c>
      <c r="L56" s="292" t="s">
        <v>666</v>
      </c>
      <c r="M56" s="292" t="s">
        <v>666</v>
      </c>
      <c r="N56" s="292" t="s">
        <v>666</v>
      </c>
      <c r="O56" s="295">
        <f>COUNTIF(tblRiskRegister3[[#This Row],[Defends Against Malware]:[Defends Against Targeted Intrusions]],"Yes")</f>
        <v>0</v>
      </c>
      <c r="P56" s="12"/>
      <c r="Q56" s="12"/>
      <c r="R56" s="12"/>
      <c r="S56" s="12"/>
      <c r="T56" s="198"/>
      <c r="U56" s="199">
        <f>IFERROR(VLOOKUP(tblRiskRegister3[[#This Row],[Asset Class]],tblVCDBIndex[],4,FALSE),"")</f>
        <v>3</v>
      </c>
      <c r="V56" s="24" t="str">
        <f>IFERROR(VLOOKUP(10*tblRiskRegister3[[#This Row],[Safeguard Maturity Score]]+tblRiskRegister3[[#This Row],[VCDB Index]],tblHITIndexWeightTable[],4,FALSE),"")</f>
        <v/>
      </c>
      <c r="W56" s="294"/>
      <c r="X56" s="294"/>
      <c r="Y56" s="294"/>
      <c r="Z56" s="294"/>
      <c r="AA56" s="24" t="str">
        <f>IFERROR(MAX(tblRiskRegister3[[#This Row],[Impact to Mission]:[Impact to Obligations]])*tblRiskRegister3[[#This Row],[Expectancy Score]],"")</f>
        <v/>
      </c>
      <c r="AB56" s="24" t="str">
        <f>tblRiskRegister3[[#This Row],[Risk Score]]</f>
        <v/>
      </c>
      <c r="AC56" s="79"/>
      <c r="AD56" s="206">
        <v>5.6</v>
      </c>
      <c r="AE56" s="194" t="s">
        <v>225</v>
      </c>
      <c r="AF56" s="194" t="s">
        <v>371</v>
      </c>
      <c r="AG56" s="25"/>
      <c r="AH56" s="13"/>
      <c r="AI56" s="22" t="str">
        <f>IFERROR(VLOOKUP(10*tblRiskRegister3[[#This Row],[Risk Treatment Safeguard Maturity Score]]+tblRiskRegister3[[#This Row],[VCDB Index]],tblHITIndexWeightTable[],4,FALSE),"")</f>
        <v/>
      </c>
      <c r="AJ56" s="292"/>
      <c r="AK56" s="292"/>
      <c r="AL56" s="292"/>
      <c r="AM56" s="292"/>
      <c r="AN56" s="100" t="str">
        <f>IFERROR(MAX(tblRiskRegister3[[#This Row],[Risk Treatment Safeguard Impact to Mission]:[Risk Treatment Safeguard Impact to Obligations]])*tblRiskRegister3[[#This Row],[Risk Treatment
Safeguard Expectancy Score]],"")</f>
        <v/>
      </c>
      <c r="AO56" s="100" t="str">
        <f>IF(tblRiskRegister3[[#This Row],[Risk Score]]&gt;AcceptableRisk1,IF(tblRiskRegister3[[#This Row],[Risk Treatment Safeguard Risk Score]]&lt;AcceptableRisk1, IF(tblRiskRegister3[[#This Row],[Risk Treatment Safeguard Risk Score]]&lt;=tblRiskRegister3[[#This Row],[Risk Score]],"Yes","No"),"No"),"Yes")</f>
        <v>No</v>
      </c>
      <c r="AP56" s="15"/>
      <c r="AQ56" s="15"/>
      <c r="AR56" s="16"/>
    </row>
    <row r="57" spans="2:44" ht="38.25" x14ac:dyDescent="0.2">
      <c r="B57" s="207">
        <v>6.1</v>
      </c>
      <c r="C57" s="194" t="s">
        <v>54</v>
      </c>
      <c r="D57" s="88" t="s">
        <v>91</v>
      </c>
      <c r="E57" s="274" t="s">
        <v>657</v>
      </c>
      <c r="F57" s="14" t="s">
        <v>463</v>
      </c>
      <c r="G57" s="88" t="s">
        <v>463</v>
      </c>
      <c r="H57" s="88" t="s">
        <v>463</v>
      </c>
      <c r="I57" s="223"/>
      <c r="J57" s="293" t="s">
        <v>667</v>
      </c>
      <c r="K57" s="293" t="s">
        <v>667</v>
      </c>
      <c r="L57" s="293" t="s">
        <v>667</v>
      </c>
      <c r="M57" s="293" t="s">
        <v>667</v>
      </c>
      <c r="N57" s="293" t="s">
        <v>667</v>
      </c>
      <c r="O57" s="295">
        <f>COUNTIF(tblRiskRegister3[[#This Row],[Defends Against Malware]:[Defends Against Targeted Intrusions]],"Yes")</f>
        <v>5</v>
      </c>
      <c r="P57" s="12"/>
      <c r="Q57" s="12"/>
      <c r="R57" s="12"/>
      <c r="S57" s="12"/>
      <c r="T57" s="198"/>
      <c r="U57" s="199">
        <f>IFERROR(VLOOKUP(tblRiskRegister3[[#This Row],[Asset Class]],tblVCDBIndex[],4,FALSE),"")</f>
        <v>3</v>
      </c>
      <c r="V57" s="24" t="str">
        <f>IFERROR(VLOOKUP(10*tblRiskRegister3[[#This Row],[Safeguard Maturity Score]]+tblRiskRegister3[[#This Row],[VCDB Index]],tblHITIndexWeightTable[],4,FALSE),"")</f>
        <v/>
      </c>
      <c r="W57" s="294"/>
      <c r="X57" s="294"/>
      <c r="Y57" s="294"/>
      <c r="Z57" s="294"/>
      <c r="AA57" s="24" t="str">
        <f>IFERROR(MAX(tblRiskRegister3[[#This Row],[Impact to Mission]:[Impact to Obligations]])*tblRiskRegister3[[#This Row],[Expectancy Score]],"")</f>
        <v/>
      </c>
      <c r="AB57" s="24" t="str">
        <f>tblRiskRegister3[[#This Row],[Risk Score]]</f>
        <v/>
      </c>
      <c r="AC57" s="79"/>
      <c r="AD57" s="206">
        <v>6.1</v>
      </c>
      <c r="AE57" s="194" t="s">
        <v>54</v>
      </c>
      <c r="AF57" s="194" t="s">
        <v>372</v>
      </c>
      <c r="AG57" s="25"/>
      <c r="AH57" s="13"/>
      <c r="AI57" s="22" t="str">
        <f>IFERROR(VLOOKUP(10*tblRiskRegister3[[#This Row],[Risk Treatment Safeguard Maturity Score]]+tblRiskRegister3[[#This Row],[VCDB Index]],tblHITIndexWeightTable[],4,FALSE),"")</f>
        <v/>
      </c>
      <c r="AJ57" s="292"/>
      <c r="AK57" s="292"/>
      <c r="AL57" s="292"/>
      <c r="AM57" s="292"/>
      <c r="AN57" s="100" t="str">
        <f>IFERROR(MAX(tblRiskRegister3[[#This Row],[Risk Treatment Safeguard Impact to Mission]:[Risk Treatment Safeguard Impact to Obligations]])*tblRiskRegister3[[#This Row],[Risk Treatment
Safeguard Expectancy Score]],"")</f>
        <v/>
      </c>
      <c r="AO57" s="100" t="str">
        <f>IF(tblRiskRegister3[[#This Row],[Risk Score]]&gt;AcceptableRisk1,IF(tblRiskRegister3[[#This Row],[Risk Treatment Safeguard Risk Score]]&lt;AcceptableRisk1, IF(tblRiskRegister3[[#This Row],[Risk Treatment Safeguard Risk Score]]&lt;=tblRiskRegister3[[#This Row],[Risk Score]],"Yes","No"),"No"),"Yes")</f>
        <v>No</v>
      </c>
      <c r="AP57" s="15"/>
      <c r="AQ57" s="15"/>
      <c r="AR57" s="16"/>
    </row>
    <row r="58" spans="2:44" ht="63.75" x14ac:dyDescent="0.2">
      <c r="B58" s="207">
        <v>6.2</v>
      </c>
      <c r="C58" s="194" t="s">
        <v>55</v>
      </c>
      <c r="D58" s="88" t="s">
        <v>91</v>
      </c>
      <c r="E58" s="274" t="s">
        <v>657</v>
      </c>
      <c r="F58" s="14" t="s">
        <v>463</v>
      </c>
      <c r="G58" s="88" t="s">
        <v>463</v>
      </c>
      <c r="H58" s="88" t="s">
        <v>463</v>
      </c>
      <c r="I58" s="223"/>
      <c r="J58" s="293" t="s">
        <v>667</v>
      </c>
      <c r="K58" s="293" t="s">
        <v>667</v>
      </c>
      <c r="L58" s="293" t="s">
        <v>667</v>
      </c>
      <c r="M58" s="293" t="s">
        <v>667</v>
      </c>
      <c r="N58" s="293" t="s">
        <v>667</v>
      </c>
      <c r="O58" s="295">
        <f>COUNTIF(tblRiskRegister3[[#This Row],[Defends Against Malware]:[Defends Against Targeted Intrusions]],"Yes")</f>
        <v>5</v>
      </c>
      <c r="P58" s="12"/>
      <c r="Q58" s="12"/>
      <c r="R58" s="12"/>
      <c r="S58" s="12"/>
      <c r="T58" s="198"/>
      <c r="U58" s="199">
        <f>IFERROR(VLOOKUP(tblRiskRegister3[[#This Row],[Asset Class]],tblVCDBIndex[],4,FALSE),"")</f>
        <v>3</v>
      </c>
      <c r="V58" s="24" t="str">
        <f>IFERROR(VLOOKUP(10*tblRiskRegister3[[#This Row],[Safeguard Maturity Score]]+tblRiskRegister3[[#This Row],[VCDB Index]],tblHITIndexWeightTable[],4,FALSE),"")</f>
        <v/>
      </c>
      <c r="W58" s="294"/>
      <c r="X58" s="294"/>
      <c r="Y58" s="294"/>
      <c r="Z58" s="294"/>
      <c r="AA58" s="24" t="str">
        <f>IFERROR(MAX(tblRiskRegister3[[#This Row],[Impact to Mission]:[Impact to Obligations]])*tblRiskRegister3[[#This Row],[Expectancy Score]],"")</f>
        <v/>
      </c>
      <c r="AB58" s="24" t="str">
        <f>tblRiskRegister3[[#This Row],[Risk Score]]</f>
        <v/>
      </c>
      <c r="AC58" s="79"/>
      <c r="AD58" s="206">
        <v>6.2</v>
      </c>
      <c r="AE58" s="194" t="s">
        <v>55</v>
      </c>
      <c r="AF58" s="194" t="s">
        <v>373</v>
      </c>
      <c r="AG58" s="25"/>
      <c r="AH58" s="13"/>
      <c r="AI58" s="22" t="str">
        <f>IFERROR(VLOOKUP(10*tblRiskRegister3[[#This Row],[Risk Treatment Safeguard Maturity Score]]+tblRiskRegister3[[#This Row],[VCDB Index]],tblHITIndexWeightTable[],4,FALSE),"")</f>
        <v/>
      </c>
      <c r="AJ58" s="292"/>
      <c r="AK58" s="292"/>
      <c r="AL58" s="292"/>
      <c r="AM58" s="292"/>
      <c r="AN58" s="100" t="str">
        <f>IFERROR(MAX(tblRiskRegister3[[#This Row],[Risk Treatment Safeguard Impact to Mission]:[Risk Treatment Safeguard Impact to Obligations]])*tblRiskRegister3[[#This Row],[Risk Treatment
Safeguard Expectancy Score]],"")</f>
        <v/>
      </c>
      <c r="AO58" s="100" t="str">
        <f>IF(tblRiskRegister3[[#This Row],[Risk Score]]&gt;AcceptableRisk1,IF(tblRiskRegister3[[#This Row],[Risk Treatment Safeguard Risk Score]]&lt;AcceptableRisk1, IF(tblRiskRegister3[[#This Row],[Risk Treatment Safeguard Risk Score]]&lt;=tblRiskRegister3[[#This Row],[Risk Score]],"Yes","No"),"No"),"Yes")</f>
        <v>No</v>
      </c>
      <c r="AP58" s="15"/>
      <c r="AQ58" s="15"/>
      <c r="AR58" s="16"/>
    </row>
    <row r="59" spans="2:44" ht="51" x14ac:dyDescent="0.2">
      <c r="B59" s="207">
        <v>6.3</v>
      </c>
      <c r="C59" s="194" t="s">
        <v>56</v>
      </c>
      <c r="D59" s="88" t="s">
        <v>91</v>
      </c>
      <c r="E59" s="274" t="s">
        <v>657</v>
      </c>
      <c r="F59" s="14" t="s">
        <v>463</v>
      </c>
      <c r="G59" s="88" t="s">
        <v>463</v>
      </c>
      <c r="H59" s="88" t="s">
        <v>463</v>
      </c>
      <c r="I59" s="223"/>
      <c r="J59" s="293" t="s">
        <v>667</v>
      </c>
      <c r="K59" s="293" t="s">
        <v>667</v>
      </c>
      <c r="L59" s="293" t="s">
        <v>667</v>
      </c>
      <c r="M59" s="293" t="s">
        <v>667</v>
      </c>
      <c r="N59" s="293" t="s">
        <v>667</v>
      </c>
      <c r="O59" s="295">
        <f>COUNTIF(tblRiskRegister3[[#This Row],[Defends Against Malware]:[Defends Against Targeted Intrusions]],"Yes")</f>
        <v>5</v>
      </c>
      <c r="P59" s="12"/>
      <c r="Q59" s="12"/>
      <c r="R59" s="12"/>
      <c r="S59" s="12"/>
      <c r="T59" s="198"/>
      <c r="U59" s="199">
        <f>IFERROR(VLOOKUP(tblRiskRegister3[[#This Row],[Asset Class]],tblVCDBIndex[],4,FALSE),"")</f>
        <v>3</v>
      </c>
      <c r="V59" s="24" t="str">
        <f>IFERROR(VLOOKUP(10*tblRiskRegister3[[#This Row],[Safeguard Maturity Score]]+tblRiskRegister3[[#This Row],[VCDB Index]],tblHITIndexWeightTable[],4,FALSE),"")</f>
        <v/>
      </c>
      <c r="W59" s="294"/>
      <c r="X59" s="294"/>
      <c r="Y59" s="294"/>
      <c r="Z59" s="294"/>
      <c r="AA59" s="24" t="str">
        <f>IFERROR(MAX(tblRiskRegister3[[#This Row],[Impact to Mission]:[Impact to Obligations]])*tblRiskRegister3[[#This Row],[Expectancy Score]],"")</f>
        <v/>
      </c>
      <c r="AB59" s="24" t="str">
        <f>tblRiskRegister3[[#This Row],[Risk Score]]</f>
        <v/>
      </c>
      <c r="AC59" s="79"/>
      <c r="AD59" s="206">
        <v>6.3</v>
      </c>
      <c r="AE59" s="194" t="s">
        <v>56</v>
      </c>
      <c r="AF59" s="194" t="s">
        <v>374</v>
      </c>
      <c r="AG59" s="25"/>
      <c r="AH59" s="13"/>
      <c r="AI59" s="22" t="str">
        <f>IFERROR(VLOOKUP(10*tblRiskRegister3[[#This Row],[Risk Treatment Safeguard Maturity Score]]+tblRiskRegister3[[#This Row],[VCDB Index]],tblHITIndexWeightTable[],4,FALSE),"")</f>
        <v/>
      </c>
      <c r="AJ59" s="292"/>
      <c r="AK59" s="292"/>
      <c r="AL59" s="292"/>
      <c r="AM59" s="292"/>
      <c r="AN59" s="100" t="str">
        <f>IFERROR(MAX(tblRiskRegister3[[#This Row],[Risk Treatment Safeguard Impact to Mission]:[Risk Treatment Safeguard Impact to Obligations]])*tblRiskRegister3[[#This Row],[Risk Treatment
Safeguard Expectancy Score]],"")</f>
        <v/>
      </c>
      <c r="AO59" s="100" t="str">
        <f>IF(tblRiskRegister3[[#This Row],[Risk Score]]&gt;AcceptableRisk1,IF(tblRiskRegister3[[#This Row],[Risk Treatment Safeguard Risk Score]]&lt;AcceptableRisk1, IF(tblRiskRegister3[[#This Row],[Risk Treatment Safeguard Risk Score]]&lt;=tblRiskRegister3[[#This Row],[Risk Score]],"Yes","No"),"No"),"Yes")</f>
        <v>No</v>
      </c>
      <c r="AP59" s="15"/>
      <c r="AQ59" s="15"/>
      <c r="AR59" s="16"/>
    </row>
    <row r="60" spans="2:44" ht="25.5" x14ac:dyDescent="0.2">
      <c r="B60" s="207">
        <v>6.4</v>
      </c>
      <c r="C60" s="194" t="s">
        <v>57</v>
      </c>
      <c r="D60" s="88" t="s">
        <v>91</v>
      </c>
      <c r="E60" s="274" t="s">
        <v>657</v>
      </c>
      <c r="F60" s="14" t="s">
        <v>463</v>
      </c>
      <c r="G60" s="88" t="s">
        <v>463</v>
      </c>
      <c r="H60" s="88" t="s">
        <v>463</v>
      </c>
      <c r="I60" s="223"/>
      <c r="J60" s="293" t="s">
        <v>667</v>
      </c>
      <c r="K60" s="293" t="s">
        <v>667</v>
      </c>
      <c r="L60" s="293" t="s">
        <v>667</v>
      </c>
      <c r="M60" s="293" t="s">
        <v>667</v>
      </c>
      <c r="N60" s="293" t="s">
        <v>667</v>
      </c>
      <c r="O60" s="295">
        <f>COUNTIF(tblRiskRegister3[[#This Row],[Defends Against Malware]:[Defends Against Targeted Intrusions]],"Yes")</f>
        <v>5</v>
      </c>
      <c r="P60" s="12"/>
      <c r="Q60" s="12"/>
      <c r="R60" s="12"/>
      <c r="S60" s="12"/>
      <c r="T60" s="198"/>
      <c r="U60" s="199">
        <f>IFERROR(VLOOKUP(tblRiskRegister3[[#This Row],[Asset Class]],tblVCDBIndex[],4,FALSE),"")</f>
        <v>3</v>
      </c>
      <c r="V60" s="24" t="str">
        <f>IFERROR(VLOOKUP(10*tblRiskRegister3[[#This Row],[Safeguard Maturity Score]]+tblRiskRegister3[[#This Row],[VCDB Index]],tblHITIndexWeightTable[],4,FALSE),"")</f>
        <v/>
      </c>
      <c r="W60" s="294"/>
      <c r="X60" s="294"/>
      <c r="Y60" s="294"/>
      <c r="Z60" s="294"/>
      <c r="AA60" s="24" t="str">
        <f>IFERROR(MAX(tblRiskRegister3[[#This Row],[Impact to Mission]:[Impact to Obligations]])*tblRiskRegister3[[#This Row],[Expectancy Score]],"")</f>
        <v/>
      </c>
      <c r="AB60" s="24" t="str">
        <f>tblRiskRegister3[[#This Row],[Risk Score]]</f>
        <v/>
      </c>
      <c r="AC60" s="79"/>
      <c r="AD60" s="206">
        <v>6.4</v>
      </c>
      <c r="AE60" s="194" t="s">
        <v>57</v>
      </c>
      <c r="AF60" s="194" t="s">
        <v>375</v>
      </c>
      <c r="AG60" s="25"/>
      <c r="AH60" s="13"/>
      <c r="AI60" s="22" t="str">
        <f>IFERROR(VLOOKUP(10*tblRiskRegister3[[#This Row],[Risk Treatment Safeguard Maturity Score]]+tblRiskRegister3[[#This Row],[VCDB Index]],tblHITIndexWeightTable[],4,FALSE),"")</f>
        <v/>
      </c>
      <c r="AJ60" s="292"/>
      <c r="AK60" s="292"/>
      <c r="AL60" s="292"/>
      <c r="AM60" s="292"/>
      <c r="AN60" s="100" t="str">
        <f>IFERROR(MAX(tblRiskRegister3[[#This Row],[Risk Treatment Safeguard Impact to Mission]:[Risk Treatment Safeguard Impact to Obligations]])*tblRiskRegister3[[#This Row],[Risk Treatment
Safeguard Expectancy Score]],"")</f>
        <v/>
      </c>
      <c r="AO60" s="100" t="str">
        <f>IF(tblRiskRegister3[[#This Row],[Risk Score]]&gt;AcceptableRisk1,IF(tblRiskRegister3[[#This Row],[Risk Treatment Safeguard Risk Score]]&lt;AcceptableRisk1, IF(tblRiskRegister3[[#This Row],[Risk Treatment Safeguard Risk Score]]&lt;=tblRiskRegister3[[#This Row],[Risk Score]],"Yes","No"),"No"),"Yes")</f>
        <v>No</v>
      </c>
      <c r="AP60" s="15"/>
      <c r="AQ60" s="15"/>
      <c r="AR60" s="16"/>
    </row>
    <row r="61" spans="2:44" ht="38.25" x14ac:dyDescent="0.2">
      <c r="B61" s="207">
        <v>6.5</v>
      </c>
      <c r="C61" s="194" t="s">
        <v>58</v>
      </c>
      <c r="D61" s="88" t="s">
        <v>91</v>
      </c>
      <c r="E61" s="274" t="s">
        <v>657</v>
      </c>
      <c r="F61" s="14" t="s">
        <v>463</v>
      </c>
      <c r="G61" s="88" t="s">
        <v>463</v>
      </c>
      <c r="H61" s="88" t="s">
        <v>463</v>
      </c>
      <c r="I61" s="223"/>
      <c r="J61" s="293" t="s">
        <v>667</v>
      </c>
      <c r="K61" s="293" t="s">
        <v>667</v>
      </c>
      <c r="L61" s="293" t="s">
        <v>667</v>
      </c>
      <c r="M61" s="293" t="s">
        <v>667</v>
      </c>
      <c r="N61" s="293" t="s">
        <v>667</v>
      </c>
      <c r="O61" s="295">
        <f>COUNTIF(tblRiskRegister3[[#This Row],[Defends Against Malware]:[Defends Against Targeted Intrusions]],"Yes")</f>
        <v>5</v>
      </c>
      <c r="P61" s="12"/>
      <c r="Q61" s="12"/>
      <c r="R61" s="12"/>
      <c r="S61" s="12"/>
      <c r="T61" s="198"/>
      <c r="U61" s="199">
        <f>IFERROR(VLOOKUP(tblRiskRegister3[[#This Row],[Asset Class]],tblVCDBIndex[],4,FALSE),"")</f>
        <v>3</v>
      </c>
      <c r="V61" s="24" t="str">
        <f>IFERROR(VLOOKUP(10*tblRiskRegister3[[#This Row],[Safeguard Maturity Score]]+tblRiskRegister3[[#This Row],[VCDB Index]],tblHITIndexWeightTable[],4,FALSE),"")</f>
        <v/>
      </c>
      <c r="W61" s="294"/>
      <c r="X61" s="294"/>
      <c r="Y61" s="294"/>
      <c r="Z61" s="294"/>
      <c r="AA61" s="24" t="str">
        <f>IFERROR(MAX(tblRiskRegister3[[#This Row],[Impact to Mission]:[Impact to Obligations]])*tblRiskRegister3[[#This Row],[Expectancy Score]],"")</f>
        <v/>
      </c>
      <c r="AB61" s="24" t="str">
        <f>tblRiskRegister3[[#This Row],[Risk Score]]</f>
        <v/>
      </c>
      <c r="AC61" s="79"/>
      <c r="AD61" s="206">
        <v>6.5</v>
      </c>
      <c r="AE61" s="194" t="s">
        <v>58</v>
      </c>
      <c r="AF61" s="194" t="s">
        <v>376</v>
      </c>
      <c r="AG61" s="25"/>
      <c r="AH61" s="13"/>
      <c r="AI61" s="22" t="str">
        <f>IFERROR(VLOOKUP(10*tblRiskRegister3[[#This Row],[Risk Treatment Safeguard Maturity Score]]+tblRiskRegister3[[#This Row],[VCDB Index]],tblHITIndexWeightTable[],4,FALSE),"")</f>
        <v/>
      </c>
      <c r="AJ61" s="292"/>
      <c r="AK61" s="292"/>
      <c r="AL61" s="292"/>
      <c r="AM61" s="292"/>
      <c r="AN61" s="100" t="str">
        <f>IFERROR(MAX(tblRiskRegister3[[#This Row],[Risk Treatment Safeguard Impact to Mission]:[Risk Treatment Safeguard Impact to Obligations]])*tblRiskRegister3[[#This Row],[Risk Treatment
Safeguard Expectancy Score]],"")</f>
        <v/>
      </c>
      <c r="AO61" s="100" t="str">
        <f>IF(tblRiskRegister3[[#This Row],[Risk Score]]&gt;AcceptableRisk1,IF(tblRiskRegister3[[#This Row],[Risk Treatment Safeguard Risk Score]]&lt;AcceptableRisk1, IF(tblRiskRegister3[[#This Row],[Risk Treatment Safeguard Risk Score]]&lt;=tblRiskRegister3[[#This Row],[Risk Score]],"Yes","No"),"No"),"Yes")</f>
        <v>No</v>
      </c>
      <c r="AP61" s="15"/>
      <c r="AQ61" s="15"/>
      <c r="AR61" s="16"/>
    </row>
    <row r="62" spans="2:44" ht="51" x14ac:dyDescent="0.2">
      <c r="B62" s="207">
        <v>6.6</v>
      </c>
      <c r="C62" s="194" t="s">
        <v>226</v>
      </c>
      <c r="D62" s="88" t="s">
        <v>91</v>
      </c>
      <c r="E62" s="274" t="s">
        <v>654</v>
      </c>
      <c r="F62" s="14"/>
      <c r="G62" s="88" t="s">
        <v>463</v>
      </c>
      <c r="H62" s="88" t="s">
        <v>463</v>
      </c>
      <c r="I62" s="223"/>
      <c r="J62" s="292" t="s">
        <v>666</v>
      </c>
      <c r="K62" s="292" t="s">
        <v>666</v>
      </c>
      <c r="L62" s="292" t="s">
        <v>666</v>
      </c>
      <c r="M62" s="292" t="s">
        <v>666</v>
      </c>
      <c r="N62" s="292" t="s">
        <v>666</v>
      </c>
      <c r="O62" s="295">
        <f>COUNTIF(tblRiskRegister3[[#This Row],[Defends Against Malware]:[Defends Against Targeted Intrusions]],"Yes")</f>
        <v>0</v>
      </c>
      <c r="P62" s="12"/>
      <c r="Q62" s="12"/>
      <c r="R62" s="12"/>
      <c r="S62" s="12"/>
      <c r="T62" s="198"/>
      <c r="U62" s="199">
        <f>IFERROR(VLOOKUP(tblRiskRegister3[[#This Row],[Asset Class]],tblVCDBIndex[],4,FALSE),"")</f>
        <v>3</v>
      </c>
      <c r="V62" s="24" t="str">
        <f>IFERROR(VLOOKUP(10*tblRiskRegister3[[#This Row],[Safeguard Maturity Score]]+tblRiskRegister3[[#This Row],[VCDB Index]],tblHITIndexWeightTable[],4,FALSE),"")</f>
        <v/>
      </c>
      <c r="W62" s="294"/>
      <c r="X62" s="294"/>
      <c r="Y62" s="294"/>
      <c r="Z62" s="294"/>
      <c r="AA62" s="24" t="str">
        <f>IFERROR(MAX(tblRiskRegister3[[#This Row],[Impact to Mission]:[Impact to Obligations]])*tblRiskRegister3[[#This Row],[Expectancy Score]],"")</f>
        <v/>
      </c>
      <c r="AB62" s="24" t="str">
        <f>tblRiskRegister3[[#This Row],[Risk Score]]</f>
        <v/>
      </c>
      <c r="AC62" s="79"/>
      <c r="AD62" s="206">
        <v>6.6</v>
      </c>
      <c r="AE62" s="194" t="s">
        <v>226</v>
      </c>
      <c r="AF62" s="194" t="s">
        <v>377</v>
      </c>
      <c r="AG62" s="25"/>
      <c r="AH62" s="13"/>
      <c r="AI62" s="22" t="str">
        <f>IFERROR(VLOOKUP(10*tblRiskRegister3[[#This Row],[Risk Treatment Safeguard Maturity Score]]+tblRiskRegister3[[#This Row],[VCDB Index]],tblHITIndexWeightTable[],4,FALSE),"")</f>
        <v/>
      </c>
      <c r="AJ62" s="292"/>
      <c r="AK62" s="292"/>
      <c r="AL62" s="292"/>
      <c r="AM62" s="292"/>
      <c r="AN62" s="100" t="str">
        <f>IFERROR(MAX(tblRiskRegister3[[#This Row],[Risk Treatment Safeguard Impact to Mission]:[Risk Treatment Safeguard Impact to Obligations]])*tblRiskRegister3[[#This Row],[Risk Treatment
Safeguard Expectancy Score]],"")</f>
        <v/>
      </c>
      <c r="AO62" s="100" t="str">
        <f>IF(tblRiskRegister3[[#This Row],[Risk Score]]&gt;AcceptableRisk1,IF(tblRiskRegister3[[#This Row],[Risk Treatment Safeguard Risk Score]]&lt;AcceptableRisk1, IF(tblRiskRegister3[[#This Row],[Risk Treatment Safeguard Risk Score]]&lt;=tblRiskRegister3[[#This Row],[Risk Score]],"Yes","No"),"No"),"Yes")</f>
        <v>No</v>
      </c>
      <c r="AP62" s="15"/>
      <c r="AQ62" s="15"/>
      <c r="AR62" s="16"/>
    </row>
    <row r="63" spans="2:44" ht="25.5" x14ac:dyDescent="0.2">
      <c r="B63" s="207">
        <v>6.7</v>
      </c>
      <c r="C63" s="194" t="s">
        <v>227</v>
      </c>
      <c r="D63" s="88" t="s">
        <v>91</v>
      </c>
      <c r="E63" s="274" t="s">
        <v>657</v>
      </c>
      <c r="F63" s="14"/>
      <c r="G63" s="88" t="s">
        <v>463</v>
      </c>
      <c r="H63" s="88" t="s">
        <v>463</v>
      </c>
      <c r="I63" s="223"/>
      <c r="J63" s="292" t="s">
        <v>666</v>
      </c>
      <c r="K63" s="292" t="s">
        <v>666</v>
      </c>
      <c r="L63" s="292" t="s">
        <v>666</v>
      </c>
      <c r="M63" s="292" t="s">
        <v>666</v>
      </c>
      <c r="N63" s="292" t="s">
        <v>666</v>
      </c>
      <c r="O63" s="295">
        <f>COUNTIF(tblRiskRegister3[[#This Row],[Defends Against Malware]:[Defends Against Targeted Intrusions]],"Yes")</f>
        <v>0</v>
      </c>
      <c r="P63" s="12"/>
      <c r="Q63" s="12"/>
      <c r="R63" s="12"/>
      <c r="S63" s="12"/>
      <c r="T63" s="198"/>
      <c r="U63" s="199">
        <f>IFERROR(VLOOKUP(tblRiskRegister3[[#This Row],[Asset Class]],tblVCDBIndex[],4,FALSE),"")</f>
        <v>3</v>
      </c>
      <c r="V63" s="24" t="str">
        <f>IFERROR(VLOOKUP(10*tblRiskRegister3[[#This Row],[Safeguard Maturity Score]]+tblRiskRegister3[[#This Row],[VCDB Index]],tblHITIndexWeightTable[],4,FALSE),"")</f>
        <v/>
      </c>
      <c r="W63" s="294"/>
      <c r="X63" s="294"/>
      <c r="Y63" s="294"/>
      <c r="Z63" s="294"/>
      <c r="AA63" s="24" t="str">
        <f>IFERROR(MAX(tblRiskRegister3[[#This Row],[Impact to Mission]:[Impact to Obligations]])*tblRiskRegister3[[#This Row],[Expectancy Score]],"")</f>
        <v/>
      </c>
      <c r="AB63" s="24" t="str">
        <f>tblRiskRegister3[[#This Row],[Risk Score]]</f>
        <v/>
      </c>
      <c r="AC63" s="79"/>
      <c r="AD63" s="206">
        <v>6.7</v>
      </c>
      <c r="AE63" s="194" t="s">
        <v>227</v>
      </c>
      <c r="AF63" s="194" t="s">
        <v>378</v>
      </c>
      <c r="AG63" s="25"/>
      <c r="AH63" s="13"/>
      <c r="AI63" s="22" t="str">
        <f>IFERROR(VLOOKUP(10*tblRiskRegister3[[#This Row],[Risk Treatment Safeguard Maturity Score]]+tblRiskRegister3[[#This Row],[VCDB Index]],tblHITIndexWeightTable[],4,FALSE),"")</f>
        <v/>
      </c>
      <c r="AJ63" s="292"/>
      <c r="AK63" s="292"/>
      <c r="AL63" s="292"/>
      <c r="AM63" s="292"/>
      <c r="AN63" s="100" t="str">
        <f>IFERROR(MAX(tblRiskRegister3[[#This Row],[Risk Treatment Safeguard Impact to Mission]:[Risk Treatment Safeguard Impact to Obligations]])*tblRiskRegister3[[#This Row],[Risk Treatment
Safeguard Expectancy Score]],"")</f>
        <v/>
      </c>
      <c r="AO63" s="100" t="str">
        <f>IF(tblRiskRegister3[[#This Row],[Risk Score]]&gt;AcceptableRisk1,IF(tblRiskRegister3[[#This Row],[Risk Treatment Safeguard Risk Score]]&lt;AcceptableRisk1, IF(tblRiskRegister3[[#This Row],[Risk Treatment Safeguard Risk Score]]&lt;=tblRiskRegister3[[#This Row],[Risk Score]],"Yes","No"),"No"),"Yes")</f>
        <v>No</v>
      </c>
      <c r="AP63" s="15"/>
      <c r="AQ63" s="15"/>
      <c r="AR63" s="16"/>
    </row>
    <row r="64" spans="2:44" ht="76.5" x14ac:dyDescent="0.2">
      <c r="B64" s="207">
        <v>6.8</v>
      </c>
      <c r="C64" s="194" t="s">
        <v>537</v>
      </c>
      <c r="D64" s="88" t="s">
        <v>87</v>
      </c>
      <c r="E64" s="274" t="s">
        <v>657</v>
      </c>
      <c r="F64" s="14"/>
      <c r="G64" s="88"/>
      <c r="H64" s="88" t="s">
        <v>463</v>
      </c>
      <c r="I64" s="223"/>
      <c r="J64" s="293" t="s">
        <v>667</v>
      </c>
      <c r="K64" s="293" t="s">
        <v>667</v>
      </c>
      <c r="L64" s="293" t="s">
        <v>667</v>
      </c>
      <c r="M64" s="293" t="s">
        <v>667</v>
      </c>
      <c r="N64" s="293" t="s">
        <v>667</v>
      </c>
      <c r="O64" s="295">
        <f>COUNTIF(tblRiskRegister3[[#This Row],[Defends Against Malware]:[Defends Against Targeted Intrusions]],"Yes")</f>
        <v>5</v>
      </c>
      <c r="P64" s="12"/>
      <c r="Q64" s="12"/>
      <c r="R64" s="12"/>
      <c r="S64" s="12"/>
      <c r="T64" s="198"/>
      <c r="U64" s="199">
        <f>IFERROR(VLOOKUP(tblRiskRegister3[[#This Row],[Asset Class]],tblVCDBIndex[],4,FALSE),"")</f>
        <v>3</v>
      </c>
      <c r="V64" s="24" t="str">
        <f>IFERROR(VLOOKUP(10*tblRiskRegister3[[#This Row],[Safeguard Maturity Score]]+tblRiskRegister3[[#This Row],[VCDB Index]],tblHITIndexWeightTable[],4,FALSE),"")</f>
        <v/>
      </c>
      <c r="W64" s="294"/>
      <c r="X64" s="294"/>
      <c r="Y64" s="294"/>
      <c r="Z64" s="294"/>
      <c r="AA64" s="24" t="str">
        <f>IFERROR(MAX(tblRiskRegister3[[#This Row],[Impact to Mission]:[Impact to Obligations]])*tblRiskRegister3[[#This Row],[Expectancy Score]],"")</f>
        <v/>
      </c>
      <c r="AB64" s="24" t="str">
        <f>tblRiskRegister3[[#This Row],[Risk Score]]</f>
        <v/>
      </c>
      <c r="AC64" s="79"/>
      <c r="AD64" s="206">
        <v>6.8</v>
      </c>
      <c r="AE64" s="194" t="s">
        <v>537</v>
      </c>
      <c r="AF64" s="194" t="s">
        <v>558</v>
      </c>
      <c r="AG64" s="25"/>
      <c r="AH64" s="13"/>
      <c r="AI64" s="22" t="str">
        <f>IFERROR(VLOOKUP(10*tblRiskRegister3[[#This Row],[Risk Treatment Safeguard Maturity Score]]+tblRiskRegister3[[#This Row],[VCDB Index]],tblHITIndexWeightTable[],4,FALSE),"")</f>
        <v/>
      </c>
      <c r="AJ64" s="292"/>
      <c r="AK64" s="292"/>
      <c r="AL64" s="292"/>
      <c r="AM64" s="292"/>
      <c r="AN64" s="100" t="str">
        <f>IFERROR(MAX(tblRiskRegister3[[#This Row],[Risk Treatment Safeguard Impact to Mission]:[Risk Treatment Safeguard Impact to Obligations]])*tblRiskRegister3[[#This Row],[Risk Treatment
Safeguard Expectancy Score]],"")</f>
        <v/>
      </c>
      <c r="AO64" s="100" t="str">
        <f>IF(tblRiskRegister3[[#This Row],[Risk Score]]&gt;AcceptableRisk1,IF(tblRiskRegister3[[#This Row],[Risk Treatment Safeguard Risk Score]]&lt;AcceptableRisk1, IF(tblRiskRegister3[[#This Row],[Risk Treatment Safeguard Risk Score]]&lt;=tblRiskRegister3[[#This Row],[Risk Score]],"Yes","No"),"No"),"Yes")</f>
        <v>No</v>
      </c>
      <c r="AP64" s="15"/>
      <c r="AQ64" s="15"/>
      <c r="AR64" s="16"/>
    </row>
    <row r="65" spans="2:44" ht="51" x14ac:dyDescent="0.2">
      <c r="B65" s="207">
        <v>7.1</v>
      </c>
      <c r="C65" s="194" t="s">
        <v>59</v>
      </c>
      <c r="D65" s="88" t="s">
        <v>89</v>
      </c>
      <c r="E65" s="274" t="s">
        <v>657</v>
      </c>
      <c r="F65" s="14" t="s">
        <v>463</v>
      </c>
      <c r="G65" s="88" t="s">
        <v>463</v>
      </c>
      <c r="H65" s="88" t="s">
        <v>463</v>
      </c>
      <c r="I65" s="223"/>
      <c r="J65" s="293" t="s">
        <v>667</v>
      </c>
      <c r="K65" s="293" t="s">
        <v>667</v>
      </c>
      <c r="L65" s="293" t="s">
        <v>667</v>
      </c>
      <c r="M65" s="293" t="s">
        <v>667</v>
      </c>
      <c r="N65" s="293" t="s">
        <v>667</v>
      </c>
      <c r="O65" s="295">
        <f>COUNTIF(tblRiskRegister3[[#This Row],[Defends Against Malware]:[Defends Against Targeted Intrusions]],"Yes")</f>
        <v>5</v>
      </c>
      <c r="P65" s="12"/>
      <c r="Q65" s="12"/>
      <c r="R65" s="12"/>
      <c r="S65" s="12"/>
      <c r="T65" s="198"/>
      <c r="U65" s="199">
        <f>IFERROR(VLOOKUP(tblRiskRegister3[[#This Row],[Asset Class]],tblVCDBIndex[],4,FALSE),"")</f>
        <v>1</v>
      </c>
      <c r="V65" s="24" t="str">
        <f>IFERROR(VLOOKUP(10*tblRiskRegister3[[#This Row],[Safeguard Maturity Score]]+tblRiskRegister3[[#This Row],[VCDB Index]],tblHITIndexWeightTable[],4,FALSE),"")</f>
        <v/>
      </c>
      <c r="W65" s="294"/>
      <c r="X65" s="294"/>
      <c r="Y65" s="294"/>
      <c r="Z65" s="294"/>
      <c r="AA65" s="24" t="str">
        <f>IFERROR(MAX(tblRiskRegister3[[#This Row],[Impact to Mission]:[Impact to Obligations]])*tblRiskRegister3[[#This Row],[Expectancy Score]],"")</f>
        <v/>
      </c>
      <c r="AB65" s="24" t="str">
        <f>tblRiskRegister3[[#This Row],[Risk Score]]</f>
        <v/>
      </c>
      <c r="AC65" s="79"/>
      <c r="AD65" s="206">
        <v>7.1</v>
      </c>
      <c r="AE65" s="194" t="s">
        <v>59</v>
      </c>
      <c r="AF65" s="194" t="s">
        <v>379</v>
      </c>
      <c r="AG65" s="25"/>
      <c r="AH65" s="13"/>
      <c r="AI65" s="22" t="str">
        <f>IFERROR(VLOOKUP(10*tblRiskRegister3[[#This Row],[Risk Treatment Safeguard Maturity Score]]+tblRiskRegister3[[#This Row],[VCDB Index]],tblHITIndexWeightTable[],4,FALSE),"")</f>
        <v/>
      </c>
      <c r="AJ65" s="292"/>
      <c r="AK65" s="292"/>
      <c r="AL65" s="292"/>
      <c r="AM65" s="292"/>
      <c r="AN65" s="100" t="str">
        <f>IFERROR(MAX(tblRiskRegister3[[#This Row],[Risk Treatment Safeguard Impact to Mission]:[Risk Treatment Safeguard Impact to Obligations]])*tblRiskRegister3[[#This Row],[Risk Treatment
Safeguard Expectancy Score]],"")</f>
        <v/>
      </c>
      <c r="AO65" s="100" t="str">
        <f>IF(tblRiskRegister3[[#This Row],[Risk Score]]&gt;AcceptableRisk1,IF(tblRiskRegister3[[#This Row],[Risk Treatment Safeguard Risk Score]]&lt;AcceptableRisk1, IF(tblRiskRegister3[[#This Row],[Risk Treatment Safeguard Risk Score]]&lt;=tblRiskRegister3[[#This Row],[Risk Score]],"Yes","No"),"No"),"Yes")</f>
        <v>No</v>
      </c>
      <c r="AP65" s="15"/>
      <c r="AQ65" s="15"/>
      <c r="AR65" s="16"/>
    </row>
    <row r="66" spans="2:44" ht="38.25" x14ac:dyDescent="0.2">
      <c r="B66" s="207">
        <v>7.2</v>
      </c>
      <c r="C66" s="194" t="s">
        <v>60</v>
      </c>
      <c r="D66" s="88" t="s">
        <v>89</v>
      </c>
      <c r="E66" s="274" t="s">
        <v>655</v>
      </c>
      <c r="F66" s="14" t="s">
        <v>463</v>
      </c>
      <c r="G66" s="88" t="s">
        <v>463</v>
      </c>
      <c r="H66" s="88" t="s">
        <v>463</v>
      </c>
      <c r="I66" s="223"/>
      <c r="J66" s="293" t="s">
        <v>667</v>
      </c>
      <c r="K66" s="293" t="s">
        <v>667</v>
      </c>
      <c r="L66" s="293" t="s">
        <v>667</v>
      </c>
      <c r="M66" s="293" t="s">
        <v>667</v>
      </c>
      <c r="N66" s="293" t="s">
        <v>667</v>
      </c>
      <c r="O66" s="295">
        <f>COUNTIF(tblRiskRegister3[[#This Row],[Defends Against Malware]:[Defends Against Targeted Intrusions]],"Yes")</f>
        <v>5</v>
      </c>
      <c r="P66" s="12"/>
      <c r="Q66" s="12"/>
      <c r="R66" s="12"/>
      <c r="S66" s="12"/>
      <c r="T66" s="198"/>
      <c r="U66" s="199">
        <f>IFERROR(VLOOKUP(tblRiskRegister3[[#This Row],[Asset Class]],tblVCDBIndex[],4,FALSE),"")</f>
        <v>1</v>
      </c>
      <c r="V66" s="24" t="str">
        <f>IFERROR(VLOOKUP(10*tblRiskRegister3[[#This Row],[Safeguard Maturity Score]]+tblRiskRegister3[[#This Row],[VCDB Index]],tblHITIndexWeightTable[],4,FALSE),"")</f>
        <v/>
      </c>
      <c r="W66" s="294"/>
      <c r="X66" s="294"/>
      <c r="Y66" s="294"/>
      <c r="Z66" s="294"/>
      <c r="AA66" s="24" t="str">
        <f>IFERROR(MAX(tblRiskRegister3[[#This Row],[Impact to Mission]:[Impact to Obligations]])*tblRiskRegister3[[#This Row],[Expectancy Score]],"")</f>
        <v/>
      </c>
      <c r="AB66" s="24" t="str">
        <f>tblRiskRegister3[[#This Row],[Risk Score]]</f>
        <v/>
      </c>
      <c r="AC66" s="79"/>
      <c r="AD66" s="206">
        <v>7.2</v>
      </c>
      <c r="AE66" s="194" t="s">
        <v>60</v>
      </c>
      <c r="AF66" s="194" t="s">
        <v>380</v>
      </c>
      <c r="AG66" s="25"/>
      <c r="AH66" s="13"/>
      <c r="AI66" s="22" t="str">
        <f>IFERROR(VLOOKUP(10*tblRiskRegister3[[#This Row],[Risk Treatment Safeguard Maturity Score]]+tblRiskRegister3[[#This Row],[VCDB Index]],tblHITIndexWeightTable[],4,FALSE),"")</f>
        <v/>
      </c>
      <c r="AJ66" s="292"/>
      <c r="AK66" s="292"/>
      <c r="AL66" s="292"/>
      <c r="AM66" s="292"/>
      <c r="AN66" s="100" t="str">
        <f>IFERROR(MAX(tblRiskRegister3[[#This Row],[Risk Treatment Safeguard Impact to Mission]:[Risk Treatment Safeguard Impact to Obligations]])*tblRiskRegister3[[#This Row],[Risk Treatment
Safeguard Expectancy Score]],"")</f>
        <v/>
      </c>
      <c r="AO66" s="100" t="str">
        <f>IF(tblRiskRegister3[[#This Row],[Risk Score]]&gt;AcceptableRisk1,IF(tblRiskRegister3[[#This Row],[Risk Treatment Safeguard Risk Score]]&lt;AcceptableRisk1, IF(tblRiskRegister3[[#This Row],[Risk Treatment Safeguard Risk Score]]&lt;=tblRiskRegister3[[#This Row],[Risk Score]],"Yes","No"),"No"),"Yes")</f>
        <v>No</v>
      </c>
      <c r="AP66" s="15"/>
      <c r="AQ66" s="15"/>
      <c r="AR66" s="16"/>
    </row>
    <row r="67" spans="2:44" ht="38.25" x14ac:dyDescent="0.2">
      <c r="B67" s="207">
        <v>7.3</v>
      </c>
      <c r="C67" s="194" t="s">
        <v>61</v>
      </c>
      <c r="D67" s="88" t="s">
        <v>89</v>
      </c>
      <c r="E67" s="274" t="s">
        <v>657</v>
      </c>
      <c r="F67" s="14" t="s">
        <v>463</v>
      </c>
      <c r="G67" s="88" t="s">
        <v>463</v>
      </c>
      <c r="H67" s="88" t="s">
        <v>463</v>
      </c>
      <c r="I67" s="223"/>
      <c r="J67" s="293" t="s">
        <v>667</v>
      </c>
      <c r="K67" s="293" t="s">
        <v>667</v>
      </c>
      <c r="L67" s="293" t="s">
        <v>667</v>
      </c>
      <c r="M67" s="293" t="s">
        <v>667</v>
      </c>
      <c r="N67" s="293" t="s">
        <v>667</v>
      </c>
      <c r="O67" s="295">
        <f>COUNTIF(tblRiskRegister3[[#This Row],[Defends Against Malware]:[Defends Against Targeted Intrusions]],"Yes")</f>
        <v>5</v>
      </c>
      <c r="P67" s="12"/>
      <c r="Q67" s="12"/>
      <c r="R67" s="12"/>
      <c r="S67" s="12"/>
      <c r="T67" s="198"/>
      <c r="U67" s="199">
        <f>IFERROR(VLOOKUP(tblRiskRegister3[[#This Row],[Asset Class]],tblVCDBIndex[],4,FALSE),"")</f>
        <v>1</v>
      </c>
      <c r="V67" s="24" t="str">
        <f>IFERROR(VLOOKUP(10*tblRiskRegister3[[#This Row],[Safeguard Maturity Score]]+tblRiskRegister3[[#This Row],[VCDB Index]],tblHITIndexWeightTable[],4,FALSE),"")</f>
        <v/>
      </c>
      <c r="W67" s="294"/>
      <c r="X67" s="294"/>
      <c r="Y67" s="294"/>
      <c r="Z67" s="294"/>
      <c r="AA67" s="24" t="str">
        <f>IFERROR(MAX(tblRiskRegister3[[#This Row],[Impact to Mission]:[Impact to Obligations]])*tblRiskRegister3[[#This Row],[Expectancy Score]],"")</f>
        <v/>
      </c>
      <c r="AB67" s="24" t="str">
        <f>tblRiskRegister3[[#This Row],[Risk Score]]</f>
        <v/>
      </c>
      <c r="AC67" s="79"/>
      <c r="AD67" s="206">
        <v>7.3</v>
      </c>
      <c r="AE67" s="194" t="s">
        <v>61</v>
      </c>
      <c r="AF67" s="194" t="s">
        <v>381</v>
      </c>
      <c r="AG67" s="25"/>
      <c r="AH67" s="13"/>
      <c r="AI67" s="22" t="str">
        <f>IFERROR(VLOOKUP(10*tblRiskRegister3[[#This Row],[Risk Treatment Safeguard Maturity Score]]+tblRiskRegister3[[#This Row],[VCDB Index]],tblHITIndexWeightTable[],4,FALSE),"")</f>
        <v/>
      </c>
      <c r="AJ67" s="292"/>
      <c r="AK67" s="292"/>
      <c r="AL67" s="292"/>
      <c r="AM67" s="292"/>
      <c r="AN67" s="100" t="str">
        <f>IFERROR(MAX(tblRiskRegister3[[#This Row],[Risk Treatment Safeguard Impact to Mission]:[Risk Treatment Safeguard Impact to Obligations]])*tblRiskRegister3[[#This Row],[Risk Treatment
Safeguard Expectancy Score]],"")</f>
        <v/>
      </c>
      <c r="AO67" s="100" t="str">
        <f>IF(tblRiskRegister3[[#This Row],[Risk Score]]&gt;AcceptableRisk1,IF(tblRiskRegister3[[#This Row],[Risk Treatment Safeguard Risk Score]]&lt;AcceptableRisk1, IF(tblRiskRegister3[[#This Row],[Risk Treatment Safeguard Risk Score]]&lt;=tblRiskRegister3[[#This Row],[Risk Score]],"Yes","No"),"No"),"Yes")</f>
        <v>No</v>
      </c>
      <c r="AP67" s="15"/>
      <c r="AQ67" s="15"/>
      <c r="AR67" s="16"/>
    </row>
    <row r="68" spans="2:44" ht="38.25" x14ac:dyDescent="0.2">
      <c r="B68" s="207">
        <v>7.4</v>
      </c>
      <c r="C68" s="194" t="s">
        <v>62</v>
      </c>
      <c r="D68" s="88" t="s">
        <v>89</v>
      </c>
      <c r="E68" s="274" t="s">
        <v>657</v>
      </c>
      <c r="F68" s="14" t="s">
        <v>463</v>
      </c>
      <c r="G68" s="88" t="s">
        <v>463</v>
      </c>
      <c r="H68" s="88" t="s">
        <v>463</v>
      </c>
      <c r="I68" s="223"/>
      <c r="J68" s="293" t="s">
        <v>667</v>
      </c>
      <c r="K68" s="293" t="s">
        <v>667</v>
      </c>
      <c r="L68" s="293" t="s">
        <v>667</v>
      </c>
      <c r="M68" s="293" t="s">
        <v>667</v>
      </c>
      <c r="N68" s="293" t="s">
        <v>667</v>
      </c>
      <c r="O68" s="295">
        <f>COUNTIF(tblRiskRegister3[[#This Row],[Defends Against Malware]:[Defends Against Targeted Intrusions]],"Yes")</f>
        <v>5</v>
      </c>
      <c r="P68" s="12"/>
      <c r="Q68" s="12"/>
      <c r="R68" s="12"/>
      <c r="S68" s="12"/>
      <c r="T68" s="198"/>
      <c r="U68" s="199">
        <f>IFERROR(VLOOKUP(tblRiskRegister3[[#This Row],[Asset Class]],tblVCDBIndex[],4,FALSE),"")</f>
        <v>1</v>
      </c>
      <c r="V68" s="24" t="str">
        <f>IFERROR(VLOOKUP(10*tblRiskRegister3[[#This Row],[Safeguard Maturity Score]]+tblRiskRegister3[[#This Row],[VCDB Index]],tblHITIndexWeightTable[],4,FALSE),"")</f>
        <v/>
      </c>
      <c r="W68" s="294"/>
      <c r="X68" s="294"/>
      <c r="Y68" s="294"/>
      <c r="Z68" s="294"/>
      <c r="AA68" s="24" t="str">
        <f>IFERROR(MAX(tblRiskRegister3[[#This Row],[Impact to Mission]:[Impact to Obligations]])*tblRiskRegister3[[#This Row],[Expectancy Score]],"")</f>
        <v/>
      </c>
      <c r="AB68" s="24" t="str">
        <f>tblRiskRegister3[[#This Row],[Risk Score]]</f>
        <v/>
      </c>
      <c r="AC68" s="79"/>
      <c r="AD68" s="206">
        <v>7.4</v>
      </c>
      <c r="AE68" s="194" t="s">
        <v>62</v>
      </c>
      <c r="AF68" s="194" t="s">
        <v>382</v>
      </c>
      <c r="AG68" s="25"/>
      <c r="AH68" s="13"/>
      <c r="AI68" s="22" t="str">
        <f>IFERROR(VLOOKUP(10*tblRiskRegister3[[#This Row],[Risk Treatment Safeguard Maturity Score]]+tblRiskRegister3[[#This Row],[VCDB Index]],tblHITIndexWeightTable[],4,FALSE),"")</f>
        <v/>
      </c>
      <c r="AJ68" s="292"/>
      <c r="AK68" s="292"/>
      <c r="AL68" s="292"/>
      <c r="AM68" s="292"/>
      <c r="AN68" s="100" t="str">
        <f>IFERROR(MAX(tblRiskRegister3[[#This Row],[Risk Treatment Safeguard Impact to Mission]:[Risk Treatment Safeguard Impact to Obligations]])*tblRiskRegister3[[#This Row],[Risk Treatment
Safeguard Expectancy Score]],"")</f>
        <v/>
      </c>
      <c r="AO68" s="100" t="str">
        <f>IF(tblRiskRegister3[[#This Row],[Risk Score]]&gt;AcceptableRisk1,IF(tblRiskRegister3[[#This Row],[Risk Treatment Safeguard Risk Score]]&lt;AcceptableRisk1, IF(tblRiskRegister3[[#This Row],[Risk Treatment Safeguard Risk Score]]&lt;=tblRiskRegister3[[#This Row],[Risk Score]],"Yes","No"),"No"),"Yes")</f>
        <v>No</v>
      </c>
      <c r="AP68" s="15"/>
      <c r="AQ68" s="15"/>
      <c r="AR68" s="16"/>
    </row>
    <row r="69" spans="2:44" ht="60.75" x14ac:dyDescent="0.2">
      <c r="B69" s="207">
        <v>7.5</v>
      </c>
      <c r="C69" s="194" t="s">
        <v>158</v>
      </c>
      <c r="D69" s="88" t="s">
        <v>89</v>
      </c>
      <c r="E69" s="274" t="s">
        <v>654</v>
      </c>
      <c r="F69" s="14"/>
      <c r="G69" s="88" t="s">
        <v>463</v>
      </c>
      <c r="H69" s="88" t="s">
        <v>463</v>
      </c>
      <c r="I69" s="223"/>
      <c r="J69" s="293" t="s">
        <v>667</v>
      </c>
      <c r="K69" s="293" t="s">
        <v>667</v>
      </c>
      <c r="L69" s="293" t="s">
        <v>667</v>
      </c>
      <c r="M69" s="293" t="s">
        <v>667</v>
      </c>
      <c r="N69" s="293" t="s">
        <v>667</v>
      </c>
      <c r="O69" s="295">
        <f>COUNTIF(tblRiskRegister3[[#This Row],[Defends Against Malware]:[Defends Against Targeted Intrusions]],"Yes")</f>
        <v>5</v>
      </c>
      <c r="P69" s="12"/>
      <c r="Q69" s="12"/>
      <c r="R69" s="12"/>
      <c r="S69" s="12"/>
      <c r="T69" s="198"/>
      <c r="U69" s="199">
        <f>IFERROR(VLOOKUP(tblRiskRegister3[[#This Row],[Asset Class]],tblVCDBIndex[],4,FALSE),"")</f>
        <v>1</v>
      </c>
      <c r="V69" s="24" t="str">
        <f>IFERROR(VLOOKUP(10*tblRiskRegister3[[#This Row],[Safeguard Maturity Score]]+tblRiskRegister3[[#This Row],[VCDB Index]],tblHITIndexWeightTable[],4,FALSE),"")</f>
        <v/>
      </c>
      <c r="W69" s="294"/>
      <c r="X69" s="294"/>
      <c r="Y69" s="294"/>
      <c r="Z69" s="294"/>
      <c r="AA69" s="24" t="str">
        <f>IFERROR(MAX(tblRiskRegister3[[#This Row],[Impact to Mission]:[Impact to Obligations]])*tblRiskRegister3[[#This Row],[Expectancy Score]],"")</f>
        <v/>
      </c>
      <c r="AB69" s="24" t="str">
        <f>tblRiskRegister3[[#This Row],[Risk Score]]</f>
        <v/>
      </c>
      <c r="AC69" s="79"/>
      <c r="AD69" s="206">
        <v>7.5</v>
      </c>
      <c r="AE69" s="194" t="s">
        <v>158</v>
      </c>
      <c r="AF69" s="194" t="s">
        <v>559</v>
      </c>
      <c r="AG69" s="25"/>
      <c r="AH69" s="13"/>
      <c r="AI69" s="22" t="str">
        <f>IFERROR(VLOOKUP(10*tblRiskRegister3[[#This Row],[Risk Treatment Safeguard Maturity Score]]+tblRiskRegister3[[#This Row],[VCDB Index]],tblHITIndexWeightTable[],4,FALSE),"")</f>
        <v/>
      </c>
      <c r="AJ69" s="292"/>
      <c r="AK69" s="292"/>
      <c r="AL69" s="292"/>
      <c r="AM69" s="292"/>
      <c r="AN69" s="100" t="str">
        <f>IFERROR(MAX(tblRiskRegister3[[#This Row],[Risk Treatment Safeguard Impact to Mission]:[Risk Treatment Safeguard Impact to Obligations]])*tblRiskRegister3[[#This Row],[Risk Treatment
Safeguard Expectancy Score]],"")</f>
        <v/>
      </c>
      <c r="AO69" s="100" t="str">
        <f>IF(tblRiskRegister3[[#This Row],[Risk Score]]&gt;AcceptableRisk1,IF(tblRiskRegister3[[#This Row],[Risk Treatment Safeguard Risk Score]]&lt;AcceptableRisk1, IF(tblRiskRegister3[[#This Row],[Risk Treatment Safeguard Risk Score]]&lt;=tblRiskRegister3[[#This Row],[Risk Score]],"Yes","No"),"No"),"Yes")</f>
        <v>No</v>
      </c>
      <c r="AP69" s="15"/>
      <c r="AQ69" s="15"/>
      <c r="AR69" s="16"/>
    </row>
    <row r="70" spans="2:44" ht="51" x14ac:dyDescent="0.2">
      <c r="B70" s="207">
        <v>7.6</v>
      </c>
      <c r="C70" s="194" t="s">
        <v>159</v>
      </c>
      <c r="D70" s="88" t="s">
        <v>89</v>
      </c>
      <c r="E70" s="274" t="s">
        <v>654</v>
      </c>
      <c r="F70" s="14"/>
      <c r="G70" s="88" t="s">
        <v>463</v>
      </c>
      <c r="H70" s="88" t="s">
        <v>463</v>
      </c>
      <c r="I70" s="223"/>
      <c r="J70" s="293" t="s">
        <v>667</v>
      </c>
      <c r="K70" s="293" t="s">
        <v>667</v>
      </c>
      <c r="L70" s="293" t="s">
        <v>667</v>
      </c>
      <c r="M70" s="293" t="s">
        <v>667</v>
      </c>
      <c r="N70" s="293" t="s">
        <v>667</v>
      </c>
      <c r="O70" s="295">
        <f>COUNTIF(tblRiskRegister3[[#This Row],[Defends Against Malware]:[Defends Against Targeted Intrusions]],"Yes")</f>
        <v>5</v>
      </c>
      <c r="P70" s="12"/>
      <c r="Q70" s="12"/>
      <c r="R70" s="12"/>
      <c r="S70" s="12"/>
      <c r="T70" s="198"/>
      <c r="U70" s="199">
        <f>IFERROR(VLOOKUP(tblRiskRegister3[[#This Row],[Asset Class]],tblVCDBIndex[],4,FALSE),"")</f>
        <v>1</v>
      </c>
      <c r="V70" s="24" t="str">
        <f>IFERROR(VLOOKUP(10*tblRiskRegister3[[#This Row],[Safeguard Maturity Score]]+tblRiskRegister3[[#This Row],[VCDB Index]],tblHITIndexWeightTable[],4,FALSE),"")</f>
        <v/>
      </c>
      <c r="W70" s="294"/>
      <c r="X70" s="294"/>
      <c r="Y70" s="294"/>
      <c r="Z70" s="294"/>
      <c r="AA70" s="24" t="str">
        <f>IFERROR(MAX(tblRiskRegister3[[#This Row],[Impact to Mission]:[Impact to Obligations]])*tblRiskRegister3[[#This Row],[Expectancy Score]],"")</f>
        <v/>
      </c>
      <c r="AB70" s="24" t="str">
        <f>tblRiskRegister3[[#This Row],[Risk Score]]</f>
        <v/>
      </c>
      <c r="AC70" s="79"/>
      <c r="AD70" s="206">
        <v>7.6</v>
      </c>
      <c r="AE70" s="194" t="s">
        <v>159</v>
      </c>
      <c r="AF70" s="194" t="s">
        <v>383</v>
      </c>
      <c r="AG70" s="25"/>
      <c r="AH70" s="13"/>
      <c r="AI70" s="22" t="str">
        <f>IFERROR(VLOOKUP(10*tblRiskRegister3[[#This Row],[Risk Treatment Safeguard Maturity Score]]+tblRiskRegister3[[#This Row],[VCDB Index]],tblHITIndexWeightTable[],4,FALSE),"")</f>
        <v/>
      </c>
      <c r="AJ70" s="292"/>
      <c r="AK70" s="292"/>
      <c r="AL70" s="292"/>
      <c r="AM70" s="292"/>
      <c r="AN70" s="100" t="str">
        <f>IFERROR(MAX(tblRiskRegister3[[#This Row],[Risk Treatment Safeguard Impact to Mission]:[Risk Treatment Safeguard Impact to Obligations]])*tblRiskRegister3[[#This Row],[Risk Treatment
Safeguard Expectancy Score]],"")</f>
        <v/>
      </c>
      <c r="AO70" s="100" t="str">
        <f>IF(tblRiskRegister3[[#This Row],[Risk Score]]&gt;AcceptableRisk1,IF(tblRiskRegister3[[#This Row],[Risk Treatment Safeguard Risk Score]]&lt;AcceptableRisk1, IF(tblRiskRegister3[[#This Row],[Risk Treatment Safeguard Risk Score]]&lt;=tblRiskRegister3[[#This Row],[Risk Score]],"Yes","No"),"No"),"Yes")</f>
        <v>No</v>
      </c>
      <c r="AP70" s="15"/>
      <c r="AQ70" s="15"/>
      <c r="AR70" s="16"/>
    </row>
    <row r="71" spans="2:44" ht="38.25" x14ac:dyDescent="0.2">
      <c r="B71" s="207">
        <v>7.7</v>
      </c>
      <c r="C71" s="194" t="s">
        <v>160</v>
      </c>
      <c r="D71" s="88" t="s">
        <v>89</v>
      </c>
      <c r="E71" s="274" t="s">
        <v>655</v>
      </c>
      <c r="F71" s="14"/>
      <c r="G71" s="88" t="s">
        <v>463</v>
      </c>
      <c r="H71" s="88" t="s">
        <v>463</v>
      </c>
      <c r="I71" s="223"/>
      <c r="J71" s="293" t="s">
        <v>667</v>
      </c>
      <c r="K71" s="293" t="s">
        <v>667</v>
      </c>
      <c r="L71" s="293" t="s">
        <v>667</v>
      </c>
      <c r="M71" s="293" t="s">
        <v>667</v>
      </c>
      <c r="N71" s="293" t="s">
        <v>667</v>
      </c>
      <c r="O71" s="295">
        <f>COUNTIF(tblRiskRegister3[[#This Row],[Defends Against Malware]:[Defends Against Targeted Intrusions]],"Yes")</f>
        <v>5</v>
      </c>
      <c r="P71" s="12"/>
      <c r="Q71" s="12"/>
      <c r="R71" s="12"/>
      <c r="S71" s="12"/>
      <c r="T71" s="198"/>
      <c r="U71" s="199">
        <f>IFERROR(VLOOKUP(tblRiskRegister3[[#This Row],[Asset Class]],tblVCDBIndex[],4,FALSE),"")</f>
        <v>1</v>
      </c>
      <c r="V71" s="24" t="str">
        <f>IFERROR(VLOOKUP(10*tblRiskRegister3[[#This Row],[Safeguard Maturity Score]]+tblRiskRegister3[[#This Row],[VCDB Index]],tblHITIndexWeightTable[],4,FALSE),"")</f>
        <v/>
      </c>
      <c r="W71" s="294"/>
      <c r="X71" s="294"/>
      <c r="Y71" s="294"/>
      <c r="Z71" s="294"/>
      <c r="AA71" s="24" t="str">
        <f>IFERROR(MAX(tblRiskRegister3[[#This Row],[Impact to Mission]:[Impact to Obligations]])*tblRiskRegister3[[#This Row],[Expectancy Score]],"")</f>
        <v/>
      </c>
      <c r="AB71" s="24" t="str">
        <f>tblRiskRegister3[[#This Row],[Risk Score]]</f>
        <v/>
      </c>
      <c r="AC71" s="79"/>
      <c r="AD71" s="206">
        <v>7.7</v>
      </c>
      <c r="AE71" s="194" t="s">
        <v>160</v>
      </c>
      <c r="AF71" s="194" t="s">
        <v>384</v>
      </c>
      <c r="AG71" s="25"/>
      <c r="AH71" s="13"/>
      <c r="AI71" s="22" t="str">
        <f>IFERROR(VLOOKUP(10*tblRiskRegister3[[#This Row],[Risk Treatment Safeguard Maturity Score]]+tblRiskRegister3[[#This Row],[VCDB Index]],tblHITIndexWeightTable[],4,FALSE),"")</f>
        <v/>
      </c>
      <c r="AJ71" s="292"/>
      <c r="AK71" s="292"/>
      <c r="AL71" s="292"/>
      <c r="AM71" s="292"/>
      <c r="AN71" s="100" t="str">
        <f>IFERROR(MAX(tblRiskRegister3[[#This Row],[Risk Treatment Safeguard Impact to Mission]:[Risk Treatment Safeguard Impact to Obligations]])*tblRiskRegister3[[#This Row],[Risk Treatment
Safeguard Expectancy Score]],"")</f>
        <v/>
      </c>
      <c r="AO71" s="100" t="str">
        <f>IF(tblRiskRegister3[[#This Row],[Risk Score]]&gt;AcceptableRisk1,IF(tblRiskRegister3[[#This Row],[Risk Treatment Safeguard Risk Score]]&lt;AcceptableRisk1, IF(tblRiskRegister3[[#This Row],[Risk Treatment Safeguard Risk Score]]&lt;=tblRiskRegister3[[#This Row],[Risk Score]],"Yes","No"),"No"),"Yes")</f>
        <v>No</v>
      </c>
      <c r="AP71" s="15"/>
      <c r="AQ71" s="15"/>
      <c r="AR71" s="16"/>
    </row>
    <row r="72" spans="2:44" ht="76.5" x14ac:dyDescent="0.2">
      <c r="B72" s="207">
        <v>8.1</v>
      </c>
      <c r="C72" s="194" t="s">
        <v>63</v>
      </c>
      <c r="D72" s="88" t="s">
        <v>90</v>
      </c>
      <c r="E72" s="274" t="s">
        <v>657</v>
      </c>
      <c r="F72" s="14" t="s">
        <v>463</v>
      </c>
      <c r="G72" s="88" t="s">
        <v>463</v>
      </c>
      <c r="H72" s="88" t="s">
        <v>463</v>
      </c>
      <c r="I72" s="223"/>
      <c r="J72" s="293" t="s">
        <v>667</v>
      </c>
      <c r="K72" s="293" t="s">
        <v>667</v>
      </c>
      <c r="L72" s="293" t="s">
        <v>667</v>
      </c>
      <c r="M72" s="293" t="s">
        <v>667</v>
      </c>
      <c r="N72" s="293" t="s">
        <v>667</v>
      </c>
      <c r="O72" s="295">
        <f>COUNTIF(tblRiskRegister3[[#This Row],[Defends Against Malware]:[Defends Against Targeted Intrusions]],"Yes")</f>
        <v>5</v>
      </c>
      <c r="P72" s="12" t="s">
        <v>592</v>
      </c>
      <c r="Q72" s="12"/>
      <c r="R72" s="12" t="s">
        <v>580</v>
      </c>
      <c r="S72" s="12" t="s">
        <v>581</v>
      </c>
      <c r="T72" s="198">
        <v>2</v>
      </c>
      <c r="U72" s="199">
        <f>IFERROR(VLOOKUP(tblRiskRegister3[[#This Row],[Asset Class]],tblVCDBIndex[],4,FALSE),"")</f>
        <v>1</v>
      </c>
      <c r="V72" s="24">
        <f>IFERROR(VLOOKUP(10*tblRiskRegister3[[#This Row],[Safeguard Maturity Score]]+tblRiskRegister3[[#This Row],[VCDB Index]],tblHITIndexWeightTable[],4,FALSE),"")</f>
        <v>3</v>
      </c>
      <c r="W72" s="24">
        <v>3</v>
      </c>
      <c r="X72" s="24">
        <v>4</v>
      </c>
      <c r="Y72" s="24">
        <v>4</v>
      </c>
      <c r="Z72" s="24">
        <v>4</v>
      </c>
      <c r="AA72" s="24">
        <f>IFERROR(MAX(tblRiskRegister3[[#This Row],[Impact to Mission]:[Impact to Obligations]])*tblRiskRegister3[[#This Row],[Expectancy Score]],"")</f>
        <v>12</v>
      </c>
      <c r="AB72" s="24">
        <f>tblRiskRegister3[[#This Row],[Risk Score]]</f>
        <v>12</v>
      </c>
      <c r="AC72" s="79" t="s">
        <v>478</v>
      </c>
      <c r="AD72" s="206">
        <v>8.1</v>
      </c>
      <c r="AE72" s="194" t="s">
        <v>63</v>
      </c>
      <c r="AF72" s="194" t="s">
        <v>593</v>
      </c>
      <c r="AG72" s="213" t="s">
        <v>675</v>
      </c>
      <c r="AH72" s="13">
        <v>4</v>
      </c>
      <c r="AI72" s="22">
        <f>IFERROR(VLOOKUP(10*tblRiskRegister3[[#This Row],[Risk Treatment Safeguard Maturity Score]]+tblRiskRegister3[[#This Row],[VCDB Index]],tblHITIndexWeightTable[],4,FALSE),"")</f>
        <v>1</v>
      </c>
      <c r="AJ72" s="300">
        <v>2</v>
      </c>
      <c r="AK72" s="300">
        <v>2</v>
      </c>
      <c r="AL72" s="300">
        <v>2</v>
      </c>
      <c r="AM72" s="300">
        <v>3</v>
      </c>
      <c r="AN72" s="100">
        <f>IFERROR(MAX(tblRiskRegister3[[#This Row],[Risk Treatment Safeguard Impact to Mission]:[Risk Treatment Safeguard Impact to Obligations]])*tblRiskRegister3[[#This Row],[Risk Treatment
Safeguard Expectancy Score]],"")</f>
        <v>3</v>
      </c>
      <c r="AO72" s="100" t="str">
        <f>IF(tblRiskRegister3[[#This Row],[Risk Score]]&gt;AcceptableRisk1,IF(tblRiskRegister3[[#This Row],[Risk Treatment Safeguard Risk Score]]&lt;AcceptableRisk1, IF(tblRiskRegister3[[#This Row],[Risk Treatment Safeguard Risk Score]]&lt;=tblRiskRegister3[[#This Row],[Risk Score]],"Yes","No"),"No"),"Yes")</f>
        <v>Yes</v>
      </c>
      <c r="AP72" s="15">
        <v>150000</v>
      </c>
      <c r="AQ72" s="15" t="s">
        <v>591</v>
      </c>
      <c r="AR72" s="16">
        <v>2022</v>
      </c>
    </row>
    <row r="73" spans="2:44" ht="51" x14ac:dyDescent="0.2">
      <c r="B73" s="207">
        <v>8.1999999999999993</v>
      </c>
      <c r="C73" s="194" t="s">
        <v>64</v>
      </c>
      <c r="D73" s="88" t="s">
        <v>90</v>
      </c>
      <c r="E73" s="274" t="s">
        <v>656</v>
      </c>
      <c r="F73" s="14" t="s">
        <v>463</v>
      </c>
      <c r="G73" s="88" t="s">
        <v>463</v>
      </c>
      <c r="H73" s="88" t="s">
        <v>463</v>
      </c>
      <c r="I73" s="223"/>
      <c r="J73" s="293" t="s">
        <v>667</v>
      </c>
      <c r="K73" s="293" t="s">
        <v>667</v>
      </c>
      <c r="L73" s="293" t="s">
        <v>667</v>
      </c>
      <c r="M73" s="293" t="s">
        <v>667</v>
      </c>
      <c r="N73" s="293" t="s">
        <v>667</v>
      </c>
      <c r="O73" s="295">
        <f>COUNTIF(tblRiskRegister3[[#This Row],[Defends Against Malware]:[Defends Against Targeted Intrusions]],"Yes")</f>
        <v>5</v>
      </c>
      <c r="P73" s="12" t="s">
        <v>582</v>
      </c>
      <c r="Q73" s="12"/>
      <c r="R73" s="12" t="s">
        <v>583</v>
      </c>
      <c r="S73" s="12" t="s">
        <v>584</v>
      </c>
      <c r="T73" s="198">
        <v>5</v>
      </c>
      <c r="U73" s="199">
        <f>IFERROR(VLOOKUP(tblRiskRegister3[[#This Row],[Asset Class]],tblVCDBIndex[],4,FALSE),"")</f>
        <v>1</v>
      </c>
      <c r="V73" s="24">
        <f>IFERROR(VLOOKUP(10*tblRiskRegister3[[#This Row],[Safeguard Maturity Score]]+tblRiskRegister3[[#This Row],[VCDB Index]],tblHITIndexWeightTable[],4,FALSE),"")</f>
        <v>1</v>
      </c>
      <c r="W73" s="24">
        <v>3</v>
      </c>
      <c r="X73" s="24">
        <v>4</v>
      </c>
      <c r="Y73" s="24">
        <v>4</v>
      </c>
      <c r="Z73" s="24">
        <v>4</v>
      </c>
      <c r="AA73" s="24">
        <f>IFERROR(MAX(tblRiskRegister3[[#This Row],[Impact to Mission]:[Impact to Obligations]])*tblRiskRegister3[[#This Row],[Expectancy Score]],"")</f>
        <v>4</v>
      </c>
      <c r="AB73" s="24">
        <f>tblRiskRegister3[[#This Row],[Risk Score]]</f>
        <v>4</v>
      </c>
      <c r="AC73" s="79" t="s">
        <v>479</v>
      </c>
      <c r="AD73" s="206">
        <v>8.1999999999999993</v>
      </c>
      <c r="AE73" s="194" t="s">
        <v>64</v>
      </c>
      <c r="AF73" s="194" t="s">
        <v>385</v>
      </c>
      <c r="AG73" s="213"/>
      <c r="AH73" s="13"/>
      <c r="AI73" s="22" t="str">
        <f>IFERROR(VLOOKUP(10*tblRiskRegister3[[#This Row],[Risk Treatment Safeguard Maturity Score]]+tblRiskRegister3[[#This Row],[VCDB Index]],tblHITIndexWeightTable[],4,FALSE),"")</f>
        <v/>
      </c>
      <c r="AJ73" s="300"/>
      <c r="AK73" s="300"/>
      <c r="AL73" s="300"/>
      <c r="AM73" s="300"/>
      <c r="AN73" s="100" t="str">
        <f>IFERROR(MAX(tblRiskRegister3[[#This Row],[Risk Treatment Safeguard Impact to Mission]:[Risk Treatment Safeguard Impact to Obligations]])*tblRiskRegister3[[#This Row],[Risk Treatment
Safeguard Expectancy Score]],"")</f>
        <v/>
      </c>
      <c r="AO73" s="100" t="str">
        <f>IF(tblRiskRegister3[[#This Row],[Risk Score]]&gt;AcceptableRisk1,IF(tblRiskRegister3[[#This Row],[Risk Treatment Safeguard Risk Score]]&lt;AcceptableRisk1, IF(tblRiskRegister3[[#This Row],[Risk Treatment Safeguard Risk Score]]&lt;=tblRiskRegister3[[#This Row],[Risk Score]],"Yes","No"),"No"),"Yes")</f>
        <v>Yes</v>
      </c>
      <c r="AP73" s="15"/>
      <c r="AQ73" s="15"/>
      <c r="AR73" s="16"/>
    </row>
    <row r="74" spans="2:44" ht="89.25" x14ac:dyDescent="0.2">
      <c r="B74" s="207">
        <v>8.3000000000000007</v>
      </c>
      <c r="C74" s="194" t="s">
        <v>65</v>
      </c>
      <c r="D74" s="88" t="s">
        <v>90</v>
      </c>
      <c r="E74" s="274" t="s">
        <v>657</v>
      </c>
      <c r="F74" s="14" t="s">
        <v>463</v>
      </c>
      <c r="G74" s="88" t="s">
        <v>463</v>
      </c>
      <c r="H74" s="88" t="s">
        <v>463</v>
      </c>
      <c r="I74" s="223"/>
      <c r="J74" s="293" t="s">
        <v>667</v>
      </c>
      <c r="K74" s="293" t="s">
        <v>667</v>
      </c>
      <c r="L74" s="293" t="s">
        <v>667</v>
      </c>
      <c r="M74" s="293" t="s">
        <v>667</v>
      </c>
      <c r="N74" s="293" t="s">
        <v>667</v>
      </c>
      <c r="O74" s="295">
        <f>COUNTIF(tblRiskRegister3[[#This Row],[Defends Against Malware]:[Defends Against Targeted Intrusions]],"Yes")</f>
        <v>5</v>
      </c>
      <c r="P74" s="12" t="s">
        <v>672</v>
      </c>
      <c r="Q74" s="12"/>
      <c r="R74" s="12" t="s">
        <v>674</v>
      </c>
      <c r="S74" s="12" t="s">
        <v>585</v>
      </c>
      <c r="T74" s="198">
        <v>5</v>
      </c>
      <c r="U74" s="199">
        <f>IFERROR(VLOOKUP(tblRiskRegister3[[#This Row],[Asset Class]],tblVCDBIndex[],4,FALSE),"")</f>
        <v>1</v>
      </c>
      <c r="V74" s="24">
        <f>IFERROR(VLOOKUP(10*tblRiskRegister3[[#This Row],[Safeguard Maturity Score]]+tblRiskRegister3[[#This Row],[VCDB Index]],tblHITIndexWeightTable[],4,FALSE),"")</f>
        <v>1</v>
      </c>
      <c r="W74" s="24">
        <v>3</v>
      </c>
      <c r="X74" s="24">
        <v>4</v>
      </c>
      <c r="Y74" s="24">
        <v>4</v>
      </c>
      <c r="Z74" s="24">
        <v>4</v>
      </c>
      <c r="AA74" s="24">
        <f>IFERROR(MAX(tblRiskRegister3[[#This Row],[Impact to Mission]:[Impact to Obligations]])*tblRiskRegister3[[#This Row],[Expectancy Score]],"")</f>
        <v>4</v>
      </c>
      <c r="AB74" s="24">
        <f>tblRiskRegister3[[#This Row],[Risk Score]]</f>
        <v>4</v>
      </c>
      <c r="AC74" s="79" t="s">
        <v>479</v>
      </c>
      <c r="AD74" s="206">
        <v>8.3000000000000007</v>
      </c>
      <c r="AE74" s="194" t="s">
        <v>65</v>
      </c>
      <c r="AF74" s="194" t="s">
        <v>386</v>
      </c>
      <c r="AG74" s="213"/>
      <c r="AH74" s="13"/>
      <c r="AI74" s="22" t="str">
        <f>IFERROR(VLOOKUP(10*tblRiskRegister3[[#This Row],[Risk Treatment Safeguard Maturity Score]]+tblRiskRegister3[[#This Row],[VCDB Index]],tblHITIndexWeightTable[],4,FALSE),"")</f>
        <v/>
      </c>
      <c r="AJ74" s="300"/>
      <c r="AK74" s="300"/>
      <c r="AL74" s="300"/>
      <c r="AM74" s="300"/>
      <c r="AN74" s="100" t="str">
        <f>IFERROR(MAX(tblRiskRegister3[[#This Row],[Risk Treatment Safeguard Impact to Mission]:[Risk Treatment Safeguard Impact to Obligations]])*tblRiskRegister3[[#This Row],[Risk Treatment
Safeguard Expectancy Score]],"")</f>
        <v/>
      </c>
      <c r="AO74" s="100" t="str">
        <f>IF(tblRiskRegister3[[#This Row],[Risk Score]]&gt;AcceptableRisk1,IF(tblRiskRegister3[[#This Row],[Risk Treatment Safeguard Risk Score]]&lt;AcceptableRisk1, IF(tblRiskRegister3[[#This Row],[Risk Treatment Safeguard Risk Score]]&lt;=tblRiskRegister3[[#This Row],[Risk Score]],"Yes","No"),"No"),"Yes")</f>
        <v>Yes</v>
      </c>
      <c r="AP74" s="15"/>
      <c r="AQ74" s="15"/>
      <c r="AR74" s="16"/>
    </row>
    <row r="75" spans="2:44" ht="76.5" x14ac:dyDescent="0.2">
      <c r="B75" s="207">
        <v>8.4</v>
      </c>
      <c r="C75" s="194" t="s">
        <v>203</v>
      </c>
      <c r="D75" s="88" t="s">
        <v>90</v>
      </c>
      <c r="E75" s="274" t="s">
        <v>657</v>
      </c>
      <c r="F75" s="14"/>
      <c r="G75" s="88" t="s">
        <v>463</v>
      </c>
      <c r="H75" s="88" t="s">
        <v>463</v>
      </c>
      <c r="I75" s="223"/>
      <c r="J75" s="292" t="s">
        <v>666</v>
      </c>
      <c r="K75" s="292" t="s">
        <v>666</v>
      </c>
      <c r="L75" s="292" t="s">
        <v>666</v>
      </c>
      <c r="M75" s="292" t="s">
        <v>666</v>
      </c>
      <c r="N75" s="292" t="s">
        <v>666</v>
      </c>
      <c r="O75" s="295">
        <f>COUNTIF(tblRiskRegister3[[#This Row],[Defends Against Malware]:[Defends Against Targeted Intrusions]],"Yes")</f>
        <v>0</v>
      </c>
      <c r="P75" s="12" t="s">
        <v>673</v>
      </c>
      <c r="Q75" s="12"/>
      <c r="R75" s="12" t="s">
        <v>586</v>
      </c>
      <c r="S75" s="12" t="s">
        <v>587</v>
      </c>
      <c r="T75" s="198">
        <v>5</v>
      </c>
      <c r="U75" s="199">
        <f>IFERROR(VLOOKUP(tblRiskRegister3[[#This Row],[Asset Class]],tblVCDBIndex[],4,FALSE),"")</f>
        <v>1</v>
      </c>
      <c r="V75" s="24">
        <f>IFERROR(VLOOKUP(10*tblRiskRegister3[[#This Row],[Safeguard Maturity Score]]+tblRiskRegister3[[#This Row],[VCDB Index]],tblHITIndexWeightTable[],4,FALSE),"")</f>
        <v>1</v>
      </c>
      <c r="W75" s="24">
        <v>3</v>
      </c>
      <c r="X75" s="24">
        <v>4</v>
      </c>
      <c r="Y75" s="24">
        <v>4</v>
      </c>
      <c r="Z75" s="24">
        <v>4</v>
      </c>
      <c r="AA75" s="24">
        <f>IFERROR(MAX(tblRiskRegister3[[#This Row],[Impact to Mission]:[Impact to Obligations]])*tblRiskRegister3[[#This Row],[Expectancy Score]],"")</f>
        <v>4</v>
      </c>
      <c r="AB75" s="24">
        <f>tblRiskRegister3[[#This Row],[Risk Score]]</f>
        <v>4</v>
      </c>
      <c r="AC75" s="79" t="s">
        <v>479</v>
      </c>
      <c r="AD75" s="206">
        <v>8.4</v>
      </c>
      <c r="AE75" s="194" t="s">
        <v>203</v>
      </c>
      <c r="AF75" s="194" t="s">
        <v>387</v>
      </c>
      <c r="AG75" s="213"/>
      <c r="AH75" s="13"/>
      <c r="AI75" s="22" t="str">
        <f>IFERROR(VLOOKUP(10*tblRiskRegister3[[#This Row],[Risk Treatment Safeguard Maturity Score]]+tblRiskRegister3[[#This Row],[VCDB Index]],tblHITIndexWeightTable[],4,FALSE),"")</f>
        <v/>
      </c>
      <c r="AJ75" s="300"/>
      <c r="AK75" s="300"/>
      <c r="AL75" s="300"/>
      <c r="AM75" s="300"/>
      <c r="AN75" s="100" t="str">
        <f>IFERROR(MAX(tblRiskRegister3[[#This Row],[Risk Treatment Safeguard Impact to Mission]:[Risk Treatment Safeguard Impact to Obligations]])*tblRiskRegister3[[#This Row],[Risk Treatment
Safeguard Expectancy Score]],"")</f>
        <v/>
      </c>
      <c r="AO75" s="100" t="str">
        <f>IF(tblRiskRegister3[[#This Row],[Risk Score]]&gt;AcceptableRisk1,IF(tblRiskRegister3[[#This Row],[Risk Treatment Safeguard Risk Score]]&lt;AcceptableRisk1, IF(tblRiskRegister3[[#This Row],[Risk Treatment Safeguard Risk Score]]&lt;=tblRiskRegister3[[#This Row],[Risk Score]],"Yes","No"),"No"),"Yes")</f>
        <v>Yes</v>
      </c>
      <c r="AP75" s="15"/>
      <c r="AQ75" s="15"/>
      <c r="AR75" s="16"/>
    </row>
    <row r="76" spans="2:44" ht="76.5" x14ac:dyDescent="0.2">
      <c r="B76" s="207">
        <v>8.5</v>
      </c>
      <c r="C76" s="194" t="s">
        <v>204</v>
      </c>
      <c r="D76" s="88" t="s">
        <v>90</v>
      </c>
      <c r="E76" s="274" t="s">
        <v>656</v>
      </c>
      <c r="F76" s="14"/>
      <c r="G76" s="88" t="s">
        <v>463</v>
      </c>
      <c r="H76" s="88" t="s">
        <v>463</v>
      </c>
      <c r="I76" s="223"/>
      <c r="J76" s="292" t="s">
        <v>666</v>
      </c>
      <c r="K76" s="292" t="s">
        <v>666</v>
      </c>
      <c r="L76" s="292" t="s">
        <v>666</v>
      </c>
      <c r="M76" s="293" t="s">
        <v>668</v>
      </c>
      <c r="N76" s="293" t="s">
        <v>667</v>
      </c>
      <c r="O76" s="295">
        <f>COUNTIF(tblRiskRegister3[[#This Row],[Defends Against Malware]:[Defends Against Targeted Intrusions]],"Yes")</f>
        <v>1</v>
      </c>
      <c r="P76" s="12" t="s">
        <v>588</v>
      </c>
      <c r="Q76" s="12"/>
      <c r="R76" s="12" t="s">
        <v>589</v>
      </c>
      <c r="S76" s="12" t="s">
        <v>590</v>
      </c>
      <c r="T76" s="198">
        <v>2</v>
      </c>
      <c r="U76" s="199">
        <f>IFERROR(VLOOKUP(tblRiskRegister3[[#This Row],[Asset Class]],tblVCDBIndex[],4,FALSE),"")</f>
        <v>1</v>
      </c>
      <c r="V76" s="24">
        <f>IFERROR(VLOOKUP(10*tblRiskRegister3[[#This Row],[Safeguard Maturity Score]]+tblRiskRegister3[[#This Row],[VCDB Index]],tblHITIndexWeightTable[],4,FALSE),"")</f>
        <v>3</v>
      </c>
      <c r="W76" s="24">
        <v>3</v>
      </c>
      <c r="X76" s="24">
        <v>4</v>
      </c>
      <c r="Y76" s="24">
        <v>5</v>
      </c>
      <c r="Z76" s="24">
        <v>5</v>
      </c>
      <c r="AA76" s="24">
        <f>IFERROR(MAX(tblRiskRegister3[[#This Row],[Impact to Mission]:[Impact to Obligations]])*tblRiskRegister3[[#This Row],[Expectancy Score]],"")</f>
        <v>15</v>
      </c>
      <c r="AB76" s="24">
        <f>tblRiskRegister3[[#This Row],[Risk Score]]</f>
        <v>15</v>
      </c>
      <c r="AC76" s="79" t="s">
        <v>478</v>
      </c>
      <c r="AD76" s="206">
        <v>8.5</v>
      </c>
      <c r="AE76" s="194" t="s">
        <v>204</v>
      </c>
      <c r="AF76" s="194" t="s">
        <v>388</v>
      </c>
      <c r="AG76" s="213" t="s">
        <v>675</v>
      </c>
      <c r="AH76" s="13">
        <v>4</v>
      </c>
      <c r="AI76" s="22">
        <f>IFERROR(VLOOKUP(10*tblRiskRegister3[[#This Row],[Risk Treatment Safeguard Maturity Score]]+tblRiskRegister3[[#This Row],[VCDB Index]],tblHITIndexWeightTable[],4,FALSE),"")</f>
        <v>1</v>
      </c>
      <c r="AJ76" s="300">
        <v>2</v>
      </c>
      <c r="AK76" s="300">
        <v>2</v>
      </c>
      <c r="AL76" s="300">
        <v>2</v>
      </c>
      <c r="AM76" s="300">
        <v>3</v>
      </c>
      <c r="AN76" s="100">
        <f>IFERROR(MAX(tblRiskRegister3[[#This Row],[Risk Treatment Safeguard Impact to Mission]:[Risk Treatment Safeguard Impact to Obligations]])*tblRiskRegister3[[#This Row],[Risk Treatment
Safeguard Expectancy Score]],"")</f>
        <v>3</v>
      </c>
      <c r="AO76" s="100" t="str">
        <f>IF(tblRiskRegister3[[#This Row],[Risk Score]]&gt;AcceptableRisk1,IF(tblRiskRegister3[[#This Row],[Risk Treatment Safeguard Risk Score]]&lt;AcceptableRisk1, IF(tblRiskRegister3[[#This Row],[Risk Treatment Safeguard Risk Score]]&lt;=tblRiskRegister3[[#This Row],[Risk Score]],"Yes","No"),"No"),"Yes")</f>
        <v>Yes</v>
      </c>
      <c r="AP76" s="15"/>
      <c r="AQ76" s="15" t="s">
        <v>591</v>
      </c>
      <c r="AR76" s="16">
        <v>2022</v>
      </c>
    </row>
    <row r="77" spans="2:44" ht="25.5" x14ac:dyDescent="0.2">
      <c r="B77" s="207">
        <v>8.6</v>
      </c>
      <c r="C77" s="194" t="s">
        <v>205</v>
      </c>
      <c r="D77" s="88" t="s">
        <v>90</v>
      </c>
      <c r="E77" s="274" t="s">
        <v>656</v>
      </c>
      <c r="F77" s="14"/>
      <c r="G77" s="88" t="s">
        <v>463</v>
      </c>
      <c r="H77" s="88" t="s">
        <v>463</v>
      </c>
      <c r="I77" s="223"/>
      <c r="J77" s="292" t="s">
        <v>666</v>
      </c>
      <c r="K77" s="292" t="s">
        <v>666</v>
      </c>
      <c r="L77" s="292" t="s">
        <v>666</v>
      </c>
      <c r="M77" s="292" t="s">
        <v>666</v>
      </c>
      <c r="N77" s="292" t="s">
        <v>666</v>
      </c>
      <c r="O77" s="295">
        <f>COUNTIF(tblRiskRegister3[[#This Row],[Defends Against Malware]:[Defends Against Targeted Intrusions]],"Yes")</f>
        <v>0</v>
      </c>
      <c r="P77" s="12"/>
      <c r="Q77" s="12"/>
      <c r="R77" s="12"/>
      <c r="S77" s="12"/>
      <c r="T77" s="198"/>
      <c r="U77" s="199">
        <f>IFERROR(VLOOKUP(tblRiskRegister3[[#This Row],[Asset Class]],tblVCDBIndex[],4,FALSE),"")</f>
        <v>1</v>
      </c>
      <c r="V77" s="24" t="str">
        <f>IFERROR(VLOOKUP(10*tblRiskRegister3[[#This Row],[Safeguard Maturity Score]]+tblRiskRegister3[[#This Row],[VCDB Index]],tblHITIndexWeightTable[],4,FALSE),"")</f>
        <v/>
      </c>
      <c r="W77" s="24"/>
      <c r="X77" s="24"/>
      <c r="Y77" s="24"/>
      <c r="Z77" s="24"/>
      <c r="AA77" s="24" t="str">
        <f>IFERROR(MAX(tblRiskRegister3[[#This Row],[Impact to Mission]:[Impact to Obligations]])*tblRiskRegister3[[#This Row],[Expectancy Score]],"")</f>
        <v/>
      </c>
      <c r="AB77" s="24" t="str">
        <f>tblRiskRegister3[[#This Row],[Risk Score]]</f>
        <v/>
      </c>
      <c r="AC77" s="79"/>
      <c r="AD77" s="206">
        <v>8.6</v>
      </c>
      <c r="AE77" s="194" t="s">
        <v>205</v>
      </c>
      <c r="AF77" s="194" t="s">
        <v>389</v>
      </c>
      <c r="AG77" s="213"/>
      <c r="AH77" s="13"/>
      <c r="AI77" s="22" t="str">
        <f>IFERROR(VLOOKUP(10*tblRiskRegister3[[#This Row],[Risk Treatment Safeguard Maturity Score]]+tblRiskRegister3[[#This Row],[VCDB Index]],tblHITIndexWeightTable[],4,FALSE),"")</f>
        <v/>
      </c>
      <c r="AJ77" s="300"/>
      <c r="AK77" s="300"/>
      <c r="AL77" s="300"/>
      <c r="AM77" s="300"/>
      <c r="AN77" s="100" t="str">
        <f>IFERROR(MAX(tblRiskRegister3[[#This Row],[Risk Treatment Safeguard Impact to Mission]:[Risk Treatment Safeguard Impact to Obligations]])*tblRiskRegister3[[#This Row],[Risk Treatment
Safeguard Expectancy Score]],"")</f>
        <v/>
      </c>
      <c r="AO77" s="100" t="str">
        <f>IF(tblRiskRegister3[[#This Row],[Risk Score]]&gt;AcceptableRisk1,IF(tblRiskRegister3[[#This Row],[Risk Treatment Safeguard Risk Score]]&lt;AcceptableRisk1, IF(tblRiskRegister3[[#This Row],[Risk Treatment Safeguard Risk Score]]&lt;=tblRiskRegister3[[#This Row],[Risk Score]],"Yes","No"),"No"),"Yes")</f>
        <v>No</v>
      </c>
      <c r="AP77" s="15"/>
      <c r="AQ77" s="15"/>
      <c r="AR77" s="16"/>
    </row>
    <row r="78" spans="2:44" ht="25.5" x14ac:dyDescent="0.2">
      <c r="B78" s="207">
        <v>8.6999999999999993</v>
      </c>
      <c r="C78" s="194" t="s">
        <v>206</v>
      </c>
      <c r="D78" s="88" t="s">
        <v>90</v>
      </c>
      <c r="E78" s="274" t="s">
        <v>656</v>
      </c>
      <c r="F78" s="14"/>
      <c r="G78" s="88" t="s">
        <v>463</v>
      </c>
      <c r="H78" s="88" t="s">
        <v>463</v>
      </c>
      <c r="I78" s="223"/>
      <c r="J78" s="292" t="s">
        <v>666</v>
      </c>
      <c r="K78" s="292" t="s">
        <v>666</v>
      </c>
      <c r="L78" s="292" t="s">
        <v>666</v>
      </c>
      <c r="M78" s="292" t="s">
        <v>666</v>
      </c>
      <c r="N78" s="292" t="s">
        <v>666</v>
      </c>
      <c r="O78" s="295">
        <f>COUNTIF(tblRiskRegister3[[#This Row],[Defends Against Malware]:[Defends Against Targeted Intrusions]],"Yes")</f>
        <v>0</v>
      </c>
      <c r="P78" s="12"/>
      <c r="Q78" s="12"/>
      <c r="R78" s="12"/>
      <c r="S78" s="12"/>
      <c r="T78" s="198"/>
      <c r="U78" s="199">
        <f>IFERROR(VLOOKUP(tblRiskRegister3[[#This Row],[Asset Class]],tblVCDBIndex[],4,FALSE),"")</f>
        <v>1</v>
      </c>
      <c r="V78" s="24" t="str">
        <f>IFERROR(VLOOKUP(10*tblRiskRegister3[[#This Row],[Safeguard Maturity Score]]+tblRiskRegister3[[#This Row],[VCDB Index]],tblHITIndexWeightTable[],4,FALSE),"")</f>
        <v/>
      </c>
      <c r="W78" s="24"/>
      <c r="X78" s="24"/>
      <c r="Y78" s="24"/>
      <c r="Z78" s="24"/>
      <c r="AA78" s="24" t="str">
        <f>IFERROR(MAX(tblRiskRegister3[[#This Row],[Impact to Mission]:[Impact to Obligations]])*tblRiskRegister3[[#This Row],[Expectancy Score]],"")</f>
        <v/>
      </c>
      <c r="AB78" s="24" t="str">
        <f>tblRiskRegister3[[#This Row],[Risk Score]]</f>
        <v/>
      </c>
      <c r="AC78" s="79"/>
      <c r="AD78" s="206">
        <v>8.6999999999999993</v>
      </c>
      <c r="AE78" s="194" t="s">
        <v>206</v>
      </c>
      <c r="AF78" s="194" t="s">
        <v>390</v>
      </c>
      <c r="AG78" s="213"/>
      <c r="AH78" s="13"/>
      <c r="AI78" s="22" t="str">
        <f>IFERROR(VLOOKUP(10*tblRiskRegister3[[#This Row],[Risk Treatment Safeguard Maturity Score]]+tblRiskRegister3[[#This Row],[VCDB Index]],tblHITIndexWeightTable[],4,FALSE),"")</f>
        <v/>
      </c>
      <c r="AJ78" s="300"/>
      <c r="AK78" s="300"/>
      <c r="AL78" s="300"/>
      <c r="AM78" s="300"/>
      <c r="AN78" s="100" t="str">
        <f>IFERROR(MAX(tblRiskRegister3[[#This Row],[Risk Treatment Safeguard Impact to Mission]:[Risk Treatment Safeguard Impact to Obligations]])*tblRiskRegister3[[#This Row],[Risk Treatment
Safeguard Expectancy Score]],"")</f>
        <v/>
      </c>
      <c r="AO78" s="100" t="str">
        <f>IF(tblRiskRegister3[[#This Row],[Risk Score]]&gt;AcceptableRisk1,IF(tblRiskRegister3[[#This Row],[Risk Treatment Safeguard Risk Score]]&lt;AcceptableRisk1, IF(tblRiskRegister3[[#This Row],[Risk Treatment Safeguard Risk Score]]&lt;=tblRiskRegister3[[#This Row],[Risk Score]],"Yes","No"),"No"),"Yes")</f>
        <v>No</v>
      </c>
      <c r="AP78" s="15"/>
      <c r="AQ78" s="15"/>
      <c r="AR78" s="16"/>
    </row>
    <row r="79" spans="2:44" ht="45.75" x14ac:dyDescent="0.2">
      <c r="B79" s="207">
        <v>8.8000000000000007</v>
      </c>
      <c r="C79" s="194" t="s">
        <v>184</v>
      </c>
      <c r="D79" s="88" t="s">
        <v>88</v>
      </c>
      <c r="E79" s="274" t="s">
        <v>656</v>
      </c>
      <c r="F79" s="14"/>
      <c r="G79" s="88" t="s">
        <v>463</v>
      </c>
      <c r="H79" s="88" t="s">
        <v>463</v>
      </c>
      <c r="I79" s="223"/>
      <c r="J79" s="292" t="s">
        <v>666</v>
      </c>
      <c r="K79" s="292" t="s">
        <v>666</v>
      </c>
      <c r="L79" s="292" t="s">
        <v>666</v>
      </c>
      <c r="M79" s="292" t="s">
        <v>666</v>
      </c>
      <c r="N79" s="292" t="s">
        <v>666</v>
      </c>
      <c r="O79" s="295">
        <f>COUNTIF(tblRiskRegister3[[#This Row],[Defends Against Malware]:[Defends Against Targeted Intrusions]],"Yes")</f>
        <v>0</v>
      </c>
      <c r="P79" s="12"/>
      <c r="Q79" s="12"/>
      <c r="R79" s="12"/>
      <c r="S79" s="12"/>
      <c r="T79" s="198"/>
      <c r="U79" s="199">
        <f>IFERROR(VLOOKUP(tblRiskRegister3[[#This Row],[Asset Class]],tblVCDBIndex[],4,FALSE),"")</f>
        <v>1</v>
      </c>
      <c r="V79" s="24" t="str">
        <f>IFERROR(VLOOKUP(10*tblRiskRegister3[[#This Row],[Safeguard Maturity Score]]+tblRiskRegister3[[#This Row],[VCDB Index]],tblHITIndexWeightTable[],4,FALSE),"")</f>
        <v/>
      </c>
      <c r="W79" s="24"/>
      <c r="X79" s="24"/>
      <c r="Y79" s="24"/>
      <c r="Z79" s="24"/>
      <c r="AA79" s="24" t="str">
        <f>IFERROR(MAX(tblRiskRegister3[[#This Row],[Impact to Mission]:[Impact to Obligations]])*tblRiskRegister3[[#This Row],[Expectancy Score]],"")</f>
        <v/>
      </c>
      <c r="AB79" s="24" t="str">
        <f>tblRiskRegister3[[#This Row],[Risk Score]]</f>
        <v/>
      </c>
      <c r="AC79" s="79"/>
      <c r="AD79" s="206">
        <v>8.8000000000000007</v>
      </c>
      <c r="AE79" s="194" t="s">
        <v>184</v>
      </c>
      <c r="AF79" s="194" t="s">
        <v>560</v>
      </c>
      <c r="AG79" s="213"/>
      <c r="AH79" s="13"/>
      <c r="AI79" s="22" t="str">
        <f>IFERROR(VLOOKUP(10*tblRiskRegister3[[#This Row],[Risk Treatment Safeguard Maturity Score]]+tblRiskRegister3[[#This Row],[VCDB Index]],tblHITIndexWeightTable[],4,FALSE),"")</f>
        <v/>
      </c>
      <c r="AJ79" s="300"/>
      <c r="AK79" s="300"/>
      <c r="AL79" s="300"/>
      <c r="AM79" s="300"/>
      <c r="AN79" s="100" t="str">
        <f>IFERROR(MAX(tblRiskRegister3[[#This Row],[Risk Treatment Safeguard Impact to Mission]:[Risk Treatment Safeguard Impact to Obligations]])*tblRiskRegister3[[#This Row],[Risk Treatment
Safeguard Expectancy Score]],"")</f>
        <v/>
      </c>
      <c r="AO79" s="100" t="str">
        <f>IF(tblRiskRegister3[[#This Row],[Risk Score]]&gt;AcceptableRisk1,IF(tblRiskRegister3[[#This Row],[Risk Treatment Safeguard Risk Score]]&lt;AcceptableRisk1, IF(tblRiskRegister3[[#This Row],[Risk Treatment Safeguard Risk Score]]&lt;=tblRiskRegister3[[#This Row],[Risk Score]],"Yes","No"),"No"),"Yes")</f>
        <v>No</v>
      </c>
      <c r="AP79" s="15"/>
      <c r="AQ79" s="15"/>
      <c r="AR79" s="16"/>
    </row>
    <row r="80" spans="2:44" ht="25.5" x14ac:dyDescent="0.2">
      <c r="B80" s="207">
        <v>8.9</v>
      </c>
      <c r="C80" s="194" t="s">
        <v>207</v>
      </c>
      <c r="D80" s="88" t="s">
        <v>90</v>
      </c>
      <c r="E80" s="274" t="s">
        <v>656</v>
      </c>
      <c r="F80" s="14"/>
      <c r="G80" s="88" t="s">
        <v>463</v>
      </c>
      <c r="H80" s="88" t="s">
        <v>463</v>
      </c>
      <c r="I80" s="223"/>
      <c r="J80" s="293" t="s">
        <v>667</v>
      </c>
      <c r="K80" s="293" t="s">
        <v>667</v>
      </c>
      <c r="L80" s="293" t="s">
        <v>667</v>
      </c>
      <c r="M80" s="293" t="s">
        <v>667</v>
      </c>
      <c r="N80" s="293" t="s">
        <v>667</v>
      </c>
      <c r="O80" s="295">
        <f>COUNTIF(tblRiskRegister3[[#This Row],[Defends Against Malware]:[Defends Against Targeted Intrusions]],"Yes")</f>
        <v>5</v>
      </c>
      <c r="P80" s="12"/>
      <c r="Q80" s="12"/>
      <c r="R80" s="12"/>
      <c r="S80" s="12"/>
      <c r="T80" s="198"/>
      <c r="U80" s="199">
        <f>IFERROR(VLOOKUP(tblRiskRegister3[[#This Row],[Asset Class]],tblVCDBIndex[],4,FALSE),"")</f>
        <v>1</v>
      </c>
      <c r="V80" s="24" t="str">
        <f>IFERROR(VLOOKUP(10*tblRiskRegister3[[#This Row],[Safeguard Maturity Score]]+tblRiskRegister3[[#This Row],[VCDB Index]],tblHITIndexWeightTable[],4,FALSE),"")</f>
        <v/>
      </c>
      <c r="W80" s="24"/>
      <c r="X80" s="24"/>
      <c r="Y80" s="24"/>
      <c r="Z80" s="24"/>
      <c r="AA80" s="24" t="str">
        <f>IFERROR(MAX(tblRiskRegister3[[#This Row],[Impact to Mission]:[Impact to Obligations]])*tblRiskRegister3[[#This Row],[Expectancy Score]],"")</f>
        <v/>
      </c>
      <c r="AB80" s="24" t="str">
        <f>tblRiskRegister3[[#This Row],[Risk Score]]</f>
        <v/>
      </c>
      <c r="AC80" s="79"/>
      <c r="AD80" s="206">
        <v>8.9</v>
      </c>
      <c r="AE80" s="194" t="s">
        <v>207</v>
      </c>
      <c r="AF80" s="194" t="s">
        <v>391</v>
      </c>
      <c r="AG80" s="213"/>
      <c r="AH80" s="13"/>
      <c r="AI80" s="22" t="str">
        <f>IFERROR(VLOOKUP(10*tblRiskRegister3[[#This Row],[Risk Treatment Safeguard Maturity Score]]+tblRiskRegister3[[#This Row],[VCDB Index]],tblHITIndexWeightTable[],4,FALSE),"")</f>
        <v/>
      </c>
      <c r="AJ80" s="300"/>
      <c r="AK80" s="300"/>
      <c r="AL80" s="300"/>
      <c r="AM80" s="300"/>
      <c r="AN80" s="100" t="str">
        <f>IFERROR(MAX(tblRiskRegister3[[#This Row],[Risk Treatment Safeguard Impact to Mission]:[Risk Treatment Safeguard Impact to Obligations]])*tblRiskRegister3[[#This Row],[Risk Treatment
Safeguard Expectancy Score]],"")</f>
        <v/>
      </c>
      <c r="AO80" s="100" t="str">
        <f>IF(tblRiskRegister3[[#This Row],[Risk Score]]&gt;AcceptableRisk1,IF(tblRiskRegister3[[#This Row],[Risk Treatment Safeguard Risk Score]]&lt;AcceptableRisk1, IF(tblRiskRegister3[[#This Row],[Risk Treatment Safeguard Risk Score]]&lt;=tblRiskRegister3[[#This Row],[Risk Score]],"Yes","No"),"No"),"Yes")</f>
        <v>No</v>
      </c>
      <c r="AP80" s="15"/>
      <c r="AQ80" s="15"/>
      <c r="AR80" s="16"/>
    </row>
    <row r="81" spans="2:44" x14ac:dyDescent="0.2">
      <c r="B81" s="207" t="s">
        <v>530</v>
      </c>
      <c r="C81" s="194" t="s">
        <v>208</v>
      </c>
      <c r="D81" s="88" t="s">
        <v>90</v>
      </c>
      <c r="E81" s="274" t="s">
        <v>657</v>
      </c>
      <c r="F81" s="14"/>
      <c r="G81" s="88" t="s">
        <v>463</v>
      </c>
      <c r="H81" s="88" t="s">
        <v>463</v>
      </c>
      <c r="I81" s="223"/>
      <c r="J81" s="293" t="s">
        <v>667</v>
      </c>
      <c r="K81" s="293" t="s">
        <v>667</v>
      </c>
      <c r="L81" s="293" t="s">
        <v>667</v>
      </c>
      <c r="M81" s="293" t="s">
        <v>667</v>
      </c>
      <c r="N81" s="293" t="s">
        <v>667</v>
      </c>
      <c r="O81" s="295">
        <f>COUNTIF(tblRiskRegister3[[#This Row],[Defends Against Malware]:[Defends Against Targeted Intrusions]],"Yes")</f>
        <v>5</v>
      </c>
      <c r="P81" s="12"/>
      <c r="Q81" s="12"/>
      <c r="R81" s="12"/>
      <c r="S81" s="12"/>
      <c r="T81" s="198"/>
      <c r="U81" s="199">
        <f>IFERROR(VLOOKUP(tblRiskRegister3[[#This Row],[Asset Class]],tblVCDBIndex[],4,FALSE),"")</f>
        <v>1</v>
      </c>
      <c r="V81" s="24" t="str">
        <f>IFERROR(VLOOKUP(10*tblRiskRegister3[[#This Row],[Safeguard Maturity Score]]+tblRiskRegister3[[#This Row],[VCDB Index]],tblHITIndexWeightTable[],4,FALSE),"")</f>
        <v/>
      </c>
      <c r="W81" s="24"/>
      <c r="X81" s="24"/>
      <c r="Y81" s="24"/>
      <c r="Z81" s="24"/>
      <c r="AA81" s="24" t="str">
        <f>IFERROR(MAX(tblRiskRegister3[[#This Row],[Impact to Mission]:[Impact to Obligations]])*tblRiskRegister3[[#This Row],[Expectancy Score]],"")</f>
        <v/>
      </c>
      <c r="AB81" s="24" t="str">
        <f>tblRiskRegister3[[#This Row],[Risk Score]]</f>
        <v/>
      </c>
      <c r="AC81" s="79"/>
      <c r="AD81" s="206">
        <v>8.1</v>
      </c>
      <c r="AE81" s="194" t="s">
        <v>208</v>
      </c>
      <c r="AF81" s="194" t="s">
        <v>392</v>
      </c>
      <c r="AG81" s="213"/>
      <c r="AH81" s="13"/>
      <c r="AI81" s="22" t="str">
        <f>IFERROR(VLOOKUP(10*tblRiskRegister3[[#This Row],[Risk Treatment Safeguard Maturity Score]]+tblRiskRegister3[[#This Row],[VCDB Index]],tblHITIndexWeightTable[],4,FALSE),"")</f>
        <v/>
      </c>
      <c r="AJ81" s="300"/>
      <c r="AK81" s="300"/>
      <c r="AL81" s="300"/>
      <c r="AM81" s="300"/>
      <c r="AN81" s="100" t="str">
        <f>IFERROR(MAX(tblRiskRegister3[[#This Row],[Risk Treatment Safeguard Impact to Mission]:[Risk Treatment Safeguard Impact to Obligations]])*tblRiskRegister3[[#This Row],[Risk Treatment
Safeguard Expectancy Score]],"")</f>
        <v/>
      </c>
      <c r="AO81" s="100" t="str">
        <f>IF(tblRiskRegister3[[#This Row],[Risk Score]]&gt;AcceptableRisk1,IF(tblRiskRegister3[[#This Row],[Risk Treatment Safeguard Risk Score]]&lt;AcceptableRisk1, IF(tblRiskRegister3[[#This Row],[Risk Treatment Safeguard Risk Score]]&lt;=tblRiskRegister3[[#This Row],[Risk Score]],"Yes","No"),"No"),"Yes")</f>
        <v>No</v>
      </c>
      <c r="AP81" s="15"/>
      <c r="AQ81" s="15"/>
      <c r="AR81" s="16"/>
    </row>
    <row r="82" spans="2:44" ht="38.25" x14ac:dyDescent="0.2">
      <c r="B82" s="207">
        <v>8.11</v>
      </c>
      <c r="C82" s="194" t="s">
        <v>209</v>
      </c>
      <c r="D82" s="88" t="s">
        <v>90</v>
      </c>
      <c r="E82" s="274" t="s">
        <v>656</v>
      </c>
      <c r="F82" s="14"/>
      <c r="G82" s="88" t="s">
        <v>463</v>
      </c>
      <c r="H82" s="88" t="s">
        <v>463</v>
      </c>
      <c r="I82" s="223"/>
      <c r="J82" s="292" t="s">
        <v>666</v>
      </c>
      <c r="K82" s="292" t="s">
        <v>666</v>
      </c>
      <c r="L82" s="292" t="s">
        <v>666</v>
      </c>
      <c r="M82" s="292" t="s">
        <v>666</v>
      </c>
      <c r="N82" s="293" t="s">
        <v>667</v>
      </c>
      <c r="O82" s="295">
        <f>COUNTIF(tblRiskRegister3[[#This Row],[Defends Against Malware]:[Defends Against Targeted Intrusions]],"Yes")</f>
        <v>1</v>
      </c>
      <c r="P82" s="12"/>
      <c r="Q82" s="12"/>
      <c r="R82" s="12"/>
      <c r="S82" s="12"/>
      <c r="T82" s="198"/>
      <c r="U82" s="199">
        <f>IFERROR(VLOOKUP(tblRiskRegister3[[#This Row],[Asset Class]],tblVCDBIndex[],4,FALSE),"")</f>
        <v>1</v>
      </c>
      <c r="V82" s="24" t="str">
        <f>IFERROR(VLOOKUP(10*tblRiskRegister3[[#This Row],[Safeguard Maturity Score]]+tblRiskRegister3[[#This Row],[VCDB Index]],tblHITIndexWeightTable[],4,FALSE),"")</f>
        <v/>
      </c>
      <c r="W82" s="24"/>
      <c r="X82" s="24"/>
      <c r="Y82" s="24"/>
      <c r="Z82" s="24"/>
      <c r="AA82" s="24" t="str">
        <f>IFERROR(MAX(tblRiskRegister3[[#This Row],[Impact to Mission]:[Impact to Obligations]])*tblRiskRegister3[[#This Row],[Expectancy Score]],"")</f>
        <v/>
      </c>
      <c r="AB82" s="24" t="str">
        <f>tblRiskRegister3[[#This Row],[Risk Score]]</f>
        <v/>
      </c>
      <c r="AC82" s="79"/>
      <c r="AD82" s="206">
        <v>8.11</v>
      </c>
      <c r="AE82" s="194" t="s">
        <v>209</v>
      </c>
      <c r="AF82" s="194" t="s">
        <v>393</v>
      </c>
      <c r="AG82" s="213"/>
      <c r="AH82" s="13"/>
      <c r="AI82" s="22" t="str">
        <f>IFERROR(VLOOKUP(10*tblRiskRegister3[[#This Row],[Risk Treatment Safeguard Maturity Score]]+tblRiskRegister3[[#This Row],[VCDB Index]],tblHITIndexWeightTable[],4,FALSE),"")</f>
        <v/>
      </c>
      <c r="AJ82" s="300"/>
      <c r="AK82" s="300"/>
      <c r="AL82" s="300"/>
      <c r="AM82" s="300"/>
      <c r="AN82" s="100" t="str">
        <f>IFERROR(MAX(tblRiskRegister3[[#This Row],[Risk Treatment Safeguard Impact to Mission]:[Risk Treatment Safeguard Impact to Obligations]])*tblRiskRegister3[[#This Row],[Risk Treatment
Safeguard Expectancy Score]],"")</f>
        <v/>
      </c>
      <c r="AO82" s="100" t="str">
        <f>IF(tblRiskRegister3[[#This Row],[Risk Score]]&gt;AcceptableRisk1,IF(tblRiskRegister3[[#This Row],[Risk Treatment Safeguard Risk Score]]&lt;AcceptableRisk1, IF(tblRiskRegister3[[#This Row],[Risk Treatment Safeguard Risk Score]]&lt;=tblRiskRegister3[[#This Row],[Risk Score]],"Yes","No"),"No"),"Yes")</f>
        <v>No</v>
      </c>
      <c r="AP82" s="15"/>
      <c r="AQ82" s="15"/>
      <c r="AR82" s="16"/>
    </row>
    <row r="83" spans="2:44" ht="51" x14ac:dyDescent="0.2">
      <c r="B83" s="207">
        <v>8.1199999999999992</v>
      </c>
      <c r="C83" s="194" t="s">
        <v>544</v>
      </c>
      <c r="D83" s="88" t="s">
        <v>87</v>
      </c>
      <c r="E83" s="274" t="s">
        <v>656</v>
      </c>
      <c r="F83" s="14"/>
      <c r="G83" s="88"/>
      <c r="H83" s="88" t="s">
        <v>463</v>
      </c>
      <c r="I83" s="223"/>
      <c r="J83" s="292" t="s">
        <v>666</v>
      </c>
      <c r="K83" s="292" t="s">
        <v>666</v>
      </c>
      <c r="L83" s="292" t="s">
        <v>666</v>
      </c>
      <c r="M83" s="292" t="s">
        <v>666</v>
      </c>
      <c r="N83" s="292" t="s">
        <v>666</v>
      </c>
      <c r="O83" s="295">
        <f>COUNTIF(tblRiskRegister3[[#This Row],[Defends Against Malware]:[Defends Against Targeted Intrusions]],"Yes")</f>
        <v>0</v>
      </c>
      <c r="P83" s="12"/>
      <c r="Q83" s="12"/>
      <c r="R83" s="12"/>
      <c r="S83" s="12"/>
      <c r="T83" s="198"/>
      <c r="U83" s="199">
        <f>IFERROR(VLOOKUP(tblRiskRegister3[[#This Row],[Asset Class]],tblVCDBIndex[],4,FALSE),"")</f>
        <v>3</v>
      </c>
      <c r="V83" s="24" t="str">
        <f>IFERROR(VLOOKUP(10*tblRiskRegister3[[#This Row],[Safeguard Maturity Score]]+tblRiskRegister3[[#This Row],[VCDB Index]],tblHITIndexWeightTable[],4,FALSE),"")</f>
        <v/>
      </c>
      <c r="W83" s="24"/>
      <c r="X83" s="24"/>
      <c r="Y83" s="24"/>
      <c r="Z83" s="24"/>
      <c r="AA83" s="24" t="str">
        <f>IFERROR(MAX(tblRiskRegister3[[#This Row],[Impact to Mission]:[Impact to Obligations]])*tblRiskRegister3[[#This Row],[Expectancy Score]],"")</f>
        <v/>
      </c>
      <c r="AB83" s="24" t="str">
        <f>tblRiskRegister3[[#This Row],[Risk Score]]</f>
        <v/>
      </c>
      <c r="AC83" s="79"/>
      <c r="AD83" s="206">
        <v>8.1199999999999992</v>
      </c>
      <c r="AE83" s="194" t="s">
        <v>544</v>
      </c>
      <c r="AF83" s="194" t="s">
        <v>561</v>
      </c>
      <c r="AG83" s="213"/>
      <c r="AH83" s="13"/>
      <c r="AI83" s="22" t="str">
        <f>IFERROR(VLOOKUP(10*tblRiskRegister3[[#This Row],[Risk Treatment Safeguard Maturity Score]]+tblRiskRegister3[[#This Row],[VCDB Index]],tblHITIndexWeightTable[],4,FALSE),"")</f>
        <v/>
      </c>
      <c r="AJ83" s="300"/>
      <c r="AK83" s="300"/>
      <c r="AL83" s="300"/>
      <c r="AM83" s="300"/>
      <c r="AN83" s="100" t="str">
        <f>IFERROR(MAX(tblRiskRegister3[[#This Row],[Risk Treatment Safeguard Impact to Mission]:[Risk Treatment Safeguard Impact to Obligations]])*tblRiskRegister3[[#This Row],[Risk Treatment
Safeguard Expectancy Score]],"")</f>
        <v/>
      </c>
      <c r="AO83" s="100" t="str">
        <f>IF(tblRiskRegister3[[#This Row],[Risk Score]]&gt;AcceptableRisk1,IF(tblRiskRegister3[[#This Row],[Risk Treatment Safeguard Risk Score]]&lt;AcceptableRisk1, IF(tblRiskRegister3[[#This Row],[Risk Treatment Safeguard Risk Score]]&lt;=tblRiskRegister3[[#This Row],[Risk Score]],"Yes","No"),"No"),"Yes")</f>
        <v>No</v>
      </c>
      <c r="AP83" s="15"/>
      <c r="AQ83" s="15"/>
      <c r="AR83" s="16"/>
    </row>
    <row r="84" spans="2:44" ht="38.25" x14ac:dyDescent="0.2">
      <c r="B84" s="207">
        <v>9.1</v>
      </c>
      <c r="C84" s="194" t="s">
        <v>15</v>
      </c>
      <c r="D84" s="88" t="s">
        <v>89</v>
      </c>
      <c r="E84" s="274" t="s">
        <v>657</v>
      </c>
      <c r="F84" s="14" t="s">
        <v>463</v>
      </c>
      <c r="G84" s="88" t="s">
        <v>463</v>
      </c>
      <c r="H84" s="88" t="s">
        <v>463</v>
      </c>
      <c r="I84" s="223"/>
      <c r="J84" s="293" t="s">
        <v>667</v>
      </c>
      <c r="K84" s="293" t="s">
        <v>667</v>
      </c>
      <c r="L84" s="293" t="s">
        <v>667</v>
      </c>
      <c r="M84" s="292" t="s">
        <v>666</v>
      </c>
      <c r="N84" s="292" t="s">
        <v>666</v>
      </c>
      <c r="O84" s="295">
        <f>COUNTIF(tblRiskRegister3[[#This Row],[Defends Against Malware]:[Defends Against Targeted Intrusions]],"Yes")</f>
        <v>3</v>
      </c>
      <c r="P84" s="12"/>
      <c r="Q84" s="12"/>
      <c r="R84" s="12"/>
      <c r="S84" s="12"/>
      <c r="T84" s="198"/>
      <c r="U84" s="199">
        <f>IFERROR(VLOOKUP(tblRiskRegister3[[#This Row],[Asset Class]],tblVCDBIndex[],4,FALSE),"")</f>
        <v>1</v>
      </c>
      <c r="V84" s="24" t="str">
        <f>IFERROR(VLOOKUP(10*tblRiskRegister3[[#This Row],[Safeguard Maturity Score]]+tblRiskRegister3[[#This Row],[VCDB Index]],tblHITIndexWeightTable[],4,FALSE),"")</f>
        <v/>
      </c>
      <c r="W84" s="24"/>
      <c r="X84" s="24"/>
      <c r="Y84" s="24"/>
      <c r="Z84" s="24"/>
      <c r="AA84" s="24" t="str">
        <f>IFERROR(MAX(tblRiskRegister3[[#This Row],[Impact to Mission]:[Impact to Obligations]])*tblRiskRegister3[[#This Row],[Expectancy Score]],"")</f>
        <v/>
      </c>
      <c r="AB84" s="24" t="str">
        <f>tblRiskRegister3[[#This Row],[Risk Score]]</f>
        <v/>
      </c>
      <c r="AC84" s="79"/>
      <c r="AD84" s="206">
        <v>9.1</v>
      </c>
      <c r="AE84" s="194" t="s">
        <v>15</v>
      </c>
      <c r="AF84" s="194" t="s">
        <v>394</v>
      </c>
      <c r="AG84" s="213"/>
      <c r="AH84" s="13"/>
      <c r="AI84" s="22" t="str">
        <f>IFERROR(VLOOKUP(10*tblRiskRegister3[[#This Row],[Risk Treatment Safeguard Maturity Score]]+tblRiskRegister3[[#This Row],[VCDB Index]],tblHITIndexWeightTable[],4,FALSE),"")</f>
        <v/>
      </c>
      <c r="AJ84" s="300"/>
      <c r="AK84" s="300"/>
      <c r="AL84" s="300"/>
      <c r="AM84" s="300"/>
      <c r="AN84" s="100" t="str">
        <f>IFERROR(MAX(tblRiskRegister3[[#This Row],[Risk Treatment Safeguard Impact to Mission]:[Risk Treatment Safeguard Impact to Obligations]])*tblRiskRegister3[[#This Row],[Risk Treatment
Safeguard Expectancy Score]],"")</f>
        <v/>
      </c>
      <c r="AO84" s="100" t="str">
        <f>IF(tblRiskRegister3[[#This Row],[Risk Score]]&gt;AcceptableRisk1,IF(tblRiskRegister3[[#This Row],[Risk Treatment Safeguard Risk Score]]&lt;AcceptableRisk1, IF(tblRiskRegister3[[#This Row],[Risk Treatment Safeguard Risk Score]]&lt;=tblRiskRegister3[[#This Row],[Risk Score]],"Yes","No"),"No"),"Yes")</f>
        <v>No</v>
      </c>
      <c r="AP84" s="15"/>
      <c r="AQ84" s="15"/>
      <c r="AR84" s="16"/>
    </row>
    <row r="85" spans="2:44" ht="25.5" x14ac:dyDescent="0.2">
      <c r="B85" s="207">
        <v>9.1999999999999993</v>
      </c>
      <c r="C85" s="194" t="s">
        <v>66</v>
      </c>
      <c r="D85" s="88" t="s">
        <v>90</v>
      </c>
      <c r="E85" s="274" t="s">
        <v>657</v>
      </c>
      <c r="F85" s="14" t="s">
        <v>463</v>
      </c>
      <c r="G85" s="88" t="s">
        <v>463</v>
      </c>
      <c r="H85" s="88" t="s">
        <v>463</v>
      </c>
      <c r="I85" s="223"/>
      <c r="J85" s="293" t="s">
        <v>667</v>
      </c>
      <c r="K85" s="293" t="s">
        <v>667</v>
      </c>
      <c r="L85" s="292" t="s">
        <v>666</v>
      </c>
      <c r="M85" s="292" t="s">
        <v>666</v>
      </c>
      <c r="N85" s="293" t="s">
        <v>667</v>
      </c>
      <c r="O85" s="295">
        <f>COUNTIF(tblRiskRegister3[[#This Row],[Defends Against Malware]:[Defends Against Targeted Intrusions]],"Yes")</f>
        <v>3</v>
      </c>
      <c r="P85" s="12"/>
      <c r="Q85" s="12"/>
      <c r="R85" s="12"/>
      <c r="S85" s="12"/>
      <c r="T85" s="198"/>
      <c r="U85" s="199">
        <f>IFERROR(VLOOKUP(tblRiskRegister3[[#This Row],[Asset Class]],tblVCDBIndex[],4,FALSE),"")</f>
        <v>1</v>
      </c>
      <c r="V85" s="24" t="str">
        <f>IFERROR(VLOOKUP(10*tblRiskRegister3[[#This Row],[Safeguard Maturity Score]]+tblRiskRegister3[[#This Row],[VCDB Index]],tblHITIndexWeightTable[],4,FALSE),"")</f>
        <v/>
      </c>
      <c r="W85" s="24"/>
      <c r="X85" s="24"/>
      <c r="Y85" s="24"/>
      <c r="Z85" s="24"/>
      <c r="AA85" s="24" t="str">
        <f>IFERROR(MAX(tblRiskRegister3[[#This Row],[Impact to Mission]:[Impact to Obligations]])*tblRiskRegister3[[#This Row],[Expectancy Score]],"")</f>
        <v/>
      </c>
      <c r="AB85" s="24" t="str">
        <f>tblRiskRegister3[[#This Row],[Risk Score]]</f>
        <v/>
      </c>
      <c r="AC85" s="79"/>
      <c r="AD85" s="206">
        <v>9.1999999999999993</v>
      </c>
      <c r="AE85" s="194" t="s">
        <v>66</v>
      </c>
      <c r="AF85" s="194" t="s">
        <v>395</v>
      </c>
      <c r="AG85" s="213"/>
      <c r="AH85" s="13"/>
      <c r="AI85" s="22" t="str">
        <f>IFERROR(VLOOKUP(10*tblRiskRegister3[[#This Row],[Risk Treatment Safeguard Maturity Score]]+tblRiskRegister3[[#This Row],[VCDB Index]],tblHITIndexWeightTable[],4,FALSE),"")</f>
        <v/>
      </c>
      <c r="AJ85" s="300"/>
      <c r="AK85" s="300"/>
      <c r="AL85" s="300"/>
      <c r="AM85" s="300"/>
      <c r="AN85" s="100" t="str">
        <f>IFERROR(MAX(tblRiskRegister3[[#This Row],[Risk Treatment Safeguard Impact to Mission]:[Risk Treatment Safeguard Impact to Obligations]])*tblRiskRegister3[[#This Row],[Risk Treatment
Safeguard Expectancy Score]],"")</f>
        <v/>
      </c>
      <c r="AO85" s="100" t="str">
        <f>IF(tblRiskRegister3[[#This Row],[Risk Score]]&gt;AcceptableRisk1,IF(tblRiskRegister3[[#This Row],[Risk Treatment Safeguard Risk Score]]&lt;AcceptableRisk1, IF(tblRiskRegister3[[#This Row],[Risk Treatment Safeguard Risk Score]]&lt;=tblRiskRegister3[[#This Row],[Risk Score]],"Yes","No"),"No"),"Yes")</f>
        <v>No</v>
      </c>
      <c r="AP85" s="15"/>
      <c r="AQ85" s="15"/>
      <c r="AR85" s="16"/>
    </row>
    <row r="86" spans="2:44" ht="63.75" x14ac:dyDescent="0.2">
      <c r="B86" s="207">
        <v>9.3000000000000007</v>
      </c>
      <c r="C86" s="194" t="s">
        <v>210</v>
      </c>
      <c r="D86" s="88" t="s">
        <v>90</v>
      </c>
      <c r="E86" s="274" t="s">
        <v>657</v>
      </c>
      <c r="F86" s="14"/>
      <c r="G86" s="88" t="s">
        <v>463</v>
      </c>
      <c r="H86" s="88" t="s">
        <v>463</v>
      </c>
      <c r="I86" s="223"/>
      <c r="J86" s="293" t="s">
        <v>667</v>
      </c>
      <c r="K86" s="293" t="s">
        <v>667</v>
      </c>
      <c r="L86" s="293" t="s">
        <v>667</v>
      </c>
      <c r="M86" s="293" t="s">
        <v>667</v>
      </c>
      <c r="N86" s="293" t="s">
        <v>667</v>
      </c>
      <c r="O86" s="295">
        <f>COUNTIF(tblRiskRegister3[[#This Row],[Defends Against Malware]:[Defends Against Targeted Intrusions]],"Yes")</f>
        <v>5</v>
      </c>
      <c r="P86" s="12"/>
      <c r="Q86" s="12"/>
      <c r="R86" s="12"/>
      <c r="S86" s="12"/>
      <c r="T86" s="198"/>
      <c r="U86" s="199">
        <f>IFERROR(VLOOKUP(tblRiskRegister3[[#This Row],[Asset Class]],tblVCDBIndex[],4,FALSE),"")</f>
        <v>1</v>
      </c>
      <c r="V86" s="24" t="str">
        <f>IFERROR(VLOOKUP(10*tblRiskRegister3[[#This Row],[Safeguard Maturity Score]]+tblRiskRegister3[[#This Row],[VCDB Index]],tblHITIndexWeightTable[],4,FALSE),"")</f>
        <v/>
      </c>
      <c r="W86" s="24"/>
      <c r="X86" s="24"/>
      <c r="Y86" s="24"/>
      <c r="Z86" s="24"/>
      <c r="AA86" s="24" t="str">
        <f>IFERROR(MAX(tblRiskRegister3[[#This Row],[Impact to Mission]:[Impact to Obligations]])*tblRiskRegister3[[#This Row],[Expectancy Score]],"")</f>
        <v/>
      </c>
      <c r="AB86" s="24" t="str">
        <f>tblRiskRegister3[[#This Row],[Risk Score]]</f>
        <v/>
      </c>
      <c r="AC86" s="79"/>
      <c r="AD86" s="206">
        <v>9.3000000000000007</v>
      </c>
      <c r="AE86" s="194" t="s">
        <v>210</v>
      </c>
      <c r="AF86" s="194" t="s">
        <v>396</v>
      </c>
      <c r="AG86" s="213"/>
      <c r="AH86" s="13"/>
      <c r="AI86" s="22" t="str">
        <f>IFERROR(VLOOKUP(10*tblRiskRegister3[[#This Row],[Risk Treatment Safeguard Maturity Score]]+tblRiskRegister3[[#This Row],[VCDB Index]],tblHITIndexWeightTable[],4,FALSE),"")</f>
        <v/>
      </c>
      <c r="AJ86" s="300"/>
      <c r="AK86" s="300"/>
      <c r="AL86" s="300"/>
      <c r="AM86" s="300"/>
      <c r="AN86" s="100" t="str">
        <f>IFERROR(MAX(tblRiskRegister3[[#This Row],[Risk Treatment Safeguard Impact to Mission]:[Risk Treatment Safeguard Impact to Obligations]])*tblRiskRegister3[[#This Row],[Risk Treatment
Safeguard Expectancy Score]],"")</f>
        <v/>
      </c>
      <c r="AO86" s="100" t="str">
        <f>IF(tblRiskRegister3[[#This Row],[Risk Score]]&gt;AcceptableRisk1,IF(tblRiskRegister3[[#This Row],[Risk Treatment Safeguard Risk Score]]&lt;AcceptableRisk1, IF(tblRiskRegister3[[#This Row],[Risk Treatment Safeguard Risk Score]]&lt;=tblRiskRegister3[[#This Row],[Risk Score]],"Yes","No"),"No"),"Yes")</f>
        <v>No</v>
      </c>
      <c r="AP86" s="15"/>
      <c r="AQ86" s="15"/>
      <c r="AR86" s="16"/>
    </row>
    <row r="87" spans="2:44" ht="51" x14ac:dyDescent="0.2">
      <c r="B87" s="207">
        <v>9.4</v>
      </c>
      <c r="C87" s="194" t="s">
        <v>161</v>
      </c>
      <c r="D87" s="88" t="s">
        <v>89</v>
      </c>
      <c r="E87" s="274" t="s">
        <v>657</v>
      </c>
      <c r="F87" s="14"/>
      <c r="G87" s="88" t="s">
        <v>463</v>
      </c>
      <c r="H87" s="88" t="s">
        <v>463</v>
      </c>
      <c r="I87" s="223"/>
      <c r="J87" s="293" t="s">
        <v>667</v>
      </c>
      <c r="K87" s="293" t="s">
        <v>667</v>
      </c>
      <c r="L87" s="293" t="s">
        <v>667</v>
      </c>
      <c r="M87" s="292" t="s">
        <v>666</v>
      </c>
      <c r="N87" s="292" t="s">
        <v>666</v>
      </c>
      <c r="O87" s="295">
        <f>COUNTIF(tblRiskRegister3[[#This Row],[Defends Against Malware]:[Defends Against Targeted Intrusions]],"Yes")</f>
        <v>3</v>
      </c>
      <c r="P87" s="12"/>
      <c r="Q87" s="12"/>
      <c r="R87" s="12"/>
      <c r="S87" s="12"/>
      <c r="T87" s="198"/>
      <c r="U87" s="199">
        <f>IFERROR(VLOOKUP(tblRiskRegister3[[#This Row],[Asset Class]],tblVCDBIndex[],4,FALSE),"")</f>
        <v>1</v>
      </c>
      <c r="V87" s="24" t="str">
        <f>IFERROR(VLOOKUP(10*tblRiskRegister3[[#This Row],[Safeguard Maturity Score]]+tblRiskRegister3[[#This Row],[VCDB Index]],tblHITIndexWeightTable[],4,FALSE),"")</f>
        <v/>
      </c>
      <c r="W87" s="24"/>
      <c r="X87" s="24"/>
      <c r="Y87" s="24"/>
      <c r="Z87" s="24"/>
      <c r="AA87" s="24" t="str">
        <f>IFERROR(MAX(tblRiskRegister3[[#This Row],[Impact to Mission]:[Impact to Obligations]])*tblRiskRegister3[[#This Row],[Expectancy Score]],"")</f>
        <v/>
      </c>
      <c r="AB87" s="24" t="str">
        <f>tblRiskRegister3[[#This Row],[Risk Score]]</f>
        <v/>
      </c>
      <c r="AC87" s="79"/>
      <c r="AD87" s="206">
        <v>9.4</v>
      </c>
      <c r="AE87" s="194" t="s">
        <v>161</v>
      </c>
      <c r="AF87" s="194" t="s">
        <v>397</v>
      </c>
      <c r="AG87" s="213"/>
      <c r="AH87" s="13"/>
      <c r="AI87" s="22" t="str">
        <f>IFERROR(VLOOKUP(10*tblRiskRegister3[[#This Row],[Risk Treatment Safeguard Maturity Score]]+tblRiskRegister3[[#This Row],[VCDB Index]],tblHITIndexWeightTable[],4,FALSE),"")</f>
        <v/>
      </c>
      <c r="AJ87" s="300"/>
      <c r="AK87" s="300"/>
      <c r="AL87" s="300"/>
      <c r="AM87" s="300"/>
      <c r="AN87" s="100" t="str">
        <f>IFERROR(MAX(tblRiskRegister3[[#This Row],[Risk Treatment Safeguard Impact to Mission]:[Risk Treatment Safeguard Impact to Obligations]])*tblRiskRegister3[[#This Row],[Risk Treatment
Safeguard Expectancy Score]],"")</f>
        <v/>
      </c>
      <c r="AO87" s="100" t="str">
        <f>IF(tblRiskRegister3[[#This Row],[Risk Score]]&gt;AcceptableRisk1,IF(tblRiskRegister3[[#This Row],[Risk Treatment Safeguard Risk Score]]&lt;AcceptableRisk1, IF(tblRiskRegister3[[#This Row],[Risk Treatment Safeguard Risk Score]]&lt;=tblRiskRegister3[[#This Row],[Risk Score]],"Yes","No"),"No"),"Yes")</f>
        <v>No</v>
      </c>
      <c r="AP87" s="15"/>
      <c r="AQ87" s="15"/>
      <c r="AR87" s="16"/>
    </row>
    <row r="88" spans="2:44" ht="51" x14ac:dyDescent="0.2">
      <c r="B88" s="207">
        <v>9.5</v>
      </c>
      <c r="C88" s="194" t="s">
        <v>211</v>
      </c>
      <c r="D88" s="88" t="s">
        <v>90</v>
      </c>
      <c r="E88" s="274" t="s">
        <v>657</v>
      </c>
      <c r="F88" s="14"/>
      <c r="G88" s="88" t="s">
        <v>463</v>
      </c>
      <c r="H88" s="88" t="s">
        <v>463</v>
      </c>
      <c r="I88" s="223"/>
      <c r="J88" s="292" t="s">
        <v>666</v>
      </c>
      <c r="K88" s="292" t="s">
        <v>666</v>
      </c>
      <c r="L88" s="292" t="s">
        <v>666</v>
      </c>
      <c r="M88" s="292" t="s">
        <v>666</v>
      </c>
      <c r="N88" s="292" t="s">
        <v>666</v>
      </c>
      <c r="O88" s="295">
        <f>COUNTIF(tblRiskRegister3[[#This Row],[Defends Against Malware]:[Defends Against Targeted Intrusions]],"Yes")</f>
        <v>0</v>
      </c>
      <c r="P88" s="12"/>
      <c r="Q88" s="12"/>
      <c r="R88" s="12"/>
      <c r="S88" s="12"/>
      <c r="T88" s="198"/>
      <c r="U88" s="199">
        <f>IFERROR(VLOOKUP(tblRiskRegister3[[#This Row],[Asset Class]],tblVCDBIndex[],4,FALSE),"")</f>
        <v>1</v>
      </c>
      <c r="V88" s="24" t="str">
        <f>IFERROR(VLOOKUP(10*tblRiskRegister3[[#This Row],[Safeguard Maturity Score]]+tblRiskRegister3[[#This Row],[VCDB Index]],tblHITIndexWeightTable[],4,FALSE),"")</f>
        <v/>
      </c>
      <c r="W88" s="24"/>
      <c r="X88" s="24"/>
      <c r="Y88" s="24"/>
      <c r="Z88" s="24"/>
      <c r="AA88" s="24" t="str">
        <f>IFERROR(MAX(tblRiskRegister3[[#This Row],[Impact to Mission]:[Impact to Obligations]])*tblRiskRegister3[[#This Row],[Expectancy Score]],"")</f>
        <v/>
      </c>
      <c r="AB88" s="24" t="str">
        <f>tblRiskRegister3[[#This Row],[Risk Score]]</f>
        <v/>
      </c>
      <c r="AC88" s="79"/>
      <c r="AD88" s="206">
        <v>9.5</v>
      </c>
      <c r="AE88" s="194" t="s">
        <v>211</v>
      </c>
      <c r="AF88" s="194" t="s">
        <v>398</v>
      </c>
      <c r="AG88" s="213"/>
      <c r="AH88" s="13"/>
      <c r="AI88" s="22" t="str">
        <f>IFERROR(VLOOKUP(10*tblRiskRegister3[[#This Row],[Risk Treatment Safeguard Maturity Score]]+tblRiskRegister3[[#This Row],[VCDB Index]],tblHITIndexWeightTable[],4,FALSE),"")</f>
        <v/>
      </c>
      <c r="AJ88" s="300"/>
      <c r="AK88" s="300"/>
      <c r="AL88" s="300"/>
      <c r="AM88" s="300"/>
      <c r="AN88" s="100" t="str">
        <f>IFERROR(MAX(tblRiskRegister3[[#This Row],[Risk Treatment Safeguard Impact to Mission]:[Risk Treatment Safeguard Impact to Obligations]])*tblRiskRegister3[[#This Row],[Risk Treatment
Safeguard Expectancy Score]],"")</f>
        <v/>
      </c>
      <c r="AO88" s="100" t="str">
        <f>IF(tblRiskRegister3[[#This Row],[Risk Score]]&gt;AcceptableRisk1,IF(tblRiskRegister3[[#This Row],[Risk Treatment Safeguard Risk Score]]&lt;AcceptableRisk1, IF(tblRiskRegister3[[#This Row],[Risk Treatment Safeguard Risk Score]]&lt;=tblRiskRegister3[[#This Row],[Risk Score]],"Yes","No"),"No"),"Yes")</f>
        <v>No</v>
      </c>
      <c r="AP88" s="15"/>
      <c r="AQ88" s="15"/>
      <c r="AR88" s="16"/>
    </row>
    <row r="89" spans="2:44" ht="25.5" x14ac:dyDescent="0.2">
      <c r="B89" s="207">
        <v>9.6</v>
      </c>
      <c r="C89" s="194" t="s">
        <v>212</v>
      </c>
      <c r="D89" s="88" t="s">
        <v>90</v>
      </c>
      <c r="E89" s="274" t="s">
        <v>657</v>
      </c>
      <c r="F89" s="14"/>
      <c r="G89" s="88" t="s">
        <v>463</v>
      </c>
      <c r="H89" s="88" t="s">
        <v>463</v>
      </c>
      <c r="I89" s="223"/>
      <c r="J89" s="293" t="s">
        <v>667</v>
      </c>
      <c r="K89" s="293" t="s">
        <v>667</v>
      </c>
      <c r="L89" s="293" t="s">
        <v>667</v>
      </c>
      <c r="M89" s="293" t="s">
        <v>667</v>
      </c>
      <c r="N89" s="293" t="s">
        <v>667</v>
      </c>
      <c r="O89" s="295">
        <f>COUNTIF(tblRiskRegister3[[#This Row],[Defends Against Malware]:[Defends Against Targeted Intrusions]],"Yes")</f>
        <v>5</v>
      </c>
      <c r="P89" s="12"/>
      <c r="Q89" s="12"/>
      <c r="R89" s="12"/>
      <c r="S89" s="12"/>
      <c r="T89" s="198"/>
      <c r="U89" s="199">
        <f>IFERROR(VLOOKUP(tblRiskRegister3[[#This Row],[Asset Class]],tblVCDBIndex[],4,FALSE),"")</f>
        <v>1</v>
      </c>
      <c r="V89" s="24" t="str">
        <f>IFERROR(VLOOKUP(10*tblRiskRegister3[[#This Row],[Safeguard Maturity Score]]+tblRiskRegister3[[#This Row],[VCDB Index]],tblHITIndexWeightTable[],4,FALSE),"")</f>
        <v/>
      </c>
      <c r="W89" s="24"/>
      <c r="X89" s="24"/>
      <c r="Y89" s="24"/>
      <c r="Z89" s="24"/>
      <c r="AA89" s="24" t="str">
        <f>IFERROR(MAX(tblRiskRegister3[[#This Row],[Impact to Mission]:[Impact to Obligations]])*tblRiskRegister3[[#This Row],[Expectancy Score]],"")</f>
        <v/>
      </c>
      <c r="AB89" s="24" t="str">
        <f>tblRiskRegister3[[#This Row],[Risk Score]]</f>
        <v/>
      </c>
      <c r="AC89" s="79"/>
      <c r="AD89" s="206">
        <v>9.6</v>
      </c>
      <c r="AE89" s="194" t="s">
        <v>212</v>
      </c>
      <c r="AF89" s="194" t="s">
        <v>399</v>
      </c>
      <c r="AG89" s="213"/>
      <c r="AH89" s="13"/>
      <c r="AI89" s="22" t="str">
        <f>IFERROR(VLOOKUP(10*tblRiskRegister3[[#This Row],[Risk Treatment Safeguard Maturity Score]]+tblRiskRegister3[[#This Row],[VCDB Index]],tblHITIndexWeightTable[],4,FALSE),"")</f>
        <v/>
      </c>
      <c r="AJ89" s="300"/>
      <c r="AK89" s="300"/>
      <c r="AL89" s="300"/>
      <c r="AM89" s="300"/>
      <c r="AN89" s="100" t="str">
        <f>IFERROR(MAX(tblRiskRegister3[[#This Row],[Risk Treatment Safeguard Impact to Mission]:[Risk Treatment Safeguard Impact to Obligations]])*tblRiskRegister3[[#This Row],[Risk Treatment
Safeguard Expectancy Score]],"")</f>
        <v/>
      </c>
      <c r="AO89" s="100" t="str">
        <f>IF(tblRiskRegister3[[#This Row],[Risk Score]]&gt;AcceptableRisk1,IF(tblRiskRegister3[[#This Row],[Risk Treatment Safeguard Risk Score]]&lt;AcceptableRisk1, IF(tblRiskRegister3[[#This Row],[Risk Treatment Safeguard Risk Score]]&lt;=tblRiskRegister3[[#This Row],[Risk Score]],"Yes","No"),"No"),"Yes")</f>
        <v>No</v>
      </c>
      <c r="AP89" s="15"/>
      <c r="AQ89" s="15"/>
      <c r="AR89" s="16"/>
    </row>
    <row r="90" spans="2:44" ht="38.25" x14ac:dyDescent="0.2">
      <c r="B90" s="207">
        <v>9.6999999999999993</v>
      </c>
      <c r="C90" s="194" t="s">
        <v>529</v>
      </c>
      <c r="D90" s="88" t="s">
        <v>90</v>
      </c>
      <c r="E90" s="274" t="s">
        <v>657</v>
      </c>
      <c r="F90" s="14"/>
      <c r="G90" s="88"/>
      <c r="H90" s="88" t="s">
        <v>463</v>
      </c>
      <c r="I90" s="223"/>
      <c r="J90" s="293" t="s">
        <v>667</v>
      </c>
      <c r="K90" s="293" t="s">
        <v>667</v>
      </c>
      <c r="L90" s="293" t="s">
        <v>667</v>
      </c>
      <c r="M90" s="293" t="s">
        <v>667</v>
      </c>
      <c r="N90" s="293" t="s">
        <v>667</v>
      </c>
      <c r="O90" s="295">
        <f>COUNTIF(tblRiskRegister3[[#This Row],[Defends Against Malware]:[Defends Against Targeted Intrusions]],"Yes")</f>
        <v>5</v>
      </c>
      <c r="P90" s="12"/>
      <c r="Q90" s="12"/>
      <c r="R90" s="12"/>
      <c r="S90" s="12"/>
      <c r="T90" s="198"/>
      <c r="U90" s="199">
        <f>IFERROR(VLOOKUP(tblRiskRegister3[[#This Row],[Asset Class]],tblVCDBIndex[],4,FALSE),"")</f>
        <v>1</v>
      </c>
      <c r="V90" s="24" t="str">
        <f>IFERROR(VLOOKUP(10*tblRiskRegister3[[#This Row],[Safeguard Maturity Score]]+tblRiskRegister3[[#This Row],[VCDB Index]],tblHITIndexWeightTable[],4,FALSE),"")</f>
        <v/>
      </c>
      <c r="W90" s="24"/>
      <c r="X90" s="24"/>
      <c r="Y90" s="24"/>
      <c r="Z90" s="24"/>
      <c r="AA90" s="24" t="str">
        <f>IFERROR(MAX(tblRiskRegister3[[#This Row],[Impact to Mission]:[Impact to Obligations]])*tblRiskRegister3[[#This Row],[Expectancy Score]],"")</f>
        <v/>
      </c>
      <c r="AB90" s="24" t="str">
        <f>tblRiskRegister3[[#This Row],[Risk Score]]</f>
        <v/>
      </c>
      <c r="AC90" s="79"/>
      <c r="AD90" s="206">
        <v>9.6999999999999993</v>
      </c>
      <c r="AE90" s="194" t="s">
        <v>529</v>
      </c>
      <c r="AF90" s="194" t="s">
        <v>562</v>
      </c>
      <c r="AG90" s="213"/>
      <c r="AH90" s="13"/>
      <c r="AI90" s="22" t="str">
        <f>IFERROR(VLOOKUP(10*tblRiskRegister3[[#This Row],[Risk Treatment Safeguard Maturity Score]]+tblRiskRegister3[[#This Row],[VCDB Index]],tblHITIndexWeightTable[],4,FALSE),"")</f>
        <v/>
      </c>
      <c r="AJ90" s="300"/>
      <c r="AK90" s="300"/>
      <c r="AL90" s="300"/>
      <c r="AM90" s="300"/>
      <c r="AN90" s="100" t="str">
        <f>IFERROR(MAX(tblRiskRegister3[[#This Row],[Risk Treatment Safeguard Impact to Mission]:[Risk Treatment Safeguard Impact to Obligations]])*tblRiskRegister3[[#This Row],[Risk Treatment
Safeguard Expectancy Score]],"")</f>
        <v/>
      </c>
      <c r="AO90" s="100" t="str">
        <f>IF(tblRiskRegister3[[#This Row],[Risk Score]]&gt;AcceptableRisk1,IF(tblRiskRegister3[[#This Row],[Risk Treatment Safeguard Risk Score]]&lt;AcceptableRisk1, IF(tblRiskRegister3[[#This Row],[Risk Treatment Safeguard Risk Score]]&lt;=tblRiskRegister3[[#This Row],[Risk Score]],"Yes","No"),"No"),"Yes")</f>
        <v>No</v>
      </c>
      <c r="AP90" s="15"/>
      <c r="AQ90" s="15"/>
      <c r="AR90" s="16"/>
    </row>
    <row r="91" spans="2:44" ht="25.5" x14ac:dyDescent="0.2">
      <c r="B91" s="207">
        <v>10.1</v>
      </c>
      <c r="C91" s="194" t="s">
        <v>67</v>
      </c>
      <c r="D91" s="88" t="s">
        <v>88</v>
      </c>
      <c r="E91" s="274" t="s">
        <v>657</v>
      </c>
      <c r="F91" s="14" t="s">
        <v>463</v>
      </c>
      <c r="G91" s="88" t="s">
        <v>463</v>
      </c>
      <c r="H91" s="88" t="s">
        <v>463</v>
      </c>
      <c r="I91" s="223"/>
      <c r="J91" s="293" t="s">
        <v>667</v>
      </c>
      <c r="K91" s="293" t="s">
        <v>667</v>
      </c>
      <c r="L91" s="293" t="s">
        <v>667</v>
      </c>
      <c r="M91" s="293" t="s">
        <v>667</v>
      </c>
      <c r="N91" s="293" t="s">
        <v>667</v>
      </c>
      <c r="O91" s="295">
        <f>COUNTIF(tblRiskRegister3[[#This Row],[Defends Against Malware]:[Defends Against Targeted Intrusions]],"Yes")</f>
        <v>5</v>
      </c>
      <c r="P91" s="12"/>
      <c r="Q91" s="12"/>
      <c r="R91" s="12"/>
      <c r="S91" s="12"/>
      <c r="T91" s="198"/>
      <c r="U91" s="199">
        <f>IFERROR(VLOOKUP(tblRiskRegister3[[#This Row],[Asset Class]],tblVCDBIndex[],4,FALSE),"")</f>
        <v>1</v>
      </c>
      <c r="V91" s="24" t="str">
        <f>IFERROR(VLOOKUP(10*tblRiskRegister3[[#This Row],[Safeguard Maturity Score]]+tblRiskRegister3[[#This Row],[VCDB Index]],tblHITIndexWeightTable[],4,FALSE),"")</f>
        <v/>
      </c>
      <c r="W91" s="24"/>
      <c r="X91" s="24"/>
      <c r="Y91" s="24"/>
      <c r="Z91" s="24"/>
      <c r="AA91" s="24" t="str">
        <f>IFERROR(MAX(tblRiskRegister3[[#This Row],[Impact to Mission]:[Impact to Obligations]])*tblRiskRegister3[[#This Row],[Expectancy Score]],"")</f>
        <v/>
      </c>
      <c r="AB91" s="24" t="str">
        <f>tblRiskRegister3[[#This Row],[Risk Score]]</f>
        <v/>
      </c>
      <c r="AC91" s="79"/>
      <c r="AD91" s="206">
        <v>10.1</v>
      </c>
      <c r="AE91" s="194" t="s">
        <v>67</v>
      </c>
      <c r="AF91" s="194" t="s">
        <v>400</v>
      </c>
      <c r="AG91" s="213"/>
      <c r="AH91" s="13"/>
      <c r="AI91" s="22" t="str">
        <f>IFERROR(VLOOKUP(10*tblRiskRegister3[[#This Row],[Risk Treatment Safeguard Maturity Score]]+tblRiskRegister3[[#This Row],[VCDB Index]],tblHITIndexWeightTable[],4,FALSE),"")</f>
        <v/>
      </c>
      <c r="AJ91" s="300"/>
      <c r="AK91" s="300"/>
      <c r="AL91" s="300"/>
      <c r="AM91" s="300"/>
      <c r="AN91" s="100" t="str">
        <f>IFERROR(MAX(tblRiskRegister3[[#This Row],[Risk Treatment Safeguard Impact to Mission]:[Risk Treatment Safeguard Impact to Obligations]])*tblRiskRegister3[[#This Row],[Risk Treatment
Safeguard Expectancy Score]],"")</f>
        <v/>
      </c>
      <c r="AO91" s="100" t="str">
        <f>IF(tblRiskRegister3[[#This Row],[Risk Score]]&gt;AcceptableRisk1,IF(tblRiskRegister3[[#This Row],[Risk Treatment Safeguard Risk Score]]&lt;AcceptableRisk1, IF(tblRiskRegister3[[#This Row],[Risk Treatment Safeguard Risk Score]]&lt;=tblRiskRegister3[[#This Row],[Risk Score]],"Yes","No"),"No"),"Yes")</f>
        <v>No</v>
      </c>
      <c r="AP91" s="15"/>
      <c r="AQ91" s="15"/>
      <c r="AR91" s="16"/>
    </row>
    <row r="92" spans="2:44" ht="38.25" x14ac:dyDescent="0.2">
      <c r="B92" s="207">
        <v>10.199999999999999</v>
      </c>
      <c r="C92" s="194" t="s">
        <v>68</v>
      </c>
      <c r="D92" s="88" t="s">
        <v>88</v>
      </c>
      <c r="E92" s="274" t="s">
        <v>657</v>
      </c>
      <c r="F92" s="14" t="s">
        <v>463</v>
      </c>
      <c r="G92" s="88" t="s">
        <v>463</v>
      </c>
      <c r="H92" s="88" t="s">
        <v>463</v>
      </c>
      <c r="I92" s="223"/>
      <c r="J92" s="293" t="s">
        <v>667</v>
      </c>
      <c r="K92" s="293" t="s">
        <v>667</v>
      </c>
      <c r="L92" s="293" t="s">
        <v>667</v>
      </c>
      <c r="M92" s="293" t="s">
        <v>667</v>
      </c>
      <c r="N92" s="293" t="s">
        <v>667</v>
      </c>
      <c r="O92" s="295">
        <f>COUNTIF(tblRiskRegister3[[#This Row],[Defends Against Malware]:[Defends Against Targeted Intrusions]],"Yes")</f>
        <v>5</v>
      </c>
      <c r="P92" s="12"/>
      <c r="Q92" s="12"/>
      <c r="R92" s="12"/>
      <c r="S92" s="12"/>
      <c r="T92" s="198"/>
      <c r="U92" s="199">
        <f>IFERROR(VLOOKUP(tblRiskRegister3[[#This Row],[Asset Class]],tblVCDBIndex[],4,FALSE),"")</f>
        <v>1</v>
      </c>
      <c r="V92" s="24" t="str">
        <f>IFERROR(VLOOKUP(10*tblRiskRegister3[[#This Row],[Safeguard Maturity Score]]+tblRiskRegister3[[#This Row],[VCDB Index]],tblHITIndexWeightTable[],4,FALSE),"")</f>
        <v/>
      </c>
      <c r="W92" s="24"/>
      <c r="X92" s="24"/>
      <c r="Y92" s="24"/>
      <c r="Z92" s="24"/>
      <c r="AA92" s="24" t="str">
        <f>IFERROR(MAX(tblRiskRegister3[[#This Row],[Impact to Mission]:[Impact to Obligations]])*tblRiskRegister3[[#This Row],[Expectancy Score]],"")</f>
        <v/>
      </c>
      <c r="AB92" s="24" t="str">
        <f>tblRiskRegister3[[#This Row],[Risk Score]]</f>
        <v/>
      </c>
      <c r="AC92" s="79"/>
      <c r="AD92" s="206">
        <v>10.199999999999999</v>
      </c>
      <c r="AE92" s="194" t="s">
        <v>68</v>
      </c>
      <c r="AF92" s="194" t="s">
        <v>401</v>
      </c>
      <c r="AG92" s="213"/>
      <c r="AH92" s="13"/>
      <c r="AI92" s="22" t="str">
        <f>IFERROR(VLOOKUP(10*tblRiskRegister3[[#This Row],[Risk Treatment Safeguard Maturity Score]]+tblRiskRegister3[[#This Row],[VCDB Index]],tblHITIndexWeightTable[],4,FALSE),"")</f>
        <v/>
      </c>
      <c r="AJ92" s="300"/>
      <c r="AK92" s="300"/>
      <c r="AL92" s="300"/>
      <c r="AM92" s="300"/>
      <c r="AN92" s="100" t="str">
        <f>IFERROR(MAX(tblRiskRegister3[[#This Row],[Risk Treatment Safeguard Impact to Mission]:[Risk Treatment Safeguard Impact to Obligations]])*tblRiskRegister3[[#This Row],[Risk Treatment
Safeguard Expectancy Score]],"")</f>
        <v/>
      </c>
      <c r="AO92" s="100" t="str">
        <f>IF(tblRiskRegister3[[#This Row],[Risk Score]]&gt;AcceptableRisk1,IF(tblRiskRegister3[[#This Row],[Risk Treatment Safeguard Risk Score]]&lt;AcceptableRisk1, IF(tblRiskRegister3[[#This Row],[Risk Treatment Safeguard Risk Score]]&lt;=tblRiskRegister3[[#This Row],[Risk Score]],"Yes","No"),"No"),"Yes")</f>
        <v>No</v>
      </c>
      <c r="AP92" s="15"/>
      <c r="AQ92" s="15"/>
      <c r="AR92" s="16"/>
    </row>
    <row r="93" spans="2:44" ht="38.25" x14ac:dyDescent="0.2">
      <c r="B93" s="207">
        <v>10.3</v>
      </c>
      <c r="C93" s="194" t="s">
        <v>69</v>
      </c>
      <c r="D93" s="88" t="s">
        <v>88</v>
      </c>
      <c r="E93" s="274" t="s">
        <v>657</v>
      </c>
      <c r="F93" s="14" t="s">
        <v>463</v>
      </c>
      <c r="G93" s="88" t="s">
        <v>463</v>
      </c>
      <c r="H93" s="88" t="s">
        <v>463</v>
      </c>
      <c r="I93" s="223"/>
      <c r="J93" s="293" t="s">
        <v>667</v>
      </c>
      <c r="K93" s="293" t="s">
        <v>667</v>
      </c>
      <c r="L93" s="293" t="s">
        <v>667</v>
      </c>
      <c r="M93" s="293" t="s">
        <v>667</v>
      </c>
      <c r="N93" s="292" t="s">
        <v>666</v>
      </c>
      <c r="O93" s="295">
        <f>COUNTIF(tblRiskRegister3[[#This Row],[Defends Against Malware]:[Defends Against Targeted Intrusions]],"Yes")</f>
        <v>4</v>
      </c>
      <c r="P93" s="12"/>
      <c r="Q93" s="12"/>
      <c r="R93" s="12"/>
      <c r="S93" s="12"/>
      <c r="T93" s="198"/>
      <c r="U93" s="199">
        <f>IFERROR(VLOOKUP(tblRiskRegister3[[#This Row],[Asset Class]],tblVCDBIndex[],4,FALSE),"")</f>
        <v>1</v>
      </c>
      <c r="V93" s="24" t="str">
        <f>IFERROR(VLOOKUP(10*tblRiskRegister3[[#This Row],[Safeguard Maturity Score]]+tblRiskRegister3[[#This Row],[VCDB Index]],tblHITIndexWeightTable[],4,FALSE),"")</f>
        <v/>
      </c>
      <c r="W93" s="24"/>
      <c r="X93" s="24"/>
      <c r="Y93" s="24"/>
      <c r="Z93" s="24"/>
      <c r="AA93" s="24" t="str">
        <f>IFERROR(MAX(tblRiskRegister3[[#This Row],[Impact to Mission]:[Impact to Obligations]])*tblRiskRegister3[[#This Row],[Expectancy Score]],"")</f>
        <v/>
      </c>
      <c r="AB93" s="24" t="str">
        <f>tblRiskRegister3[[#This Row],[Risk Score]]</f>
        <v/>
      </c>
      <c r="AC93" s="79"/>
      <c r="AD93" s="206">
        <v>10.3</v>
      </c>
      <c r="AE93" s="194" t="s">
        <v>69</v>
      </c>
      <c r="AF93" s="194" t="s">
        <v>402</v>
      </c>
      <c r="AG93" s="213"/>
      <c r="AH93" s="13"/>
      <c r="AI93" s="22" t="str">
        <f>IFERROR(VLOOKUP(10*tblRiskRegister3[[#This Row],[Risk Treatment Safeguard Maturity Score]]+tblRiskRegister3[[#This Row],[VCDB Index]],tblHITIndexWeightTable[],4,FALSE),"")</f>
        <v/>
      </c>
      <c r="AJ93" s="300"/>
      <c r="AK93" s="300"/>
      <c r="AL93" s="300"/>
      <c r="AM93" s="300"/>
      <c r="AN93" s="100" t="str">
        <f>IFERROR(MAX(tblRiskRegister3[[#This Row],[Risk Treatment Safeguard Impact to Mission]:[Risk Treatment Safeguard Impact to Obligations]])*tblRiskRegister3[[#This Row],[Risk Treatment
Safeguard Expectancy Score]],"")</f>
        <v/>
      </c>
      <c r="AO93" s="100" t="str">
        <f>IF(tblRiskRegister3[[#This Row],[Risk Score]]&gt;AcceptableRisk1,IF(tblRiskRegister3[[#This Row],[Risk Treatment Safeguard Risk Score]]&lt;AcceptableRisk1, IF(tblRiskRegister3[[#This Row],[Risk Treatment Safeguard Risk Score]]&lt;=tblRiskRegister3[[#This Row],[Risk Score]],"Yes","No"),"No"),"Yes")</f>
        <v>No</v>
      </c>
      <c r="AP93" s="15"/>
      <c r="AQ93" s="15"/>
      <c r="AR93" s="16"/>
    </row>
    <row r="94" spans="2:44" ht="38.25" x14ac:dyDescent="0.2">
      <c r="B94" s="207">
        <v>10.4</v>
      </c>
      <c r="C94" s="194" t="s">
        <v>185</v>
      </c>
      <c r="D94" s="88" t="s">
        <v>88</v>
      </c>
      <c r="E94" s="274" t="s">
        <v>656</v>
      </c>
      <c r="F94" s="14"/>
      <c r="G94" s="88" t="s">
        <v>463</v>
      </c>
      <c r="H94" s="88" t="s">
        <v>463</v>
      </c>
      <c r="I94" s="223"/>
      <c r="J94" s="292" t="s">
        <v>666</v>
      </c>
      <c r="K94" s="292" t="s">
        <v>666</v>
      </c>
      <c r="L94" s="292" t="s">
        <v>666</v>
      </c>
      <c r="M94" s="292" t="s">
        <v>666</v>
      </c>
      <c r="N94" s="292" t="s">
        <v>666</v>
      </c>
      <c r="O94" s="295">
        <f>COUNTIF(tblRiskRegister3[[#This Row],[Defends Against Malware]:[Defends Against Targeted Intrusions]],"Yes")</f>
        <v>0</v>
      </c>
      <c r="P94" s="12"/>
      <c r="Q94" s="12"/>
      <c r="R94" s="12"/>
      <c r="S94" s="12"/>
      <c r="T94" s="198"/>
      <c r="U94" s="199">
        <f>IFERROR(VLOOKUP(tblRiskRegister3[[#This Row],[Asset Class]],tblVCDBIndex[],4,FALSE),"")</f>
        <v>1</v>
      </c>
      <c r="V94" s="24" t="str">
        <f>IFERROR(VLOOKUP(10*tblRiskRegister3[[#This Row],[Safeguard Maturity Score]]+tblRiskRegister3[[#This Row],[VCDB Index]],tblHITIndexWeightTable[],4,FALSE),"")</f>
        <v/>
      </c>
      <c r="W94" s="24"/>
      <c r="X94" s="24"/>
      <c r="Y94" s="24"/>
      <c r="Z94" s="24"/>
      <c r="AA94" s="24" t="str">
        <f>IFERROR(MAX(tblRiskRegister3[[#This Row],[Impact to Mission]:[Impact to Obligations]])*tblRiskRegister3[[#This Row],[Expectancy Score]],"")</f>
        <v/>
      </c>
      <c r="AB94" s="24" t="str">
        <f>tblRiskRegister3[[#This Row],[Risk Score]]</f>
        <v/>
      </c>
      <c r="AC94" s="79"/>
      <c r="AD94" s="206">
        <v>10.4</v>
      </c>
      <c r="AE94" s="194" t="s">
        <v>185</v>
      </c>
      <c r="AF94" s="194" t="s">
        <v>403</v>
      </c>
      <c r="AG94" s="213"/>
      <c r="AH94" s="13"/>
      <c r="AI94" s="22" t="str">
        <f>IFERROR(VLOOKUP(10*tblRiskRegister3[[#This Row],[Risk Treatment Safeguard Maturity Score]]+tblRiskRegister3[[#This Row],[VCDB Index]],tblHITIndexWeightTable[],4,FALSE),"")</f>
        <v/>
      </c>
      <c r="AJ94" s="300"/>
      <c r="AK94" s="300"/>
      <c r="AL94" s="300"/>
      <c r="AM94" s="300"/>
      <c r="AN94" s="100" t="str">
        <f>IFERROR(MAX(tblRiskRegister3[[#This Row],[Risk Treatment Safeguard Impact to Mission]:[Risk Treatment Safeguard Impact to Obligations]])*tblRiskRegister3[[#This Row],[Risk Treatment
Safeguard Expectancy Score]],"")</f>
        <v/>
      </c>
      <c r="AO94" s="100" t="str">
        <f>IF(tblRiskRegister3[[#This Row],[Risk Score]]&gt;AcceptableRisk1,IF(tblRiskRegister3[[#This Row],[Risk Treatment Safeguard Risk Score]]&lt;AcceptableRisk1, IF(tblRiskRegister3[[#This Row],[Risk Treatment Safeguard Risk Score]]&lt;=tblRiskRegister3[[#This Row],[Risk Score]],"Yes","No"),"No"),"Yes")</f>
        <v>No</v>
      </c>
      <c r="AP94" s="15"/>
      <c r="AQ94" s="15"/>
      <c r="AR94" s="16"/>
    </row>
    <row r="95" spans="2:44" ht="51" x14ac:dyDescent="0.2">
      <c r="B95" s="207">
        <v>10.5</v>
      </c>
      <c r="C95" s="194" t="s">
        <v>186</v>
      </c>
      <c r="D95" s="88" t="s">
        <v>88</v>
      </c>
      <c r="E95" s="274" t="s">
        <v>657</v>
      </c>
      <c r="F95" s="14"/>
      <c r="G95" s="88" t="s">
        <v>463</v>
      </c>
      <c r="H95" s="88" t="s">
        <v>463</v>
      </c>
      <c r="I95" s="223"/>
      <c r="J95" s="293" t="s">
        <v>667</v>
      </c>
      <c r="K95" s="293" t="s">
        <v>667</v>
      </c>
      <c r="L95" s="293" t="s">
        <v>667</v>
      </c>
      <c r="M95" s="293" t="s">
        <v>667</v>
      </c>
      <c r="N95" s="293" t="s">
        <v>667</v>
      </c>
      <c r="O95" s="295">
        <f>COUNTIF(tblRiskRegister3[[#This Row],[Defends Against Malware]:[Defends Against Targeted Intrusions]],"Yes")</f>
        <v>5</v>
      </c>
      <c r="P95" s="12"/>
      <c r="Q95" s="12"/>
      <c r="R95" s="12"/>
      <c r="S95" s="12"/>
      <c r="T95" s="198"/>
      <c r="U95" s="199">
        <f>IFERROR(VLOOKUP(tblRiskRegister3[[#This Row],[Asset Class]],tblVCDBIndex[],4,FALSE),"")</f>
        <v>1</v>
      </c>
      <c r="V95" s="24" t="str">
        <f>IFERROR(VLOOKUP(10*tblRiskRegister3[[#This Row],[Safeguard Maturity Score]]+tblRiskRegister3[[#This Row],[VCDB Index]],tblHITIndexWeightTable[],4,FALSE),"")</f>
        <v/>
      </c>
      <c r="W95" s="24"/>
      <c r="X95" s="24"/>
      <c r="Y95" s="24"/>
      <c r="Z95" s="24"/>
      <c r="AA95" s="24" t="str">
        <f>IFERROR(MAX(tblRiskRegister3[[#This Row],[Impact to Mission]:[Impact to Obligations]])*tblRiskRegister3[[#This Row],[Expectancy Score]],"")</f>
        <v/>
      </c>
      <c r="AB95" s="24" t="str">
        <f>tblRiskRegister3[[#This Row],[Risk Score]]</f>
        <v/>
      </c>
      <c r="AC95" s="79"/>
      <c r="AD95" s="206">
        <v>10.5</v>
      </c>
      <c r="AE95" s="194" t="s">
        <v>186</v>
      </c>
      <c r="AF95" s="194" t="s">
        <v>404</v>
      </c>
      <c r="AG95" s="213"/>
      <c r="AH95" s="13"/>
      <c r="AI95" s="22" t="str">
        <f>IFERROR(VLOOKUP(10*tblRiskRegister3[[#This Row],[Risk Treatment Safeguard Maturity Score]]+tblRiskRegister3[[#This Row],[VCDB Index]],tblHITIndexWeightTable[],4,FALSE),"")</f>
        <v/>
      </c>
      <c r="AJ95" s="300"/>
      <c r="AK95" s="300"/>
      <c r="AL95" s="300"/>
      <c r="AM95" s="300"/>
      <c r="AN95" s="100" t="str">
        <f>IFERROR(MAX(tblRiskRegister3[[#This Row],[Risk Treatment Safeguard Impact to Mission]:[Risk Treatment Safeguard Impact to Obligations]])*tblRiskRegister3[[#This Row],[Risk Treatment
Safeguard Expectancy Score]],"")</f>
        <v/>
      </c>
      <c r="AO95" s="100" t="str">
        <f>IF(tblRiskRegister3[[#This Row],[Risk Score]]&gt;AcceptableRisk1,IF(tblRiskRegister3[[#This Row],[Risk Treatment Safeguard Risk Score]]&lt;AcceptableRisk1, IF(tblRiskRegister3[[#This Row],[Risk Treatment Safeguard Risk Score]]&lt;=tblRiskRegister3[[#This Row],[Risk Score]],"Yes","No"),"No"),"Yes")</f>
        <v>No</v>
      </c>
      <c r="AP95" s="15"/>
      <c r="AQ95" s="15"/>
      <c r="AR95" s="16"/>
    </row>
    <row r="96" spans="2:44" ht="25.5" x14ac:dyDescent="0.2">
      <c r="B96" s="207">
        <v>10.6</v>
      </c>
      <c r="C96" s="194" t="s">
        <v>187</v>
      </c>
      <c r="D96" s="88" t="s">
        <v>88</v>
      </c>
      <c r="E96" s="274" t="s">
        <v>657</v>
      </c>
      <c r="F96" s="14"/>
      <c r="G96" s="88" t="s">
        <v>463</v>
      </c>
      <c r="H96" s="88" t="s">
        <v>463</v>
      </c>
      <c r="I96" s="223"/>
      <c r="J96" s="292" t="s">
        <v>666</v>
      </c>
      <c r="K96" s="292" t="s">
        <v>666</v>
      </c>
      <c r="L96" s="292" t="s">
        <v>666</v>
      </c>
      <c r="M96" s="292" t="s">
        <v>666</v>
      </c>
      <c r="N96" s="292" t="s">
        <v>666</v>
      </c>
      <c r="O96" s="295">
        <f>COUNTIF(tblRiskRegister3[[#This Row],[Defends Against Malware]:[Defends Against Targeted Intrusions]],"Yes")</f>
        <v>0</v>
      </c>
      <c r="P96" s="12"/>
      <c r="Q96" s="12"/>
      <c r="R96" s="12"/>
      <c r="S96" s="12"/>
      <c r="T96" s="198"/>
      <c r="U96" s="199">
        <f>IFERROR(VLOOKUP(tblRiskRegister3[[#This Row],[Asset Class]],tblVCDBIndex[],4,FALSE),"")</f>
        <v>1</v>
      </c>
      <c r="V96" s="24" t="str">
        <f>IFERROR(VLOOKUP(10*tblRiskRegister3[[#This Row],[Safeguard Maturity Score]]+tblRiskRegister3[[#This Row],[VCDB Index]],tblHITIndexWeightTable[],4,FALSE),"")</f>
        <v/>
      </c>
      <c r="W96" s="24"/>
      <c r="X96" s="24"/>
      <c r="Y96" s="24"/>
      <c r="Z96" s="24"/>
      <c r="AA96" s="24" t="str">
        <f>IFERROR(MAX(tblRiskRegister3[[#This Row],[Impact to Mission]:[Impact to Obligations]])*tblRiskRegister3[[#This Row],[Expectancy Score]],"")</f>
        <v/>
      </c>
      <c r="AB96" s="24" t="str">
        <f>tblRiskRegister3[[#This Row],[Risk Score]]</f>
        <v/>
      </c>
      <c r="AC96" s="79"/>
      <c r="AD96" s="206">
        <v>10.6</v>
      </c>
      <c r="AE96" s="194" t="s">
        <v>187</v>
      </c>
      <c r="AF96" s="194" t="s">
        <v>405</v>
      </c>
      <c r="AG96" s="213"/>
      <c r="AH96" s="13"/>
      <c r="AI96" s="22" t="str">
        <f>IFERROR(VLOOKUP(10*tblRiskRegister3[[#This Row],[Risk Treatment Safeguard Maturity Score]]+tblRiskRegister3[[#This Row],[VCDB Index]],tblHITIndexWeightTable[],4,FALSE),"")</f>
        <v/>
      </c>
      <c r="AJ96" s="300"/>
      <c r="AK96" s="300"/>
      <c r="AL96" s="300"/>
      <c r="AM96" s="300"/>
      <c r="AN96" s="100" t="str">
        <f>IFERROR(MAX(tblRiskRegister3[[#This Row],[Risk Treatment Safeguard Impact to Mission]:[Risk Treatment Safeguard Impact to Obligations]])*tblRiskRegister3[[#This Row],[Risk Treatment
Safeguard Expectancy Score]],"")</f>
        <v/>
      </c>
      <c r="AO96" s="100" t="str">
        <f>IF(tblRiskRegister3[[#This Row],[Risk Score]]&gt;AcceptableRisk1,IF(tblRiskRegister3[[#This Row],[Risk Treatment Safeguard Risk Score]]&lt;AcceptableRisk1, IF(tblRiskRegister3[[#This Row],[Risk Treatment Safeguard Risk Score]]&lt;=tblRiskRegister3[[#This Row],[Risk Score]],"Yes","No"),"No"),"Yes")</f>
        <v>No</v>
      </c>
      <c r="AP96" s="15"/>
      <c r="AQ96" s="15"/>
      <c r="AR96" s="16"/>
    </row>
    <row r="97" spans="2:44" ht="25.5" x14ac:dyDescent="0.2">
      <c r="B97" s="207">
        <v>10.7</v>
      </c>
      <c r="C97" s="194" t="s">
        <v>188</v>
      </c>
      <c r="D97" s="88" t="s">
        <v>88</v>
      </c>
      <c r="E97" s="274" t="s">
        <v>656</v>
      </c>
      <c r="F97" s="14"/>
      <c r="G97" s="88" t="s">
        <v>463</v>
      </c>
      <c r="H97" s="88" t="s">
        <v>463</v>
      </c>
      <c r="I97" s="223"/>
      <c r="J97" s="293" t="s">
        <v>667</v>
      </c>
      <c r="K97" s="293" t="s">
        <v>667</v>
      </c>
      <c r="L97" s="293" t="s">
        <v>667</v>
      </c>
      <c r="M97" s="293" t="s">
        <v>667</v>
      </c>
      <c r="N97" s="293" t="s">
        <v>667</v>
      </c>
      <c r="O97" s="295">
        <f>COUNTIF(tblRiskRegister3[[#This Row],[Defends Against Malware]:[Defends Against Targeted Intrusions]],"Yes")</f>
        <v>5</v>
      </c>
      <c r="P97" s="12"/>
      <c r="Q97" s="12"/>
      <c r="R97" s="12"/>
      <c r="S97" s="12"/>
      <c r="T97" s="198"/>
      <c r="U97" s="199">
        <f>IFERROR(VLOOKUP(tblRiskRegister3[[#This Row],[Asset Class]],tblVCDBIndex[],4,FALSE),"")</f>
        <v>1</v>
      </c>
      <c r="V97" s="24" t="str">
        <f>IFERROR(VLOOKUP(10*tblRiskRegister3[[#This Row],[Safeguard Maturity Score]]+tblRiskRegister3[[#This Row],[VCDB Index]],tblHITIndexWeightTable[],4,FALSE),"")</f>
        <v/>
      </c>
      <c r="W97" s="24"/>
      <c r="X97" s="24"/>
      <c r="Y97" s="24"/>
      <c r="Z97" s="24"/>
      <c r="AA97" s="24" t="str">
        <f>IFERROR(MAX(tblRiskRegister3[[#This Row],[Impact to Mission]:[Impact to Obligations]])*tblRiskRegister3[[#This Row],[Expectancy Score]],"")</f>
        <v/>
      </c>
      <c r="AB97" s="24" t="str">
        <f>tblRiskRegister3[[#This Row],[Risk Score]]</f>
        <v/>
      </c>
      <c r="AC97" s="79"/>
      <c r="AD97" s="206">
        <v>10.7</v>
      </c>
      <c r="AE97" s="194" t="s">
        <v>188</v>
      </c>
      <c r="AF97" s="194" t="s">
        <v>406</v>
      </c>
      <c r="AG97" s="213"/>
      <c r="AH97" s="13"/>
      <c r="AI97" s="22" t="str">
        <f>IFERROR(VLOOKUP(10*tblRiskRegister3[[#This Row],[Risk Treatment Safeguard Maturity Score]]+tblRiskRegister3[[#This Row],[VCDB Index]],tblHITIndexWeightTable[],4,FALSE),"")</f>
        <v/>
      </c>
      <c r="AJ97" s="300"/>
      <c r="AK97" s="300"/>
      <c r="AL97" s="300"/>
      <c r="AM97" s="300"/>
      <c r="AN97" s="100" t="str">
        <f>IFERROR(MAX(tblRiskRegister3[[#This Row],[Risk Treatment Safeguard Impact to Mission]:[Risk Treatment Safeguard Impact to Obligations]])*tblRiskRegister3[[#This Row],[Risk Treatment
Safeguard Expectancy Score]],"")</f>
        <v/>
      </c>
      <c r="AO97" s="100" t="str">
        <f>IF(tblRiskRegister3[[#This Row],[Risk Score]]&gt;AcceptableRisk1,IF(tblRiskRegister3[[#This Row],[Risk Treatment Safeguard Risk Score]]&lt;AcceptableRisk1, IF(tblRiskRegister3[[#This Row],[Risk Treatment Safeguard Risk Score]]&lt;=tblRiskRegister3[[#This Row],[Risk Score]],"Yes","No"),"No"),"Yes")</f>
        <v>No</v>
      </c>
      <c r="AP97" s="15"/>
      <c r="AQ97" s="15"/>
      <c r="AR97" s="16"/>
    </row>
    <row r="98" spans="2:44" ht="63.75" x14ac:dyDescent="0.2">
      <c r="B98" s="207">
        <v>11.1</v>
      </c>
      <c r="C98" s="194" t="s">
        <v>70</v>
      </c>
      <c r="D98" s="88" t="s">
        <v>87</v>
      </c>
      <c r="E98" s="275" t="s">
        <v>658</v>
      </c>
      <c r="F98" s="14" t="s">
        <v>463</v>
      </c>
      <c r="G98" s="88" t="s">
        <v>463</v>
      </c>
      <c r="H98" s="88" t="s">
        <v>463</v>
      </c>
      <c r="I98" s="223"/>
      <c r="J98" s="292" t="s">
        <v>666</v>
      </c>
      <c r="K98" s="293" t="s">
        <v>667</v>
      </c>
      <c r="L98" s="292" t="s">
        <v>666</v>
      </c>
      <c r="M98" s="293" t="s">
        <v>667</v>
      </c>
      <c r="N98" s="293" t="s">
        <v>667</v>
      </c>
      <c r="O98" s="295">
        <f>COUNTIF(tblRiskRegister3[[#This Row],[Defends Against Malware]:[Defends Against Targeted Intrusions]],"Yes")</f>
        <v>3</v>
      </c>
      <c r="P98" s="12"/>
      <c r="Q98" s="12"/>
      <c r="R98" s="12"/>
      <c r="S98" s="12"/>
      <c r="T98" s="198"/>
      <c r="U98" s="199">
        <f>IFERROR(VLOOKUP(tblRiskRegister3[[#This Row],[Asset Class]],tblVCDBIndex[],4,FALSE),"")</f>
        <v>3</v>
      </c>
      <c r="V98" s="24" t="str">
        <f>IFERROR(VLOOKUP(10*tblRiskRegister3[[#This Row],[Safeguard Maturity Score]]+tblRiskRegister3[[#This Row],[VCDB Index]],tblHITIndexWeightTable[],4,FALSE),"")</f>
        <v/>
      </c>
      <c r="W98" s="24"/>
      <c r="X98" s="24"/>
      <c r="Y98" s="24"/>
      <c r="Z98" s="24"/>
      <c r="AA98" s="24" t="str">
        <f>IFERROR(MAX(tblRiskRegister3[[#This Row],[Impact to Mission]:[Impact to Obligations]])*tblRiskRegister3[[#This Row],[Expectancy Score]],"")</f>
        <v/>
      </c>
      <c r="AB98" s="24" t="str">
        <f>tblRiskRegister3[[#This Row],[Risk Score]]</f>
        <v/>
      </c>
      <c r="AC98" s="79"/>
      <c r="AD98" s="206">
        <v>11.1</v>
      </c>
      <c r="AE98" s="194" t="s">
        <v>70</v>
      </c>
      <c r="AF98" s="194" t="s">
        <v>407</v>
      </c>
      <c r="AG98" s="213"/>
      <c r="AH98" s="13"/>
      <c r="AI98" s="22" t="str">
        <f>IFERROR(VLOOKUP(10*tblRiskRegister3[[#This Row],[Risk Treatment Safeguard Maturity Score]]+tblRiskRegister3[[#This Row],[VCDB Index]],tblHITIndexWeightTable[],4,FALSE),"")</f>
        <v/>
      </c>
      <c r="AJ98" s="300"/>
      <c r="AK98" s="300"/>
      <c r="AL98" s="300"/>
      <c r="AM98" s="300"/>
      <c r="AN98" s="100" t="str">
        <f>IFERROR(MAX(tblRiskRegister3[[#This Row],[Risk Treatment Safeguard Impact to Mission]:[Risk Treatment Safeguard Impact to Obligations]])*tblRiskRegister3[[#This Row],[Risk Treatment
Safeguard Expectancy Score]],"")</f>
        <v/>
      </c>
      <c r="AO98" s="100" t="str">
        <f>IF(tblRiskRegister3[[#This Row],[Risk Score]]&gt;AcceptableRisk1,IF(tblRiskRegister3[[#This Row],[Risk Treatment Safeguard Risk Score]]&lt;AcceptableRisk1, IF(tblRiskRegister3[[#This Row],[Risk Treatment Safeguard Risk Score]]&lt;=tblRiskRegister3[[#This Row],[Risk Score]],"Yes","No"),"No"),"Yes")</f>
        <v>No</v>
      </c>
      <c r="AP98" s="15"/>
      <c r="AQ98" s="15"/>
      <c r="AR98" s="16"/>
    </row>
    <row r="99" spans="2:44" ht="38.25" x14ac:dyDescent="0.2">
      <c r="B99" s="207">
        <v>11.2</v>
      </c>
      <c r="C99" s="194" t="s">
        <v>71</v>
      </c>
      <c r="D99" s="88" t="s">
        <v>87</v>
      </c>
      <c r="E99" s="275" t="s">
        <v>658</v>
      </c>
      <c r="F99" s="14" t="s">
        <v>463</v>
      </c>
      <c r="G99" s="88" t="s">
        <v>463</v>
      </c>
      <c r="H99" s="88" t="s">
        <v>463</v>
      </c>
      <c r="I99" s="223"/>
      <c r="J99" s="292" t="s">
        <v>666</v>
      </c>
      <c r="K99" s="293" t="s">
        <v>667</v>
      </c>
      <c r="L99" s="292" t="s">
        <v>666</v>
      </c>
      <c r="M99" s="293" t="s">
        <v>667</v>
      </c>
      <c r="N99" s="293" t="s">
        <v>667</v>
      </c>
      <c r="O99" s="295">
        <f>COUNTIF(tblRiskRegister3[[#This Row],[Defends Against Malware]:[Defends Against Targeted Intrusions]],"Yes")</f>
        <v>3</v>
      </c>
      <c r="P99" s="12"/>
      <c r="Q99" s="12"/>
      <c r="R99" s="12"/>
      <c r="S99" s="12"/>
      <c r="T99" s="198"/>
      <c r="U99" s="199">
        <f>IFERROR(VLOOKUP(tblRiskRegister3[[#This Row],[Asset Class]],tblVCDBIndex[],4,FALSE),"")</f>
        <v>3</v>
      </c>
      <c r="V99" s="24" t="str">
        <f>IFERROR(VLOOKUP(10*tblRiskRegister3[[#This Row],[Safeguard Maturity Score]]+tblRiskRegister3[[#This Row],[VCDB Index]],tblHITIndexWeightTable[],4,FALSE),"")</f>
        <v/>
      </c>
      <c r="W99" s="24"/>
      <c r="X99" s="24"/>
      <c r="Y99" s="24"/>
      <c r="Z99" s="24"/>
      <c r="AA99" s="24" t="str">
        <f>IFERROR(MAX(tblRiskRegister3[[#This Row],[Impact to Mission]:[Impact to Obligations]])*tblRiskRegister3[[#This Row],[Expectancy Score]],"")</f>
        <v/>
      </c>
      <c r="AB99" s="24" t="str">
        <f>tblRiskRegister3[[#This Row],[Risk Score]]</f>
        <v/>
      </c>
      <c r="AC99" s="79"/>
      <c r="AD99" s="206">
        <v>11.2</v>
      </c>
      <c r="AE99" s="194" t="s">
        <v>71</v>
      </c>
      <c r="AF99" s="194" t="s">
        <v>408</v>
      </c>
      <c r="AG99" s="213"/>
      <c r="AH99" s="13"/>
      <c r="AI99" s="22" t="str">
        <f>IFERROR(VLOOKUP(10*tblRiskRegister3[[#This Row],[Risk Treatment Safeguard Maturity Score]]+tblRiskRegister3[[#This Row],[VCDB Index]],tblHITIndexWeightTable[],4,FALSE),"")</f>
        <v/>
      </c>
      <c r="AJ99" s="300"/>
      <c r="AK99" s="300"/>
      <c r="AL99" s="300"/>
      <c r="AM99" s="300"/>
      <c r="AN99" s="100" t="str">
        <f>IFERROR(MAX(tblRiskRegister3[[#This Row],[Risk Treatment Safeguard Impact to Mission]:[Risk Treatment Safeguard Impact to Obligations]])*tblRiskRegister3[[#This Row],[Risk Treatment
Safeguard Expectancy Score]],"")</f>
        <v/>
      </c>
      <c r="AO99" s="100" t="str">
        <f>IF(tblRiskRegister3[[#This Row],[Risk Score]]&gt;AcceptableRisk1,IF(tblRiskRegister3[[#This Row],[Risk Treatment Safeguard Risk Score]]&lt;AcceptableRisk1, IF(tblRiskRegister3[[#This Row],[Risk Treatment Safeguard Risk Score]]&lt;=tblRiskRegister3[[#This Row],[Risk Score]],"Yes","No"),"No"),"Yes")</f>
        <v>No</v>
      </c>
      <c r="AP99" s="15"/>
      <c r="AQ99" s="15"/>
      <c r="AR99" s="16"/>
    </row>
    <row r="100" spans="2:44" ht="25.5" x14ac:dyDescent="0.2">
      <c r="B100" s="207">
        <v>11.3</v>
      </c>
      <c r="C100" s="194" t="s">
        <v>72</v>
      </c>
      <c r="D100" s="88" t="s">
        <v>87</v>
      </c>
      <c r="E100" s="274" t="s">
        <v>657</v>
      </c>
      <c r="F100" s="14" t="s">
        <v>463</v>
      </c>
      <c r="G100" s="88" t="s">
        <v>463</v>
      </c>
      <c r="H100" s="88" t="s">
        <v>463</v>
      </c>
      <c r="I100" s="223"/>
      <c r="J100" s="293" t="s">
        <v>667</v>
      </c>
      <c r="K100" s="293" t="s">
        <v>667</v>
      </c>
      <c r="L100" s="293" t="s">
        <v>667</v>
      </c>
      <c r="M100" s="293" t="s">
        <v>667</v>
      </c>
      <c r="N100" s="293" t="s">
        <v>667</v>
      </c>
      <c r="O100" s="295">
        <f>COUNTIF(tblRiskRegister3[[#This Row],[Defends Against Malware]:[Defends Against Targeted Intrusions]],"Yes")</f>
        <v>5</v>
      </c>
      <c r="P100" s="12"/>
      <c r="Q100" s="12"/>
      <c r="R100" s="12"/>
      <c r="S100" s="12"/>
      <c r="T100" s="198"/>
      <c r="U100" s="199">
        <f>IFERROR(VLOOKUP(tblRiskRegister3[[#This Row],[Asset Class]],tblVCDBIndex[],4,FALSE),"")</f>
        <v>3</v>
      </c>
      <c r="V100" s="24" t="str">
        <f>IFERROR(VLOOKUP(10*tblRiskRegister3[[#This Row],[Safeguard Maturity Score]]+tblRiskRegister3[[#This Row],[VCDB Index]],tblHITIndexWeightTable[],4,FALSE),"")</f>
        <v/>
      </c>
      <c r="W100" s="24"/>
      <c r="X100" s="24"/>
      <c r="Y100" s="24"/>
      <c r="Z100" s="24"/>
      <c r="AA100" s="24" t="str">
        <f>IFERROR(MAX(tblRiskRegister3[[#This Row],[Impact to Mission]:[Impact to Obligations]])*tblRiskRegister3[[#This Row],[Expectancy Score]],"")</f>
        <v/>
      </c>
      <c r="AB100" s="24" t="str">
        <f>tblRiskRegister3[[#This Row],[Risk Score]]</f>
        <v/>
      </c>
      <c r="AC100" s="79"/>
      <c r="AD100" s="206">
        <v>11.3</v>
      </c>
      <c r="AE100" s="194" t="s">
        <v>72</v>
      </c>
      <c r="AF100" s="194" t="s">
        <v>409</v>
      </c>
      <c r="AG100" s="213"/>
      <c r="AH100" s="13"/>
      <c r="AI100" s="22" t="str">
        <f>IFERROR(VLOOKUP(10*tblRiskRegister3[[#This Row],[Risk Treatment Safeguard Maturity Score]]+tblRiskRegister3[[#This Row],[VCDB Index]],tblHITIndexWeightTable[],4,FALSE),"")</f>
        <v/>
      </c>
      <c r="AJ100" s="300"/>
      <c r="AK100" s="300"/>
      <c r="AL100" s="300"/>
      <c r="AM100" s="300"/>
      <c r="AN100" s="100" t="str">
        <f>IFERROR(MAX(tblRiskRegister3[[#This Row],[Risk Treatment Safeguard Impact to Mission]:[Risk Treatment Safeguard Impact to Obligations]])*tblRiskRegister3[[#This Row],[Risk Treatment
Safeguard Expectancy Score]],"")</f>
        <v/>
      </c>
      <c r="AO100" s="100" t="str">
        <f>IF(tblRiskRegister3[[#This Row],[Risk Score]]&gt;AcceptableRisk1,IF(tblRiskRegister3[[#This Row],[Risk Treatment Safeguard Risk Score]]&lt;AcceptableRisk1, IF(tblRiskRegister3[[#This Row],[Risk Treatment Safeguard Risk Score]]&lt;=tblRiskRegister3[[#This Row],[Risk Score]],"Yes","No"),"No"),"Yes")</f>
        <v>No</v>
      </c>
      <c r="AP100" s="15"/>
      <c r="AQ100" s="15"/>
      <c r="AR100" s="16"/>
    </row>
    <row r="101" spans="2:44" ht="38.25" x14ac:dyDescent="0.2">
      <c r="B101" s="207">
        <v>11.4</v>
      </c>
      <c r="C101" s="194" t="s">
        <v>73</v>
      </c>
      <c r="D101" s="88" t="s">
        <v>87</v>
      </c>
      <c r="E101" s="275" t="s">
        <v>658</v>
      </c>
      <c r="F101" s="14" t="s">
        <v>463</v>
      </c>
      <c r="G101" s="88" t="s">
        <v>463</v>
      </c>
      <c r="H101" s="88" t="s">
        <v>463</v>
      </c>
      <c r="I101" s="223"/>
      <c r="J101" s="293" t="s">
        <v>667</v>
      </c>
      <c r="K101" s="293" t="s">
        <v>667</v>
      </c>
      <c r="L101" s="293" t="s">
        <v>667</v>
      </c>
      <c r="M101" s="293" t="s">
        <v>667</v>
      </c>
      <c r="N101" s="293" t="s">
        <v>667</v>
      </c>
      <c r="O101" s="295">
        <f>COUNTIF(tblRiskRegister3[[#This Row],[Defends Against Malware]:[Defends Against Targeted Intrusions]],"Yes")</f>
        <v>5</v>
      </c>
      <c r="P101" s="12"/>
      <c r="Q101" s="12"/>
      <c r="R101" s="12"/>
      <c r="S101" s="12"/>
      <c r="T101" s="198"/>
      <c r="U101" s="199">
        <f>IFERROR(VLOOKUP(tblRiskRegister3[[#This Row],[Asset Class]],tblVCDBIndex[],4,FALSE),"")</f>
        <v>3</v>
      </c>
      <c r="V101" s="24" t="str">
        <f>IFERROR(VLOOKUP(10*tblRiskRegister3[[#This Row],[Safeguard Maturity Score]]+tblRiskRegister3[[#This Row],[VCDB Index]],tblHITIndexWeightTable[],4,FALSE),"")</f>
        <v/>
      </c>
      <c r="W101" s="24"/>
      <c r="X101" s="24"/>
      <c r="Y101" s="24"/>
      <c r="Z101" s="24"/>
      <c r="AA101" s="24" t="str">
        <f>IFERROR(MAX(tblRiskRegister3[[#This Row],[Impact to Mission]:[Impact to Obligations]])*tblRiskRegister3[[#This Row],[Expectancy Score]],"")</f>
        <v/>
      </c>
      <c r="AB101" s="24" t="str">
        <f>tblRiskRegister3[[#This Row],[Risk Score]]</f>
        <v/>
      </c>
      <c r="AC101" s="79"/>
      <c r="AD101" s="206">
        <v>11.4</v>
      </c>
      <c r="AE101" s="194" t="s">
        <v>73</v>
      </c>
      <c r="AF101" s="194" t="s">
        <v>410</v>
      </c>
      <c r="AG101" s="213"/>
      <c r="AH101" s="13"/>
      <c r="AI101" s="22" t="str">
        <f>IFERROR(VLOOKUP(10*tblRiskRegister3[[#This Row],[Risk Treatment Safeguard Maturity Score]]+tblRiskRegister3[[#This Row],[VCDB Index]],tblHITIndexWeightTable[],4,FALSE),"")</f>
        <v/>
      </c>
      <c r="AJ101" s="300"/>
      <c r="AK101" s="300"/>
      <c r="AL101" s="300"/>
      <c r="AM101" s="300"/>
      <c r="AN101" s="100" t="str">
        <f>IFERROR(MAX(tblRiskRegister3[[#This Row],[Risk Treatment Safeguard Impact to Mission]:[Risk Treatment Safeguard Impact to Obligations]])*tblRiskRegister3[[#This Row],[Risk Treatment
Safeguard Expectancy Score]],"")</f>
        <v/>
      </c>
      <c r="AO101" s="100" t="str">
        <f>IF(tblRiskRegister3[[#This Row],[Risk Score]]&gt;AcceptableRisk1,IF(tblRiskRegister3[[#This Row],[Risk Treatment Safeguard Risk Score]]&lt;AcceptableRisk1, IF(tblRiskRegister3[[#This Row],[Risk Treatment Safeguard Risk Score]]&lt;=tblRiskRegister3[[#This Row],[Risk Score]],"Yes","No"),"No"),"Yes")</f>
        <v>No</v>
      </c>
      <c r="AP101" s="15"/>
      <c r="AQ101" s="15"/>
      <c r="AR101" s="16"/>
    </row>
    <row r="102" spans="2:44" ht="25.5" x14ac:dyDescent="0.2">
      <c r="B102" s="207">
        <v>11.5</v>
      </c>
      <c r="C102" s="194" t="s">
        <v>177</v>
      </c>
      <c r="D102" s="88" t="s">
        <v>87</v>
      </c>
      <c r="E102" s="275" t="s">
        <v>658</v>
      </c>
      <c r="F102" s="14"/>
      <c r="G102" s="88" t="s">
        <v>463</v>
      </c>
      <c r="H102" s="88" t="s">
        <v>463</v>
      </c>
      <c r="I102" s="223"/>
      <c r="J102" s="292" t="s">
        <v>666</v>
      </c>
      <c r="K102" s="293" t="s">
        <v>667</v>
      </c>
      <c r="L102" s="292" t="s">
        <v>666</v>
      </c>
      <c r="M102" s="293" t="s">
        <v>667</v>
      </c>
      <c r="N102" s="293" t="s">
        <v>667</v>
      </c>
      <c r="O102" s="295">
        <f>COUNTIF(tblRiskRegister3[[#This Row],[Defends Against Malware]:[Defends Against Targeted Intrusions]],"Yes")</f>
        <v>3</v>
      </c>
      <c r="P102" s="12"/>
      <c r="Q102" s="12"/>
      <c r="R102" s="12"/>
      <c r="S102" s="12"/>
      <c r="T102" s="198"/>
      <c r="U102" s="199">
        <f>IFERROR(VLOOKUP(tblRiskRegister3[[#This Row],[Asset Class]],tblVCDBIndex[],4,FALSE),"")</f>
        <v>3</v>
      </c>
      <c r="V102" s="24" t="str">
        <f>IFERROR(VLOOKUP(10*tblRiskRegister3[[#This Row],[Safeguard Maturity Score]]+tblRiskRegister3[[#This Row],[VCDB Index]],tblHITIndexWeightTable[],4,FALSE),"")</f>
        <v/>
      </c>
      <c r="W102" s="24"/>
      <c r="X102" s="24"/>
      <c r="Y102" s="24"/>
      <c r="Z102" s="24"/>
      <c r="AA102" s="24" t="str">
        <f>IFERROR(MAX(tblRiskRegister3[[#This Row],[Impact to Mission]:[Impact to Obligations]])*tblRiskRegister3[[#This Row],[Expectancy Score]],"")</f>
        <v/>
      </c>
      <c r="AB102" s="24" t="str">
        <f>tblRiskRegister3[[#This Row],[Risk Score]]</f>
        <v/>
      </c>
      <c r="AC102" s="79"/>
      <c r="AD102" s="206">
        <v>11.5</v>
      </c>
      <c r="AE102" s="194" t="s">
        <v>177</v>
      </c>
      <c r="AF102" s="194" t="s">
        <v>411</v>
      </c>
      <c r="AG102" s="213"/>
      <c r="AH102" s="13"/>
      <c r="AI102" s="22" t="str">
        <f>IFERROR(VLOOKUP(10*tblRiskRegister3[[#This Row],[Risk Treatment Safeguard Maturity Score]]+tblRiskRegister3[[#This Row],[VCDB Index]],tblHITIndexWeightTable[],4,FALSE),"")</f>
        <v/>
      </c>
      <c r="AJ102" s="300"/>
      <c r="AK102" s="300"/>
      <c r="AL102" s="300"/>
      <c r="AM102" s="300"/>
      <c r="AN102" s="100" t="str">
        <f>IFERROR(MAX(tblRiskRegister3[[#This Row],[Risk Treatment Safeguard Impact to Mission]:[Risk Treatment Safeguard Impact to Obligations]])*tblRiskRegister3[[#This Row],[Risk Treatment
Safeguard Expectancy Score]],"")</f>
        <v/>
      </c>
      <c r="AO102" s="100" t="str">
        <f>IF(tblRiskRegister3[[#This Row],[Risk Score]]&gt;AcceptableRisk1,IF(tblRiskRegister3[[#This Row],[Risk Treatment Safeguard Risk Score]]&lt;AcceptableRisk1, IF(tblRiskRegister3[[#This Row],[Risk Treatment Safeguard Risk Score]]&lt;=tblRiskRegister3[[#This Row],[Risk Score]],"Yes","No"),"No"),"Yes")</f>
        <v>No</v>
      </c>
      <c r="AP102" s="15"/>
      <c r="AQ102" s="15"/>
      <c r="AR102" s="16"/>
    </row>
    <row r="103" spans="2:44" ht="63.75" x14ac:dyDescent="0.2">
      <c r="B103" s="207">
        <v>12.1</v>
      </c>
      <c r="C103" s="194" t="s">
        <v>74</v>
      </c>
      <c r="D103" s="88" t="s">
        <v>90</v>
      </c>
      <c r="E103" s="274" t="s">
        <v>657</v>
      </c>
      <c r="F103" s="14" t="s">
        <v>463</v>
      </c>
      <c r="G103" s="88" t="s">
        <v>463</v>
      </c>
      <c r="H103" s="88" t="s">
        <v>463</v>
      </c>
      <c r="I103" s="223"/>
      <c r="J103" s="293" t="s">
        <v>667</v>
      </c>
      <c r="K103" s="293" t="s">
        <v>667</v>
      </c>
      <c r="L103" s="293" t="s">
        <v>667</v>
      </c>
      <c r="M103" s="292" t="s">
        <v>666</v>
      </c>
      <c r="N103" s="293" t="s">
        <v>667</v>
      </c>
      <c r="O103" s="295">
        <f>COUNTIF(tblRiskRegister3[[#This Row],[Defends Against Malware]:[Defends Against Targeted Intrusions]],"Yes")</f>
        <v>4</v>
      </c>
      <c r="P103" s="12"/>
      <c r="Q103" s="12"/>
      <c r="R103" s="12"/>
      <c r="S103" s="12"/>
      <c r="T103" s="198"/>
      <c r="U103" s="199">
        <f>IFERROR(VLOOKUP(tblRiskRegister3[[#This Row],[Asset Class]],tblVCDBIndex[],4,FALSE),"")</f>
        <v>1</v>
      </c>
      <c r="V103" s="24" t="str">
        <f>IFERROR(VLOOKUP(10*tblRiskRegister3[[#This Row],[Safeguard Maturity Score]]+tblRiskRegister3[[#This Row],[VCDB Index]],tblHITIndexWeightTable[],4,FALSE),"")</f>
        <v/>
      </c>
      <c r="W103" s="24"/>
      <c r="X103" s="24"/>
      <c r="Y103" s="24"/>
      <c r="Z103" s="24"/>
      <c r="AA103" s="24" t="str">
        <f>IFERROR(MAX(tblRiskRegister3[[#This Row],[Impact to Mission]:[Impact to Obligations]])*tblRiskRegister3[[#This Row],[Expectancy Score]],"")</f>
        <v/>
      </c>
      <c r="AB103" s="24" t="str">
        <f>tblRiskRegister3[[#This Row],[Risk Score]]</f>
        <v/>
      </c>
      <c r="AC103" s="79"/>
      <c r="AD103" s="206">
        <v>12.1</v>
      </c>
      <c r="AE103" s="194" t="s">
        <v>74</v>
      </c>
      <c r="AF103" s="194" t="s">
        <v>412</v>
      </c>
      <c r="AG103" s="213"/>
      <c r="AH103" s="13"/>
      <c r="AI103" s="22" t="str">
        <f>IFERROR(VLOOKUP(10*tblRiskRegister3[[#This Row],[Risk Treatment Safeguard Maturity Score]]+tblRiskRegister3[[#This Row],[VCDB Index]],tblHITIndexWeightTable[],4,FALSE),"")</f>
        <v/>
      </c>
      <c r="AJ103" s="300"/>
      <c r="AK103" s="300"/>
      <c r="AL103" s="300"/>
      <c r="AM103" s="300"/>
      <c r="AN103" s="100" t="str">
        <f>IFERROR(MAX(tblRiskRegister3[[#This Row],[Risk Treatment Safeguard Impact to Mission]:[Risk Treatment Safeguard Impact to Obligations]])*tblRiskRegister3[[#This Row],[Risk Treatment
Safeguard Expectancy Score]],"")</f>
        <v/>
      </c>
      <c r="AO103" s="100" t="str">
        <f>IF(tblRiskRegister3[[#This Row],[Risk Score]]&gt;AcceptableRisk1,IF(tblRiskRegister3[[#This Row],[Risk Treatment Safeguard Risk Score]]&lt;AcceptableRisk1, IF(tblRiskRegister3[[#This Row],[Risk Treatment Safeguard Risk Score]]&lt;=tblRiskRegister3[[#This Row],[Risk Score]],"Yes","No"),"No"),"Yes")</f>
        <v>No</v>
      </c>
      <c r="AP103" s="15"/>
      <c r="AQ103" s="15"/>
      <c r="AR103" s="16"/>
    </row>
    <row r="104" spans="2:44" ht="38.25" x14ac:dyDescent="0.2">
      <c r="B104" s="207">
        <v>12.2</v>
      </c>
      <c r="C104" s="194" t="s">
        <v>213</v>
      </c>
      <c r="D104" s="88" t="s">
        <v>90</v>
      </c>
      <c r="E104" s="274" t="s">
        <v>657</v>
      </c>
      <c r="F104" s="14"/>
      <c r="G104" s="88" t="s">
        <v>463</v>
      </c>
      <c r="H104" s="88" t="s">
        <v>463</v>
      </c>
      <c r="I104" s="223"/>
      <c r="J104" s="293" t="s">
        <v>667</v>
      </c>
      <c r="K104" s="293" t="s">
        <v>667</v>
      </c>
      <c r="L104" s="293" t="s">
        <v>667</v>
      </c>
      <c r="M104" s="293" t="s">
        <v>667</v>
      </c>
      <c r="N104" s="293" t="s">
        <v>667</v>
      </c>
      <c r="O104" s="295">
        <f>COUNTIF(tblRiskRegister3[[#This Row],[Defends Against Malware]:[Defends Against Targeted Intrusions]],"Yes")</f>
        <v>5</v>
      </c>
      <c r="P104" s="12"/>
      <c r="Q104" s="12"/>
      <c r="R104" s="12"/>
      <c r="S104" s="12"/>
      <c r="T104" s="198"/>
      <c r="U104" s="199">
        <f>IFERROR(VLOOKUP(tblRiskRegister3[[#This Row],[Asset Class]],tblVCDBIndex[],4,FALSE),"")</f>
        <v>1</v>
      </c>
      <c r="V104" s="24" t="str">
        <f>IFERROR(VLOOKUP(10*tblRiskRegister3[[#This Row],[Safeguard Maturity Score]]+tblRiskRegister3[[#This Row],[VCDB Index]],tblHITIndexWeightTable[],4,FALSE),"")</f>
        <v/>
      </c>
      <c r="W104" s="24"/>
      <c r="X104" s="24"/>
      <c r="Y104" s="24"/>
      <c r="Z104" s="24"/>
      <c r="AA104" s="24" t="str">
        <f>IFERROR(MAX(tblRiskRegister3[[#This Row],[Impact to Mission]:[Impact to Obligations]])*tblRiskRegister3[[#This Row],[Expectancy Score]],"")</f>
        <v/>
      </c>
      <c r="AB104" s="24" t="str">
        <f>tblRiskRegister3[[#This Row],[Risk Score]]</f>
        <v/>
      </c>
      <c r="AC104" s="79"/>
      <c r="AD104" s="206">
        <v>12.2</v>
      </c>
      <c r="AE104" s="194" t="s">
        <v>213</v>
      </c>
      <c r="AF104" s="194" t="s">
        <v>413</v>
      </c>
      <c r="AG104" s="213"/>
      <c r="AH104" s="13"/>
      <c r="AI104" s="22" t="str">
        <f>IFERROR(VLOOKUP(10*tblRiskRegister3[[#This Row],[Risk Treatment Safeguard Maturity Score]]+tblRiskRegister3[[#This Row],[VCDB Index]],tblHITIndexWeightTable[],4,FALSE),"")</f>
        <v/>
      </c>
      <c r="AJ104" s="300"/>
      <c r="AK104" s="300"/>
      <c r="AL104" s="300"/>
      <c r="AM104" s="300"/>
      <c r="AN104" s="100" t="str">
        <f>IFERROR(MAX(tblRiskRegister3[[#This Row],[Risk Treatment Safeguard Impact to Mission]:[Risk Treatment Safeguard Impact to Obligations]])*tblRiskRegister3[[#This Row],[Risk Treatment
Safeguard Expectancy Score]],"")</f>
        <v/>
      </c>
      <c r="AO104" s="100" t="str">
        <f>IF(tblRiskRegister3[[#This Row],[Risk Score]]&gt;AcceptableRisk1,IF(tblRiskRegister3[[#This Row],[Risk Treatment Safeguard Risk Score]]&lt;AcceptableRisk1, IF(tblRiskRegister3[[#This Row],[Risk Treatment Safeguard Risk Score]]&lt;=tblRiskRegister3[[#This Row],[Risk Score]],"Yes","No"),"No"),"Yes")</f>
        <v>No</v>
      </c>
      <c r="AP104" s="15"/>
      <c r="AQ104" s="15"/>
      <c r="AR104" s="16"/>
    </row>
    <row r="105" spans="2:44" ht="38.25" x14ac:dyDescent="0.2">
      <c r="B105" s="207">
        <v>12.3</v>
      </c>
      <c r="C105" s="194" t="s">
        <v>214</v>
      </c>
      <c r="D105" s="88" t="s">
        <v>90</v>
      </c>
      <c r="E105" s="274" t="s">
        <v>657</v>
      </c>
      <c r="F105" s="14"/>
      <c r="G105" s="88" t="s">
        <v>463</v>
      </c>
      <c r="H105" s="88" t="s">
        <v>463</v>
      </c>
      <c r="I105" s="223"/>
      <c r="J105" s="292" t="s">
        <v>666</v>
      </c>
      <c r="K105" s="292" t="s">
        <v>666</v>
      </c>
      <c r="L105" s="292" t="s">
        <v>666</v>
      </c>
      <c r="M105" s="292" t="s">
        <v>666</v>
      </c>
      <c r="N105" s="292" t="s">
        <v>666</v>
      </c>
      <c r="O105" s="295">
        <f>COUNTIF(tblRiskRegister3[[#This Row],[Defends Against Malware]:[Defends Against Targeted Intrusions]],"Yes")</f>
        <v>0</v>
      </c>
      <c r="P105" s="12"/>
      <c r="Q105" s="12"/>
      <c r="R105" s="12"/>
      <c r="S105" s="12"/>
      <c r="T105" s="198"/>
      <c r="U105" s="199">
        <f>IFERROR(VLOOKUP(tblRiskRegister3[[#This Row],[Asset Class]],tblVCDBIndex[],4,FALSE),"")</f>
        <v>1</v>
      </c>
      <c r="V105" s="24" t="str">
        <f>IFERROR(VLOOKUP(10*tblRiskRegister3[[#This Row],[Safeguard Maturity Score]]+tblRiskRegister3[[#This Row],[VCDB Index]],tblHITIndexWeightTable[],4,FALSE),"")</f>
        <v/>
      </c>
      <c r="W105" s="24"/>
      <c r="X105" s="24"/>
      <c r="Y105" s="24"/>
      <c r="Z105" s="24"/>
      <c r="AA105" s="24" t="str">
        <f>IFERROR(MAX(tblRiskRegister3[[#This Row],[Impact to Mission]:[Impact to Obligations]])*tblRiskRegister3[[#This Row],[Expectancy Score]],"")</f>
        <v/>
      </c>
      <c r="AB105" s="24" t="str">
        <f>tblRiskRegister3[[#This Row],[Risk Score]]</f>
        <v/>
      </c>
      <c r="AC105" s="79"/>
      <c r="AD105" s="206">
        <v>12.3</v>
      </c>
      <c r="AE105" s="194" t="s">
        <v>214</v>
      </c>
      <c r="AF105" s="194" t="s">
        <v>414</v>
      </c>
      <c r="AG105" s="213"/>
      <c r="AH105" s="13"/>
      <c r="AI105" s="22" t="str">
        <f>IFERROR(VLOOKUP(10*tblRiskRegister3[[#This Row],[Risk Treatment Safeguard Maturity Score]]+tblRiskRegister3[[#This Row],[VCDB Index]],tblHITIndexWeightTable[],4,FALSE),"")</f>
        <v/>
      </c>
      <c r="AJ105" s="300"/>
      <c r="AK105" s="300"/>
      <c r="AL105" s="300"/>
      <c r="AM105" s="300"/>
      <c r="AN105" s="100" t="str">
        <f>IFERROR(MAX(tblRiskRegister3[[#This Row],[Risk Treatment Safeguard Impact to Mission]:[Risk Treatment Safeguard Impact to Obligations]])*tblRiskRegister3[[#This Row],[Risk Treatment
Safeguard Expectancy Score]],"")</f>
        <v/>
      </c>
      <c r="AO105" s="100" t="str">
        <f>IF(tblRiskRegister3[[#This Row],[Risk Score]]&gt;AcceptableRisk1,IF(tblRiskRegister3[[#This Row],[Risk Treatment Safeguard Risk Score]]&lt;AcceptableRisk1, IF(tblRiskRegister3[[#This Row],[Risk Treatment Safeguard Risk Score]]&lt;=tblRiskRegister3[[#This Row],[Risk Score]],"Yes","No"),"No"),"Yes")</f>
        <v>No</v>
      </c>
      <c r="AP105" s="15"/>
      <c r="AQ105" s="15"/>
      <c r="AR105" s="16"/>
    </row>
    <row r="106" spans="2:44" ht="51" x14ac:dyDescent="0.2">
      <c r="B106" s="207">
        <v>12.4</v>
      </c>
      <c r="C106" s="194" t="s">
        <v>215</v>
      </c>
      <c r="D106" s="88" t="s">
        <v>90</v>
      </c>
      <c r="E106" s="274" t="s">
        <v>654</v>
      </c>
      <c r="F106" s="14"/>
      <c r="G106" s="88" t="s">
        <v>463</v>
      </c>
      <c r="H106" s="88" t="s">
        <v>463</v>
      </c>
      <c r="I106" s="223"/>
      <c r="J106" s="292" t="s">
        <v>666</v>
      </c>
      <c r="K106" s="292" t="s">
        <v>666</v>
      </c>
      <c r="L106" s="292" t="s">
        <v>666</v>
      </c>
      <c r="M106" s="292" t="s">
        <v>666</v>
      </c>
      <c r="N106" s="292" t="s">
        <v>666</v>
      </c>
      <c r="O106" s="295">
        <f>COUNTIF(tblRiskRegister3[[#This Row],[Defends Against Malware]:[Defends Against Targeted Intrusions]],"Yes")</f>
        <v>0</v>
      </c>
      <c r="P106" s="12"/>
      <c r="Q106" s="12"/>
      <c r="R106" s="12"/>
      <c r="S106" s="12"/>
      <c r="T106" s="198"/>
      <c r="U106" s="199">
        <f>IFERROR(VLOOKUP(tblRiskRegister3[[#This Row],[Asset Class]],tblVCDBIndex[],4,FALSE),"")</f>
        <v>1</v>
      </c>
      <c r="V106" s="24" t="str">
        <f>IFERROR(VLOOKUP(10*tblRiskRegister3[[#This Row],[Safeguard Maturity Score]]+tblRiskRegister3[[#This Row],[VCDB Index]],tblHITIndexWeightTable[],4,FALSE),"")</f>
        <v/>
      </c>
      <c r="W106" s="24"/>
      <c r="X106" s="24"/>
      <c r="Y106" s="24"/>
      <c r="Z106" s="24"/>
      <c r="AA106" s="24" t="str">
        <f>IFERROR(MAX(tblRiskRegister3[[#This Row],[Impact to Mission]:[Impact to Obligations]])*tblRiskRegister3[[#This Row],[Expectancy Score]],"")</f>
        <v/>
      </c>
      <c r="AB106" s="24" t="str">
        <f>tblRiskRegister3[[#This Row],[Risk Score]]</f>
        <v/>
      </c>
      <c r="AC106" s="79"/>
      <c r="AD106" s="206">
        <v>12.4</v>
      </c>
      <c r="AE106" s="194" t="s">
        <v>215</v>
      </c>
      <c r="AF106" s="194" t="s">
        <v>415</v>
      </c>
      <c r="AG106" s="213"/>
      <c r="AH106" s="13"/>
      <c r="AI106" s="22" t="str">
        <f>IFERROR(VLOOKUP(10*tblRiskRegister3[[#This Row],[Risk Treatment Safeguard Maturity Score]]+tblRiskRegister3[[#This Row],[VCDB Index]],tblHITIndexWeightTable[],4,FALSE),"")</f>
        <v/>
      </c>
      <c r="AJ106" s="300"/>
      <c r="AK106" s="300"/>
      <c r="AL106" s="300"/>
      <c r="AM106" s="300"/>
      <c r="AN106" s="100" t="str">
        <f>IFERROR(MAX(tblRiskRegister3[[#This Row],[Risk Treatment Safeguard Impact to Mission]:[Risk Treatment Safeguard Impact to Obligations]])*tblRiskRegister3[[#This Row],[Risk Treatment
Safeguard Expectancy Score]],"")</f>
        <v/>
      </c>
      <c r="AO106" s="100" t="str">
        <f>IF(tblRiskRegister3[[#This Row],[Risk Score]]&gt;AcceptableRisk1,IF(tblRiskRegister3[[#This Row],[Risk Treatment Safeguard Risk Score]]&lt;AcceptableRisk1, IF(tblRiskRegister3[[#This Row],[Risk Treatment Safeguard Risk Score]]&lt;=tblRiskRegister3[[#This Row],[Risk Score]],"Yes","No"),"No"),"Yes")</f>
        <v>No</v>
      </c>
      <c r="AP106" s="15"/>
      <c r="AQ106" s="15"/>
      <c r="AR106" s="16"/>
    </row>
    <row r="107" spans="2:44" ht="51" x14ac:dyDescent="0.2">
      <c r="B107" s="207">
        <v>12.5</v>
      </c>
      <c r="C107" s="194" t="s">
        <v>216</v>
      </c>
      <c r="D107" s="88" t="s">
        <v>90</v>
      </c>
      <c r="E107" s="274" t="s">
        <v>657</v>
      </c>
      <c r="F107" s="14"/>
      <c r="G107" s="88" t="s">
        <v>463</v>
      </c>
      <c r="H107" s="88" t="s">
        <v>463</v>
      </c>
      <c r="I107" s="223"/>
      <c r="J107" s="292" t="s">
        <v>666</v>
      </c>
      <c r="K107" s="292" t="s">
        <v>666</v>
      </c>
      <c r="L107" s="292" t="s">
        <v>666</v>
      </c>
      <c r="M107" s="292" t="s">
        <v>666</v>
      </c>
      <c r="N107" s="292" t="s">
        <v>666</v>
      </c>
      <c r="O107" s="295">
        <f>COUNTIF(tblRiskRegister3[[#This Row],[Defends Against Malware]:[Defends Against Targeted Intrusions]],"Yes")</f>
        <v>0</v>
      </c>
      <c r="P107" s="12"/>
      <c r="Q107" s="12"/>
      <c r="R107" s="12"/>
      <c r="S107" s="12"/>
      <c r="T107" s="198"/>
      <c r="U107" s="199">
        <f>IFERROR(VLOOKUP(tblRiskRegister3[[#This Row],[Asset Class]],tblVCDBIndex[],4,FALSE),"")</f>
        <v>1</v>
      </c>
      <c r="V107" s="24" t="str">
        <f>IFERROR(VLOOKUP(10*tblRiskRegister3[[#This Row],[Safeguard Maturity Score]]+tblRiskRegister3[[#This Row],[VCDB Index]],tblHITIndexWeightTable[],4,FALSE),"")</f>
        <v/>
      </c>
      <c r="W107" s="24"/>
      <c r="X107" s="24"/>
      <c r="Y107" s="24"/>
      <c r="Z107" s="24"/>
      <c r="AA107" s="24" t="str">
        <f>IFERROR(MAX(tblRiskRegister3[[#This Row],[Impact to Mission]:[Impact to Obligations]])*tblRiskRegister3[[#This Row],[Expectancy Score]],"")</f>
        <v/>
      </c>
      <c r="AB107" s="24" t="str">
        <f>tblRiskRegister3[[#This Row],[Risk Score]]</f>
        <v/>
      </c>
      <c r="AC107" s="79"/>
      <c r="AD107" s="206">
        <v>12.5</v>
      </c>
      <c r="AE107" s="194" t="s">
        <v>216</v>
      </c>
      <c r="AF107" s="194" t="s">
        <v>416</v>
      </c>
      <c r="AG107" s="213"/>
      <c r="AH107" s="13"/>
      <c r="AI107" s="22" t="str">
        <f>IFERROR(VLOOKUP(10*tblRiskRegister3[[#This Row],[Risk Treatment Safeguard Maturity Score]]+tblRiskRegister3[[#This Row],[VCDB Index]],tblHITIndexWeightTable[],4,FALSE),"")</f>
        <v/>
      </c>
      <c r="AJ107" s="300"/>
      <c r="AK107" s="300"/>
      <c r="AL107" s="300"/>
      <c r="AM107" s="300"/>
      <c r="AN107" s="100" t="str">
        <f>IFERROR(MAX(tblRiskRegister3[[#This Row],[Risk Treatment Safeguard Impact to Mission]:[Risk Treatment Safeguard Impact to Obligations]])*tblRiskRegister3[[#This Row],[Risk Treatment
Safeguard Expectancy Score]],"")</f>
        <v/>
      </c>
      <c r="AO107" s="100" t="str">
        <f>IF(tblRiskRegister3[[#This Row],[Risk Score]]&gt;AcceptableRisk1,IF(tblRiskRegister3[[#This Row],[Risk Treatment Safeguard Risk Score]]&lt;AcceptableRisk1, IF(tblRiskRegister3[[#This Row],[Risk Treatment Safeguard Risk Score]]&lt;=tblRiskRegister3[[#This Row],[Risk Score]],"Yes","No"),"No"),"Yes")</f>
        <v>No</v>
      </c>
      <c r="AP107" s="15"/>
      <c r="AQ107" s="15"/>
      <c r="AR107" s="16"/>
    </row>
    <row r="108" spans="2:44" ht="51" x14ac:dyDescent="0.2">
      <c r="B108" s="207">
        <v>12.6</v>
      </c>
      <c r="C108" s="194" t="s">
        <v>217</v>
      </c>
      <c r="D108" s="88" t="s">
        <v>90</v>
      </c>
      <c r="E108" s="274" t="s">
        <v>657</v>
      </c>
      <c r="F108" s="14"/>
      <c r="G108" s="88" t="s">
        <v>463</v>
      </c>
      <c r="H108" s="88" t="s">
        <v>463</v>
      </c>
      <c r="I108" s="223"/>
      <c r="J108" s="292" t="s">
        <v>666</v>
      </c>
      <c r="K108" s="292" t="s">
        <v>666</v>
      </c>
      <c r="L108" s="292" t="s">
        <v>666</v>
      </c>
      <c r="M108" s="292" t="s">
        <v>666</v>
      </c>
      <c r="N108" s="292" t="s">
        <v>666</v>
      </c>
      <c r="O108" s="295">
        <f>COUNTIF(tblRiskRegister3[[#This Row],[Defends Against Malware]:[Defends Against Targeted Intrusions]],"Yes")</f>
        <v>0</v>
      </c>
      <c r="P108" s="12"/>
      <c r="Q108" s="12"/>
      <c r="R108" s="12"/>
      <c r="S108" s="12"/>
      <c r="T108" s="198"/>
      <c r="U108" s="199">
        <f>IFERROR(VLOOKUP(tblRiskRegister3[[#This Row],[Asset Class]],tblVCDBIndex[],4,FALSE),"")</f>
        <v>1</v>
      </c>
      <c r="V108" s="24" t="str">
        <f>IFERROR(VLOOKUP(10*tblRiskRegister3[[#This Row],[Safeguard Maturity Score]]+tblRiskRegister3[[#This Row],[VCDB Index]],tblHITIndexWeightTable[],4,FALSE),"")</f>
        <v/>
      </c>
      <c r="W108" s="24"/>
      <c r="X108" s="24"/>
      <c r="Y108" s="24"/>
      <c r="Z108" s="24"/>
      <c r="AA108" s="24" t="str">
        <f>IFERROR(MAX(tblRiskRegister3[[#This Row],[Impact to Mission]:[Impact to Obligations]])*tblRiskRegister3[[#This Row],[Expectancy Score]],"")</f>
        <v/>
      </c>
      <c r="AB108" s="24" t="str">
        <f>tblRiskRegister3[[#This Row],[Risk Score]]</f>
        <v/>
      </c>
      <c r="AC108" s="79"/>
      <c r="AD108" s="206">
        <v>12.6</v>
      </c>
      <c r="AE108" s="194" t="s">
        <v>217</v>
      </c>
      <c r="AF108" s="194" t="s">
        <v>417</v>
      </c>
      <c r="AG108" s="213"/>
      <c r="AH108" s="13"/>
      <c r="AI108" s="22" t="str">
        <f>IFERROR(VLOOKUP(10*tblRiskRegister3[[#This Row],[Risk Treatment Safeguard Maturity Score]]+tblRiskRegister3[[#This Row],[VCDB Index]],tblHITIndexWeightTable[],4,FALSE),"")</f>
        <v/>
      </c>
      <c r="AJ108" s="300"/>
      <c r="AK108" s="300"/>
      <c r="AL108" s="300"/>
      <c r="AM108" s="300"/>
      <c r="AN108" s="100" t="str">
        <f>IFERROR(MAX(tblRiskRegister3[[#This Row],[Risk Treatment Safeguard Impact to Mission]:[Risk Treatment Safeguard Impact to Obligations]])*tblRiskRegister3[[#This Row],[Risk Treatment
Safeguard Expectancy Score]],"")</f>
        <v/>
      </c>
      <c r="AO108" s="100" t="str">
        <f>IF(tblRiskRegister3[[#This Row],[Risk Score]]&gt;AcceptableRisk1,IF(tblRiskRegister3[[#This Row],[Risk Treatment Safeguard Risk Score]]&lt;AcceptableRisk1, IF(tblRiskRegister3[[#This Row],[Risk Treatment Safeguard Risk Score]]&lt;=tblRiskRegister3[[#This Row],[Risk Score]],"Yes","No"),"No"),"Yes")</f>
        <v>No</v>
      </c>
      <c r="AP108" s="15"/>
      <c r="AQ108" s="15"/>
      <c r="AR108" s="16"/>
    </row>
    <row r="109" spans="2:44" ht="63.75" x14ac:dyDescent="0.2">
      <c r="B109" s="207">
        <v>12.7</v>
      </c>
      <c r="C109" s="194" t="s">
        <v>189</v>
      </c>
      <c r="D109" s="88" t="s">
        <v>88</v>
      </c>
      <c r="E109" s="274" t="s">
        <v>657</v>
      </c>
      <c r="F109" s="14"/>
      <c r="G109" s="88" t="s">
        <v>463</v>
      </c>
      <c r="H109" s="88" t="s">
        <v>463</v>
      </c>
      <c r="I109" s="223"/>
      <c r="J109" s="293" t="s">
        <v>667</v>
      </c>
      <c r="K109" s="293" t="s">
        <v>667</v>
      </c>
      <c r="L109" s="293" t="s">
        <v>667</v>
      </c>
      <c r="M109" s="293" t="s">
        <v>667</v>
      </c>
      <c r="N109" s="293" t="s">
        <v>667</v>
      </c>
      <c r="O109" s="295">
        <f>COUNTIF(tblRiskRegister3[[#This Row],[Defends Against Malware]:[Defends Against Targeted Intrusions]],"Yes")</f>
        <v>5</v>
      </c>
      <c r="P109" s="12"/>
      <c r="Q109" s="12"/>
      <c r="R109" s="12"/>
      <c r="S109" s="12"/>
      <c r="T109" s="198"/>
      <c r="U109" s="199">
        <f>IFERROR(VLOOKUP(tblRiskRegister3[[#This Row],[Asset Class]],tblVCDBIndex[],4,FALSE),"")</f>
        <v>1</v>
      </c>
      <c r="V109" s="24" t="str">
        <f>IFERROR(VLOOKUP(10*tblRiskRegister3[[#This Row],[Safeguard Maturity Score]]+tblRiskRegister3[[#This Row],[VCDB Index]],tblHITIndexWeightTable[],4,FALSE),"")</f>
        <v/>
      </c>
      <c r="W109" s="24"/>
      <c r="X109" s="24"/>
      <c r="Y109" s="24"/>
      <c r="Z109" s="24"/>
      <c r="AA109" s="24" t="str">
        <f>IFERROR(MAX(tblRiskRegister3[[#This Row],[Impact to Mission]:[Impact to Obligations]])*tblRiskRegister3[[#This Row],[Expectancy Score]],"")</f>
        <v/>
      </c>
      <c r="AB109" s="24" t="str">
        <f>tblRiskRegister3[[#This Row],[Risk Score]]</f>
        <v/>
      </c>
      <c r="AC109" s="79"/>
      <c r="AD109" s="206">
        <v>12.7</v>
      </c>
      <c r="AE109" s="194" t="s">
        <v>189</v>
      </c>
      <c r="AF109" s="194" t="s">
        <v>418</v>
      </c>
      <c r="AG109" s="213"/>
      <c r="AH109" s="13"/>
      <c r="AI109" s="22" t="str">
        <f>IFERROR(VLOOKUP(10*tblRiskRegister3[[#This Row],[Risk Treatment Safeguard Maturity Score]]+tblRiskRegister3[[#This Row],[VCDB Index]],tblHITIndexWeightTable[],4,FALSE),"")</f>
        <v/>
      </c>
      <c r="AJ109" s="300"/>
      <c r="AK109" s="300"/>
      <c r="AL109" s="300"/>
      <c r="AM109" s="300"/>
      <c r="AN109" s="100" t="str">
        <f>IFERROR(MAX(tblRiskRegister3[[#This Row],[Risk Treatment Safeguard Impact to Mission]:[Risk Treatment Safeguard Impact to Obligations]])*tblRiskRegister3[[#This Row],[Risk Treatment
Safeguard Expectancy Score]],"")</f>
        <v/>
      </c>
      <c r="AO109" s="100" t="str">
        <f>IF(tblRiskRegister3[[#This Row],[Risk Score]]&gt;AcceptableRisk1,IF(tblRiskRegister3[[#This Row],[Risk Treatment Safeguard Risk Score]]&lt;AcceptableRisk1, IF(tblRiskRegister3[[#This Row],[Risk Treatment Safeguard Risk Score]]&lt;=tblRiskRegister3[[#This Row],[Risk Score]],"Yes","No"),"No"),"Yes")</f>
        <v>No</v>
      </c>
      <c r="AP109" s="15"/>
      <c r="AQ109" s="15"/>
      <c r="AR109" s="16"/>
    </row>
    <row r="110" spans="2:44" ht="63.75" x14ac:dyDescent="0.2">
      <c r="B110" s="207">
        <v>12.8</v>
      </c>
      <c r="C110" s="194" t="s">
        <v>535</v>
      </c>
      <c r="D110" s="88" t="s">
        <v>88</v>
      </c>
      <c r="E110" s="274" t="s">
        <v>657</v>
      </c>
      <c r="F110" s="14"/>
      <c r="G110" s="88"/>
      <c r="H110" s="88" t="s">
        <v>463</v>
      </c>
      <c r="I110" s="223"/>
      <c r="J110" s="293" t="s">
        <v>667</v>
      </c>
      <c r="K110" s="293" t="s">
        <v>667</v>
      </c>
      <c r="L110" s="293" t="s">
        <v>667</v>
      </c>
      <c r="M110" s="293" t="s">
        <v>667</v>
      </c>
      <c r="N110" s="293" t="s">
        <v>667</v>
      </c>
      <c r="O110" s="295">
        <f>COUNTIF(tblRiskRegister3[[#This Row],[Defends Against Malware]:[Defends Against Targeted Intrusions]],"Yes")</f>
        <v>5</v>
      </c>
      <c r="P110" s="12"/>
      <c r="Q110" s="12"/>
      <c r="R110" s="12"/>
      <c r="S110" s="12"/>
      <c r="T110" s="198"/>
      <c r="U110" s="199">
        <f>IFERROR(VLOOKUP(tblRiskRegister3[[#This Row],[Asset Class]],tblVCDBIndex[],4,FALSE),"")</f>
        <v>1</v>
      </c>
      <c r="V110" s="24" t="str">
        <f>IFERROR(VLOOKUP(10*tblRiskRegister3[[#This Row],[Safeguard Maturity Score]]+tblRiskRegister3[[#This Row],[VCDB Index]],tblHITIndexWeightTable[],4,FALSE),"")</f>
        <v/>
      </c>
      <c r="W110" s="24"/>
      <c r="X110" s="24"/>
      <c r="Y110" s="24"/>
      <c r="Z110" s="24"/>
      <c r="AA110" s="24" t="str">
        <f>IFERROR(MAX(tblRiskRegister3[[#This Row],[Impact to Mission]:[Impact to Obligations]])*tblRiskRegister3[[#This Row],[Expectancy Score]],"")</f>
        <v/>
      </c>
      <c r="AB110" s="24" t="str">
        <f>tblRiskRegister3[[#This Row],[Risk Score]]</f>
        <v/>
      </c>
      <c r="AC110" s="79"/>
      <c r="AD110" s="206">
        <v>12.8</v>
      </c>
      <c r="AE110" s="194" t="s">
        <v>535</v>
      </c>
      <c r="AF110" s="194" t="s">
        <v>563</v>
      </c>
      <c r="AG110" s="213"/>
      <c r="AH110" s="13"/>
      <c r="AI110" s="22" t="str">
        <f>IFERROR(VLOOKUP(10*tblRiskRegister3[[#This Row],[Risk Treatment Safeguard Maturity Score]]+tblRiskRegister3[[#This Row],[VCDB Index]],tblHITIndexWeightTable[],4,FALSE),"")</f>
        <v/>
      </c>
      <c r="AJ110" s="300"/>
      <c r="AK110" s="300"/>
      <c r="AL110" s="300"/>
      <c r="AM110" s="300"/>
      <c r="AN110" s="100" t="str">
        <f>IFERROR(MAX(tblRiskRegister3[[#This Row],[Risk Treatment Safeguard Impact to Mission]:[Risk Treatment Safeguard Impact to Obligations]])*tblRiskRegister3[[#This Row],[Risk Treatment
Safeguard Expectancy Score]],"")</f>
        <v/>
      </c>
      <c r="AO110" s="100" t="str">
        <f>IF(tblRiskRegister3[[#This Row],[Risk Score]]&gt;AcceptableRisk1,IF(tblRiskRegister3[[#This Row],[Risk Treatment Safeguard Risk Score]]&lt;AcceptableRisk1, IF(tblRiskRegister3[[#This Row],[Risk Treatment Safeguard Risk Score]]&lt;=tblRiskRegister3[[#This Row],[Risk Score]],"Yes","No"),"No"),"Yes")</f>
        <v>No</v>
      </c>
      <c r="AP110" s="15"/>
      <c r="AQ110" s="15"/>
      <c r="AR110" s="16"/>
    </row>
    <row r="111" spans="2:44" ht="63.75" x14ac:dyDescent="0.2">
      <c r="B111" s="207">
        <v>13.1</v>
      </c>
      <c r="C111" s="194" t="s">
        <v>218</v>
      </c>
      <c r="D111" s="88" t="s">
        <v>90</v>
      </c>
      <c r="E111" s="274" t="s">
        <v>656</v>
      </c>
      <c r="F111" s="14"/>
      <c r="G111" s="88" t="s">
        <v>463</v>
      </c>
      <c r="H111" s="88" t="s">
        <v>463</v>
      </c>
      <c r="I111" s="223"/>
      <c r="J111" s="292" t="s">
        <v>666</v>
      </c>
      <c r="K111" s="292" t="s">
        <v>666</v>
      </c>
      <c r="L111" s="292" t="s">
        <v>666</v>
      </c>
      <c r="M111" s="292" t="s">
        <v>666</v>
      </c>
      <c r="N111" s="292" t="s">
        <v>666</v>
      </c>
      <c r="O111" s="295">
        <f>COUNTIF(tblRiskRegister3[[#This Row],[Defends Against Malware]:[Defends Against Targeted Intrusions]],"Yes")</f>
        <v>0</v>
      </c>
      <c r="P111" s="12"/>
      <c r="Q111" s="12"/>
      <c r="R111" s="12"/>
      <c r="S111" s="12"/>
      <c r="T111" s="198"/>
      <c r="U111" s="199">
        <f>IFERROR(VLOOKUP(tblRiskRegister3[[#This Row],[Asset Class]],tblVCDBIndex[],4,FALSE),"")</f>
        <v>1</v>
      </c>
      <c r="V111" s="24" t="str">
        <f>IFERROR(VLOOKUP(10*tblRiskRegister3[[#This Row],[Safeguard Maturity Score]]+tblRiskRegister3[[#This Row],[VCDB Index]],tblHITIndexWeightTable[],4,FALSE),"")</f>
        <v/>
      </c>
      <c r="W111" s="24"/>
      <c r="X111" s="24"/>
      <c r="Y111" s="24"/>
      <c r="Z111" s="24"/>
      <c r="AA111" s="24" t="str">
        <f>IFERROR(MAX(tblRiskRegister3[[#This Row],[Impact to Mission]:[Impact to Obligations]])*tblRiskRegister3[[#This Row],[Expectancy Score]],"")</f>
        <v/>
      </c>
      <c r="AB111" s="24" t="str">
        <f>tblRiskRegister3[[#This Row],[Risk Score]]</f>
        <v/>
      </c>
      <c r="AC111" s="79"/>
      <c r="AD111" s="206">
        <v>13.1</v>
      </c>
      <c r="AE111" s="194" t="s">
        <v>218</v>
      </c>
      <c r="AF111" s="194" t="s">
        <v>419</v>
      </c>
      <c r="AG111" s="213"/>
      <c r="AH111" s="13"/>
      <c r="AI111" s="22" t="str">
        <f>IFERROR(VLOOKUP(10*tblRiskRegister3[[#This Row],[Risk Treatment Safeguard Maturity Score]]+tblRiskRegister3[[#This Row],[VCDB Index]],tblHITIndexWeightTable[],4,FALSE),"")</f>
        <v/>
      </c>
      <c r="AJ111" s="300"/>
      <c r="AK111" s="300"/>
      <c r="AL111" s="300"/>
      <c r="AM111" s="300"/>
      <c r="AN111" s="100" t="str">
        <f>IFERROR(MAX(tblRiskRegister3[[#This Row],[Risk Treatment Safeguard Impact to Mission]:[Risk Treatment Safeguard Impact to Obligations]])*tblRiskRegister3[[#This Row],[Risk Treatment
Safeguard Expectancy Score]],"")</f>
        <v/>
      </c>
      <c r="AO111" s="100" t="str">
        <f>IF(tblRiskRegister3[[#This Row],[Risk Score]]&gt;AcceptableRisk1,IF(tblRiskRegister3[[#This Row],[Risk Treatment Safeguard Risk Score]]&lt;AcceptableRisk1, IF(tblRiskRegister3[[#This Row],[Risk Treatment Safeguard Risk Score]]&lt;=tblRiskRegister3[[#This Row],[Risk Score]],"Yes","No"),"No"),"Yes")</f>
        <v>No</v>
      </c>
      <c r="AP111" s="15"/>
      <c r="AQ111" s="15"/>
      <c r="AR111" s="16"/>
    </row>
    <row r="112" spans="2:44" ht="38.25" x14ac:dyDescent="0.2">
      <c r="B112" s="207">
        <v>13.2</v>
      </c>
      <c r="C112" s="194" t="s">
        <v>190</v>
      </c>
      <c r="D112" s="88" t="s">
        <v>88</v>
      </c>
      <c r="E112" s="274" t="s">
        <v>656</v>
      </c>
      <c r="F112" s="14"/>
      <c r="G112" s="88" t="s">
        <v>463</v>
      </c>
      <c r="H112" s="88" t="s">
        <v>463</v>
      </c>
      <c r="I112" s="223"/>
      <c r="J112" s="293" t="s">
        <v>667</v>
      </c>
      <c r="K112" s="293" t="s">
        <v>667</v>
      </c>
      <c r="L112" s="293" t="s">
        <v>667</v>
      </c>
      <c r="M112" s="293" t="s">
        <v>667</v>
      </c>
      <c r="N112" s="293" t="s">
        <v>667</v>
      </c>
      <c r="O112" s="295">
        <f>COUNTIF(tblRiskRegister3[[#This Row],[Defends Against Malware]:[Defends Against Targeted Intrusions]],"Yes")</f>
        <v>5</v>
      </c>
      <c r="P112" s="12"/>
      <c r="Q112" s="12"/>
      <c r="R112" s="12"/>
      <c r="S112" s="12"/>
      <c r="T112" s="198"/>
      <c r="U112" s="199">
        <f>IFERROR(VLOOKUP(tblRiskRegister3[[#This Row],[Asset Class]],tblVCDBIndex[],4,FALSE),"")</f>
        <v>1</v>
      </c>
      <c r="V112" s="24" t="str">
        <f>IFERROR(VLOOKUP(10*tblRiskRegister3[[#This Row],[Safeguard Maturity Score]]+tblRiskRegister3[[#This Row],[VCDB Index]],tblHITIndexWeightTable[],4,FALSE),"")</f>
        <v/>
      </c>
      <c r="W112" s="24"/>
      <c r="X112" s="24"/>
      <c r="Y112" s="24"/>
      <c r="Z112" s="24"/>
      <c r="AA112" s="24" t="str">
        <f>IFERROR(MAX(tblRiskRegister3[[#This Row],[Impact to Mission]:[Impact to Obligations]])*tblRiskRegister3[[#This Row],[Expectancy Score]],"")</f>
        <v/>
      </c>
      <c r="AB112" s="24" t="str">
        <f>tblRiskRegister3[[#This Row],[Risk Score]]</f>
        <v/>
      </c>
      <c r="AC112" s="79"/>
      <c r="AD112" s="206">
        <v>13.2</v>
      </c>
      <c r="AE112" s="194" t="s">
        <v>190</v>
      </c>
      <c r="AF112" s="194" t="s">
        <v>420</v>
      </c>
      <c r="AG112" s="213"/>
      <c r="AH112" s="13"/>
      <c r="AI112" s="22" t="str">
        <f>IFERROR(VLOOKUP(10*tblRiskRegister3[[#This Row],[Risk Treatment Safeguard Maturity Score]]+tblRiskRegister3[[#This Row],[VCDB Index]],tblHITIndexWeightTable[],4,FALSE),"")</f>
        <v/>
      </c>
      <c r="AJ112" s="300"/>
      <c r="AK112" s="300"/>
      <c r="AL112" s="300"/>
      <c r="AM112" s="300"/>
      <c r="AN112" s="100" t="str">
        <f>IFERROR(MAX(tblRiskRegister3[[#This Row],[Risk Treatment Safeguard Impact to Mission]:[Risk Treatment Safeguard Impact to Obligations]])*tblRiskRegister3[[#This Row],[Risk Treatment
Safeguard Expectancy Score]],"")</f>
        <v/>
      </c>
      <c r="AO112" s="100" t="str">
        <f>IF(tblRiskRegister3[[#This Row],[Risk Score]]&gt;AcceptableRisk1,IF(tblRiskRegister3[[#This Row],[Risk Treatment Safeguard Risk Score]]&lt;AcceptableRisk1, IF(tblRiskRegister3[[#This Row],[Risk Treatment Safeguard Risk Score]]&lt;=tblRiskRegister3[[#This Row],[Risk Score]],"Yes","No"),"No"),"Yes")</f>
        <v>No</v>
      </c>
      <c r="AP112" s="15"/>
      <c r="AQ112" s="15"/>
      <c r="AR112" s="16"/>
    </row>
    <row r="113" spans="2:44" ht="51" x14ac:dyDescent="0.2">
      <c r="B113" s="207">
        <v>13.3</v>
      </c>
      <c r="C113" s="194" t="s">
        <v>219</v>
      </c>
      <c r="D113" s="88" t="s">
        <v>90</v>
      </c>
      <c r="E113" s="274" t="s">
        <v>656</v>
      </c>
      <c r="F113" s="14"/>
      <c r="G113" s="88" t="s">
        <v>463</v>
      </c>
      <c r="H113" s="88" t="s">
        <v>463</v>
      </c>
      <c r="I113" s="223"/>
      <c r="J113" s="293" t="s">
        <v>667</v>
      </c>
      <c r="K113" s="293" t="s">
        <v>667</v>
      </c>
      <c r="L113" s="293" t="s">
        <v>667</v>
      </c>
      <c r="M113" s="293" t="s">
        <v>667</v>
      </c>
      <c r="N113" s="293" t="s">
        <v>667</v>
      </c>
      <c r="O113" s="295">
        <f>COUNTIF(tblRiskRegister3[[#This Row],[Defends Against Malware]:[Defends Against Targeted Intrusions]],"Yes")</f>
        <v>5</v>
      </c>
      <c r="P113" s="12"/>
      <c r="Q113" s="12"/>
      <c r="R113" s="12"/>
      <c r="S113" s="12"/>
      <c r="T113" s="198"/>
      <c r="U113" s="199">
        <f>IFERROR(VLOOKUP(tblRiskRegister3[[#This Row],[Asset Class]],tblVCDBIndex[],4,FALSE),"")</f>
        <v>1</v>
      </c>
      <c r="V113" s="24" t="str">
        <f>IFERROR(VLOOKUP(10*tblRiskRegister3[[#This Row],[Safeguard Maturity Score]]+tblRiskRegister3[[#This Row],[VCDB Index]],tblHITIndexWeightTable[],4,FALSE),"")</f>
        <v/>
      </c>
      <c r="W113" s="24"/>
      <c r="X113" s="24"/>
      <c r="Y113" s="24"/>
      <c r="Z113" s="24"/>
      <c r="AA113" s="24" t="str">
        <f>IFERROR(MAX(tblRiskRegister3[[#This Row],[Impact to Mission]:[Impact to Obligations]])*tblRiskRegister3[[#This Row],[Expectancy Score]],"")</f>
        <v/>
      </c>
      <c r="AB113" s="24" t="str">
        <f>tblRiskRegister3[[#This Row],[Risk Score]]</f>
        <v/>
      </c>
      <c r="AC113" s="79"/>
      <c r="AD113" s="206">
        <v>13.3</v>
      </c>
      <c r="AE113" s="194" t="s">
        <v>219</v>
      </c>
      <c r="AF113" s="194" t="s">
        <v>421</v>
      </c>
      <c r="AG113" s="213"/>
      <c r="AH113" s="13"/>
      <c r="AI113" s="22" t="str">
        <f>IFERROR(VLOOKUP(10*tblRiskRegister3[[#This Row],[Risk Treatment Safeguard Maturity Score]]+tblRiskRegister3[[#This Row],[VCDB Index]],tblHITIndexWeightTable[],4,FALSE),"")</f>
        <v/>
      </c>
      <c r="AJ113" s="300"/>
      <c r="AK113" s="300"/>
      <c r="AL113" s="300"/>
      <c r="AM113" s="300"/>
      <c r="AN113" s="100" t="str">
        <f>IFERROR(MAX(tblRiskRegister3[[#This Row],[Risk Treatment Safeguard Impact to Mission]:[Risk Treatment Safeguard Impact to Obligations]])*tblRiskRegister3[[#This Row],[Risk Treatment
Safeguard Expectancy Score]],"")</f>
        <v/>
      </c>
      <c r="AO113" s="100" t="str">
        <f>IF(tblRiskRegister3[[#This Row],[Risk Score]]&gt;AcceptableRisk1,IF(tblRiskRegister3[[#This Row],[Risk Treatment Safeguard Risk Score]]&lt;AcceptableRisk1, IF(tblRiskRegister3[[#This Row],[Risk Treatment Safeguard Risk Score]]&lt;=tblRiskRegister3[[#This Row],[Risk Score]],"Yes","No"),"No"),"Yes")</f>
        <v>No</v>
      </c>
      <c r="AP113" s="15"/>
      <c r="AQ113" s="15"/>
      <c r="AR113" s="16"/>
    </row>
    <row r="114" spans="2:44" ht="38.25" x14ac:dyDescent="0.2">
      <c r="B114" s="207">
        <v>13.4</v>
      </c>
      <c r="C114" s="194" t="s">
        <v>220</v>
      </c>
      <c r="D114" s="88" t="s">
        <v>90</v>
      </c>
      <c r="E114" s="274" t="s">
        <v>657</v>
      </c>
      <c r="F114" s="14"/>
      <c r="G114" s="88" t="s">
        <v>463</v>
      </c>
      <c r="H114" s="88" t="s">
        <v>463</v>
      </c>
      <c r="I114" s="223"/>
      <c r="J114" s="293" t="s">
        <v>667</v>
      </c>
      <c r="K114" s="293" t="s">
        <v>667</v>
      </c>
      <c r="L114" s="293" t="s">
        <v>667</v>
      </c>
      <c r="M114" s="293" t="s">
        <v>667</v>
      </c>
      <c r="N114" s="293" t="s">
        <v>667</v>
      </c>
      <c r="O114" s="295">
        <f>COUNTIF(tblRiskRegister3[[#This Row],[Defends Against Malware]:[Defends Against Targeted Intrusions]],"Yes")</f>
        <v>5</v>
      </c>
      <c r="P114" s="12"/>
      <c r="Q114" s="12"/>
      <c r="R114" s="12"/>
      <c r="S114" s="12"/>
      <c r="T114" s="198"/>
      <c r="U114" s="199">
        <f>IFERROR(VLOOKUP(tblRiskRegister3[[#This Row],[Asset Class]],tblVCDBIndex[],4,FALSE),"")</f>
        <v>1</v>
      </c>
      <c r="V114" s="24" t="str">
        <f>IFERROR(VLOOKUP(10*tblRiskRegister3[[#This Row],[Safeguard Maturity Score]]+tblRiskRegister3[[#This Row],[VCDB Index]],tblHITIndexWeightTable[],4,FALSE),"")</f>
        <v/>
      </c>
      <c r="W114" s="24"/>
      <c r="X114" s="24"/>
      <c r="Y114" s="24"/>
      <c r="Z114" s="24"/>
      <c r="AA114" s="24" t="str">
        <f>IFERROR(MAX(tblRiskRegister3[[#This Row],[Impact to Mission]:[Impact to Obligations]])*tblRiskRegister3[[#This Row],[Expectancy Score]],"")</f>
        <v/>
      </c>
      <c r="AB114" s="24" t="str">
        <f>tblRiskRegister3[[#This Row],[Risk Score]]</f>
        <v/>
      </c>
      <c r="AC114" s="79"/>
      <c r="AD114" s="206">
        <v>13.4</v>
      </c>
      <c r="AE114" s="194" t="s">
        <v>220</v>
      </c>
      <c r="AF114" s="194" t="s">
        <v>422</v>
      </c>
      <c r="AG114" s="213"/>
      <c r="AH114" s="13"/>
      <c r="AI114" s="22" t="str">
        <f>IFERROR(VLOOKUP(10*tblRiskRegister3[[#This Row],[Risk Treatment Safeguard Maturity Score]]+tblRiskRegister3[[#This Row],[VCDB Index]],tblHITIndexWeightTable[],4,FALSE),"")</f>
        <v/>
      </c>
      <c r="AJ114" s="300"/>
      <c r="AK114" s="300"/>
      <c r="AL114" s="300"/>
      <c r="AM114" s="300"/>
      <c r="AN114" s="100" t="str">
        <f>IFERROR(MAX(tblRiskRegister3[[#This Row],[Risk Treatment Safeguard Impact to Mission]:[Risk Treatment Safeguard Impact to Obligations]])*tblRiskRegister3[[#This Row],[Risk Treatment
Safeguard Expectancy Score]],"")</f>
        <v/>
      </c>
      <c r="AO114" s="100" t="str">
        <f>IF(tblRiskRegister3[[#This Row],[Risk Score]]&gt;AcceptableRisk1,IF(tblRiskRegister3[[#This Row],[Risk Treatment Safeguard Risk Score]]&lt;AcceptableRisk1, IF(tblRiskRegister3[[#This Row],[Risk Treatment Safeguard Risk Score]]&lt;=tblRiskRegister3[[#This Row],[Risk Score]],"Yes","No"),"No"),"Yes")</f>
        <v>No</v>
      </c>
      <c r="AP114" s="15"/>
      <c r="AQ114" s="15"/>
      <c r="AR114" s="16"/>
    </row>
    <row r="115" spans="2:44" ht="63.75" x14ac:dyDescent="0.2">
      <c r="B115" s="207">
        <v>13.5</v>
      </c>
      <c r="C115" s="194" t="s">
        <v>191</v>
      </c>
      <c r="D115" s="88" t="s">
        <v>88</v>
      </c>
      <c r="E115" s="274" t="s">
        <v>657</v>
      </c>
      <c r="F115" s="14"/>
      <c r="G115" s="88" t="s">
        <v>463</v>
      </c>
      <c r="H115" s="88" t="s">
        <v>463</v>
      </c>
      <c r="I115" s="223"/>
      <c r="J115" s="293" t="s">
        <v>667</v>
      </c>
      <c r="K115" s="293" t="s">
        <v>667</v>
      </c>
      <c r="L115" s="293" t="s">
        <v>667</v>
      </c>
      <c r="M115" s="293" t="s">
        <v>667</v>
      </c>
      <c r="N115" s="293" t="s">
        <v>667</v>
      </c>
      <c r="O115" s="295">
        <f>COUNTIF(tblRiskRegister3[[#This Row],[Defends Against Malware]:[Defends Against Targeted Intrusions]],"Yes")</f>
        <v>5</v>
      </c>
      <c r="P115" s="12"/>
      <c r="Q115" s="12"/>
      <c r="R115" s="12"/>
      <c r="S115" s="12"/>
      <c r="T115" s="198"/>
      <c r="U115" s="199">
        <f>IFERROR(VLOOKUP(tblRiskRegister3[[#This Row],[Asset Class]],tblVCDBIndex[],4,FALSE),"")</f>
        <v>1</v>
      </c>
      <c r="V115" s="24" t="str">
        <f>IFERROR(VLOOKUP(10*tblRiskRegister3[[#This Row],[Safeguard Maturity Score]]+tblRiskRegister3[[#This Row],[VCDB Index]],tblHITIndexWeightTable[],4,FALSE),"")</f>
        <v/>
      </c>
      <c r="W115" s="24"/>
      <c r="X115" s="24"/>
      <c r="Y115" s="24"/>
      <c r="Z115" s="24"/>
      <c r="AA115" s="24" t="str">
        <f>IFERROR(MAX(tblRiskRegister3[[#This Row],[Impact to Mission]:[Impact to Obligations]])*tblRiskRegister3[[#This Row],[Expectancy Score]],"")</f>
        <v/>
      </c>
      <c r="AB115" s="24" t="str">
        <f>tblRiskRegister3[[#This Row],[Risk Score]]</f>
        <v/>
      </c>
      <c r="AC115" s="79"/>
      <c r="AD115" s="206">
        <v>13.5</v>
      </c>
      <c r="AE115" s="194" t="s">
        <v>191</v>
      </c>
      <c r="AF115" s="194" t="s">
        <v>423</v>
      </c>
      <c r="AG115" s="213"/>
      <c r="AH115" s="13"/>
      <c r="AI115" s="22" t="str">
        <f>IFERROR(VLOOKUP(10*tblRiskRegister3[[#This Row],[Risk Treatment Safeguard Maturity Score]]+tblRiskRegister3[[#This Row],[VCDB Index]],tblHITIndexWeightTable[],4,FALSE),"")</f>
        <v/>
      </c>
      <c r="AJ115" s="300"/>
      <c r="AK115" s="300"/>
      <c r="AL115" s="300"/>
      <c r="AM115" s="300"/>
      <c r="AN115" s="100" t="str">
        <f>IFERROR(MAX(tblRiskRegister3[[#This Row],[Risk Treatment Safeguard Impact to Mission]:[Risk Treatment Safeguard Impact to Obligations]])*tblRiskRegister3[[#This Row],[Risk Treatment
Safeguard Expectancy Score]],"")</f>
        <v/>
      </c>
      <c r="AO115" s="100" t="str">
        <f>IF(tblRiskRegister3[[#This Row],[Risk Score]]&gt;AcceptableRisk1,IF(tblRiskRegister3[[#This Row],[Risk Treatment Safeguard Risk Score]]&lt;AcceptableRisk1, IF(tblRiskRegister3[[#This Row],[Risk Treatment Safeguard Risk Score]]&lt;=tblRiskRegister3[[#This Row],[Risk Score]],"Yes","No"),"No"),"Yes")</f>
        <v>No</v>
      </c>
      <c r="AP115" s="15"/>
      <c r="AQ115" s="15"/>
      <c r="AR115" s="16"/>
    </row>
    <row r="116" spans="2:44" ht="25.5" x14ac:dyDescent="0.2">
      <c r="B116" s="207">
        <v>13.6</v>
      </c>
      <c r="C116" s="194" t="s">
        <v>221</v>
      </c>
      <c r="D116" s="88" t="s">
        <v>90</v>
      </c>
      <c r="E116" s="274" t="s">
        <v>656</v>
      </c>
      <c r="F116" s="14"/>
      <c r="G116" s="88" t="s">
        <v>463</v>
      </c>
      <c r="H116" s="88" t="s">
        <v>463</v>
      </c>
      <c r="I116" s="223"/>
      <c r="J116" s="292" t="s">
        <v>666</v>
      </c>
      <c r="K116" s="292" t="s">
        <v>666</v>
      </c>
      <c r="L116" s="292" t="s">
        <v>666</v>
      </c>
      <c r="M116" s="292" t="s">
        <v>666</v>
      </c>
      <c r="N116" s="292" t="s">
        <v>666</v>
      </c>
      <c r="O116" s="295">
        <f>COUNTIF(tblRiskRegister3[[#This Row],[Defends Against Malware]:[Defends Against Targeted Intrusions]],"Yes")</f>
        <v>0</v>
      </c>
      <c r="P116" s="12"/>
      <c r="Q116" s="12"/>
      <c r="R116" s="12"/>
      <c r="S116" s="12"/>
      <c r="T116" s="198"/>
      <c r="U116" s="199">
        <f>IFERROR(VLOOKUP(tblRiskRegister3[[#This Row],[Asset Class]],tblVCDBIndex[],4,FALSE),"")</f>
        <v>1</v>
      </c>
      <c r="V116" s="24" t="str">
        <f>IFERROR(VLOOKUP(10*tblRiskRegister3[[#This Row],[Safeguard Maturity Score]]+tblRiskRegister3[[#This Row],[VCDB Index]],tblHITIndexWeightTable[],4,FALSE),"")</f>
        <v/>
      </c>
      <c r="W116" s="24"/>
      <c r="X116" s="24"/>
      <c r="Y116" s="24"/>
      <c r="Z116" s="24"/>
      <c r="AA116" s="24" t="str">
        <f>IFERROR(MAX(tblRiskRegister3[[#This Row],[Impact to Mission]:[Impact to Obligations]])*tblRiskRegister3[[#This Row],[Expectancy Score]],"")</f>
        <v/>
      </c>
      <c r="AB116" s="24" t="str">
        <f>tblRiskRegister3[[#This Row],[Risk Score]]</f>
        <v/>
      </c>
      <c r="AC116" s="79"/>
      <c r="AD116" s="206">
        <v>13.6</v>
      </c>
      <c r="AE116" s="194" t="s">
        <v>221</v>
      </c>
      <c r="AF116" s="194" t="s">
        <v>424</v>
      </c>
      <c r="AG116" s="213"/>
      <c r="AH116" s="13"/>
      <c r="AI116" s="22" t="str">
        <f>IFERROR(VLOOKUP(10*tblRiskRegister3[[#This Row],[Risk Treatment Safeguard Maturity Score]]+tblRiskRegister3[[#This Row],[VCDB Index]],tblHITIndexWeightTable[],4,FALSE),"")</f>
        <v/>
      </c>
      <c r="AJ116" s="300"/>
      <c r="AK116" s="300"/>
      <c r="AL116" s="300"/>
      <c r="AM116" s="300"/>
      <c r="AN116" s="100" t="str">
        <f>IFERROR(MAX(tblRiskRegister3[[#This Row],[Risk Treatment Safeguard Impact to Mission]:[Risk Treatment Safeguard Impact to Obligations]])*tblRiskRegister3[[#This Row],[Risk Treatment
Safeguard Expectancy Score]],"")</f>
        <v/>
      </c>
      <c r="AO116" s="100" t="str">
        <f>IF(tblRiskRegister3[[#This Row],[Risk Score]]&gt;AcceptableRisk1,IF(tblRiskRegister3[[#This Row],[Risk Treatment Safeguard Risk Score]]&lt;AcceptableRisk1, IF(tblRiskRegister3[[#This Row],[Risk Treatment Safeguard Risk Score]]&lt;=tblRiskRegister3[[#This Row],[Risk Score]],"Yes","No"),"No"),"Yes")</f>
        <v>No</v>
      </c>
      <c r="AP116" s="15"/>
      <c r="AQ116" s="15"/>
      <c r="AR116" s="16"/>
    </row>
    <row r="117" spans="2:44" ht="51" x14ac:dyDescent="0.2">
      <c r="B117" s="207">
        <v>13.7</v>
      </c>
      <c r="C117" s="194" t="s">
        <v>532</v>
      </c>
      <c r="D117" s="88" t="s">
        <v>88</v>
      </c>
      <c r="E117" s="274" t="s">
        <v>657</v>
      </c>
      <c r="F117" s="14"/>
      <c r="G117" s="88"/>
      <c r="H117" s="88" t="s">
        <v>463</v>
      </c>
      <c r="I117" s="223"/>
      <c r="J117" s="293" t="s">
        <v>667</v>
      </c>
      <c r="K117" s="293" t="s">
        <v>667</v>
      </c>
      <c r="L117" s="293" t="s">
        <v>667</v>
      </c>
      <c r="M117" s="293" t="s">
        <v>667</v>
      </c>
      <c r="N117" s="293" t="s">
        <v>667</v>
      </c>
      <c r="O117" s="295">
        <f>COUNTIF(tblRiskRegister3[[#This Row],[Defends Against Malware]:[Defends Against Targeted Intrusions]],"Yes")</f>
        <v>5</v>
      </c>
      <c r="P117" s="12"/>
      <c r="Q117" s="12"/>
      <c r="R117" s="12"/>
      <c r="S117" s="12"/>
      <c r="T117" s="198"/>
      <c r="U117" s="199">
        <f>IFERROR(VLOOKUP(tblRiskRegister3[[#This Row],[Asset Class]],tblVCDBIndex[],4,FALSE),"")</f>
        <v>1</v>
      </c>
      <c r="V117" s="24" t="str">
        <f>IFERROR(VLOOKUP(10*tblRiskRegister3[[#This Row],[Safeguard Maturity Score]]+tblRiskRegister3[[#This Row],[VCDB Index]],tblHITIndexWeightTable[],4,FALSE),"")</f>
        <v/>
      </c>
      <c r="W117" s="24"/>
      <c r="X117" s="24"/>
      <c r="Y117" s="24"/>
      <c r="Z117" s="24"/>
      <c r="AA117" s="24" t="str">
        <f>IFERROR(MAX(tblRiskRegister3[[#This Row],[Impact to Mission]:[Impact to Obligations]])*tblRiskRegister3[[#This Row],[Expectancy Score]],"")</f>
        <v/>
      </c>
      <c r="AB117" s="24" t="str">
        <f>tblRiskRegister3[[#This Row],[Risk Score]]</f>
        <v/>
      </c>
      <c r="AC117" s="79"/>
      <c r="AD117" s="206">
        <v>13.7</v>
      </c>
      <c r="AE117" s="194" t="s">
        <v>532</v>
      </c>
      <c r="AF117" s="194" t="s">
        <v>564</v>
      </c>
      <c r="AG117" s="213"/>
      <c r="AH117" s="13"/>
      <c r="AI117" s="22" t="str">
        <f>IFERROR(VLOOKUP(10*tblRiskRegister3[[#This Row],[Risk Treatment Safeguard Maturity Score]]+tblRiskRegister3[[#This Row],[VCDB Index]],tblHITIndexWeightTable[],4,FALSE),"")</f>
        <v/>
      </c>
      <c r="AJ117" s="300"/>
      <c r="AK117" s="300"/>
      <c r="AL117" s="300"/>
      <c r="AM117" s="300"/>
      <c r="AN117" s="100" t="str">
        <f>IFERROR(MAX(tblRiskRegister3[[#This Row],[Risk Treatment Safeguard Impact to Mission]:[Risk Treatment Safeguard Impact to Obligations]])*tblRiskRegister3[[#This Row],[Risk Treatment
Safeguard Expectancy Score]],"")</f>
        <v/>
      </c>
      <c r="AO117" s="100" t="str">
        <f>IF(tblRiskRegister3[[#This Row],[Risk Score]]&gt;AcceptableRisk1,IF(tblRiskRegister3[[#This Row],[Risk Treatment Safeguard Risk Score]]&lt;AcceptableRisk1, IF(tblRiskRegister3[[#This Row],[Risk Treatment Safeguard Risk Score]]&lt;=tblRiskRegister3[[#This Row],[Risk Score]],"Yes","No"),"No"),"Yes")</f>
        <v>No</v>
      </c>
      <c r="AP117" s="15"/>
      <c r="AQ117" s="15"/>
      <c r="AR117" s="16"/>
    </row>
    <row r="118" spans="2:44" ht="38.25" x14ac:dyDescent="0.2">
      <c r="B118" s="207">
        <v>13.8</v>
      </c>
      <c r="C118" s="194" t="s">
        <v>538</v>
      </c>
      <c r="D118" s="88" t="s">
        <v>90</v>
      </c>
      <c r="E118" s="274" t="s">
        <v>657</v>
      </c>
      <c r="F118" s="14"/>
      <c r="G118" s="88"/>
      <c r="H118" s="88" t="s">
        <v>463</v>
      </c>
      <c r="I118" s="223"/>
      <c r="J118" s="293" t="s">
        <v>667</v>
      </c>
      <c r="K118" s="293" t="s">
        <v>667</v>
      </c>
      <c r="L118" s="293" t="s">
        <v>667</v>
      </c>
      <c r="M118" s="293" t="s">
        <v>667</v>
      </c>
      <c r="N118" s="293" t="s">
        <v>667</v>
      </c>
      <c r="O118" s="295">
        <f>COUNTIF(tblRiskRegister3[[#This Row],[Defends Against Malware]:[Defends Against Targeted Intrusions]],"Yes")</f>
        <v>5</v>
      </c>
      <c r="P118" s="12"/>
      <c r="Q118" s="12"/>
      <c r="R118" s="12"/>
      <c r="S118" s="12"/>
      <c r="T118" s="198"/>
      <c r="U118" s="199">
        <f>IFERROR(VLOOKUP(tblRiskRegister3[[#This Row],[Asset Class]],tblVCDBIndex[],4,FALSE),"")</f>
        <v>1</v>
      </c>
      <c r="V118" s="24" t="str">
        <f>IFERROR(VLOOKUP(10*tblRiskRegister3[[#This Row],[Safeguard Maturity Score]]+tblRiskRegister3[[#This Row],[VCDB Index]],tblHITIndexWeightTable[],4,FALSE),"")</f>
        <v/>
      </c>
      <c r="W118" s="24"/>
      <c r="X118" s="24"/>
      <c r="Y118" s="24"/>
      <c r="Z118" s="24"/>
      <c r="AA118" s="24" t="str">
        <f>IFERROR(MAX(tblRiskRegister3[[#This Row],[Impact to Mission]:[Impact to Obligations]])*tblRiskRegister3[[#This Row],[Expectancy Score]],"")</f>
        <v/>
      </c>
      <c r="AB118" s="24" t="str">
        <f>tblRiskRegister3[[#This Row],[Risk Score]]</f>
        <v/>
      </c>
      <c r="AC118" s="79"/>
      <c r="AD118" s="206">
        <v>13.8</v>
      </c>
      <c r="AE118" s="194" t="s">
        <v>538</v>
      </c>
      <c r="AF118" s="194" t="s">
        <v>565</v>
      </c>
      <c r="AG118" s="213"/>
      <c r="AH118" s="13"/>
      <c r="AI118" s="22" t="str">
        <f>IFERROR(VLOOKUP(10*tblRiskRegister3[[#This Row],[Risk Treatment Safeguard Maturity Score]]+tblRiskRegister3[[#This Row],[VCDB Index]],tblHITIndexWeightTable[],4,FALSE),"")</f>
        <v/>
      </c>
      <c r="AJ118" s="300"/>
      <c r="AK118" s="300"/>
      <c r="AL118" s="300"/>
      <c r="AM118" s="300"/>
      <c r="AN118" s="100" t="str">
        <f>IFERROR(MAX(tblRiskRegister3[[#This Row],[Risk Treatment Safeguard Impact to Mission]:[Risk Treatment Safeguard Impact to Obligations]])*tblRiskRegister3[[#This Row],[Risk Treatment
Safeguard Expectancy Score]],"")</f>
        <v/>
      </c>
      <c r="AO118" s="100" t="str">
        <f>IF(tblRiskRegister3[[#This Row],[Risk Score]]&gt;AcceptableRisk1,IF(tblRiskRegister3[[#This Row],[Risk Treatment Safeguard Risk Score]]&lt;AcceptableRisk1, IF(tblRiskRegister3[[#This Row],[Risk Treatment Safeguard Risk Score]]&lt;=tblRiskRegister3[[#This Row],[Risk Score]],"Yes","No"),"No"),"Yes")</f>
        <v>No</v>
      </c>
      <c r="AP118" s="15"/>
      <c r="AQ118" s="15"/>
      <c r="AR118" s="16"/>
    </row>
    <row r="119" spans="2:44" ht="38.25" x14ac:dyDescent="0.2">
      <c r="B119" s="207">
        <v>13.9</v>
      </c>
      <c r="C119" s="194" t="s">
        <v>545</v>
      </c>
      <c r="D119" s="88" t="s">
        <v>88</v>
      </c>
      <c r="E119" s="274" t="s">
        <v>657</v>
      </c>
      <c r="F119" s="14"/>
      <c r="G119" s="88"/>
      <c r="H119" s="88" t="s">
        <v>463</v>
      </c>
      <c r="I119" s="223"/>
      <c r="J119" s="292" t="s">
        <v>666</v>
      </c>
      <c r="K119" s="292" t="s">
        <v>666</v>
      </c>
      <c r="L119" s="292" t="s">
        <v>666</v>
      </c>
      <c r="M119" s="292" t="s">
        <v>666</v>
      </c>
      <c r="N119" s="292" t="s">
        <v>666</v>
      </c>
      <c r="O119" s="295">
        <f>COUNTIF(tblRiskRegister3[[#This Row],[Defends Against Malware]:[Defends Against Targeted Intrusions]],"Yes")</f>
        <v>0</v>
      </c>
      <c r="P119" s="12"/>
      <c r="Q119" s="12"/>
      <c r="R119" s="12"/>
      <c r="S119" s="12"/>
      <c r="T119" s="198"/>
      <c r="U119" s="199">
        <f>IFERROR(VLOOKUP(tblRiskRegister3[[#This Row],[Asset Class]],tblVCDBIndex[],4,FALSE),"")</f>
        <v>1</v>
      </c>
      <c r="V119" s="24" t="str">
        <f>IFERROR(VLOOKUP(10*tblRiskRegister3[[#This Row],[Safeguard Maturity Score]]+tblRiskRegister3[[#This Row],[VCDB Index]],tblHITIndexWeightTable[],4,FALSE),"")</f>
        <v/>
      </c>
      <c r="W119" s="24"/>
      <c r="X119" s="24"/>
      <c r="Y119" s="24"/>
      <c r="Z119" s="24"/>
      <c r="AA119" s="24" t="str">
        <f>IFERROR(MAX(tblRiskRegister3[[#This Row],[Impact to Mission]:[Impact to Obligations]])*tblRiskRegister3[[#This Row],[Expectancy Score]],"")</f>
        <v/>
      </c>
      <c r="AB119" s="24" t="str">
        <f>tblRiskRegister3[[#This Row],[Risk Score]]</f>
        <v/>
      </c>
      <c r="AC119" s="79"/>
      <c r="AD119" s="206">
        <v>13.9</v>
      </c>
      <c r="AE119" s="194" t="s">
        <v>545</v>
      </c>
      <c r="AF119" s="194" t="s">
        <v>566</v>
      </c>
      <c r="AG119" s="213"/>
      <c r="AH119" s="13"/>
      <c r="AI119" s="22" t="str">
        <f>IFERROR(VLOOKUP(10*tblRiskRegister3[[#This Row],[Risk Treatment Safeguard Maturity Score]]+tblRiskRegister3[[#This Row],[VCDB Index]],tblHITIndexWeightTable[],4,FALSE),"")</f>
        <v/>
      </c>
      <c r="AJ119" s="300"/>
      <c r="AK119" s="300"/>
      <c r="AL119" s="300"/>
      <c r="AM119" s="300"/>
      <c r="AN119" s="100" t="str">
        <f>IFERROR(MAX(tblRiskRegister3[[#This Row],[Risk Treatment Safeguard Impact to Mission]:[Risk Treatment Safeguard Impact to Obligations]])*tblRiskRegister3[[#This Row],[Risk Treatment
Safeguard Expectancy Score]],"")</f>
        <v/>
      </c>
      <c r="AO119" s="100" t="str">
        <f>IF(tblRiskRegister3[[#This Row],[Risk Score]]&gt;AcceptableRisk1,IF(tblRiskRegister3[[#This Row],[Risk Treatment Safeguard Risk Score]]&lt;AcceptableRisk1, IF(tblRiskRegister3[[#This Row],[Risk Treatment Safeguard Risk Score]]&lt;=tblRiskRegister3[[#This Row],[Risk Score]],"Yes","No"),"No"),"Yes")</f>
        <v>No</v>
      </c>
      <c r="AP119" s="15"/>
      <c r="AQ119" s="15"/>
      <c r="AR119" s="16"/>
    </row>
    <row r="120" spans="2:44" ht="25.5" x14ac:dyDescent="0.2">
      <c r="B120" s="207" t="s">
        <v>534</v>
      </c>
      <c r="C120" s="194" t="s">
        <v>533</v>
      </c>
      <c r="D120" s="88" t="s">
        <v>90</v>
      </c>
      <c r="E120" s="274" t="s">
        <v>657</v>
      </c>
      <c r="F120" s="14"/>
      <c r="G120" s="88"/>
      <c r="H120" s="88" t="s">
        <v>463</v>
      </c>
      <c r="I120" s="223"/>
      <c r="J120" s="293" t="s">
        <v>667</v>
      </c>
      <c r="K120" s="293" t="s">
        <v>667</v>
      </c>
      <c r="L120" s="293" t="s">
        <v>667</v>
      </c>
      <c r="M120" s="293" t="s">
        <v>667</v>
      </c>
      <c r="N120" s="293" t="s">
        <v>667</v>
      </c>
      <c r="O120" s="295">
        <f>COUNTIF(tblRiskRegister3[[#This Row],[Defends Against Malware]:[Defends Against Targeted Intrusions]],"Yes")</f>
        <v>5</v>
      </c>
      <c r="P120" s="12"/>
      <c r="Q120" s="12"/>
      <c r="R120" s="12"/>
      <c r="S120" s="12"/>
      <c r="T120" s="198"/>
      <c r="U120" s="199">
        <f>IFERROR(VLOOKUP(tblRiskRegister3[[#This Row],[Asset Class]],tblVCDBIndex[],4,FALSE),"")</f>
        <v>1</v>
      </c>
      <c r="V120" s="24" t="str">
        <f>IFERROR(VLOOKUP(10*tblRiskRegister3[[#This Row],[Safeguard Maturity Score]]+tblRiskRegister3[[#This Row],[VCDB Index]],tblHITIndexWeightTable[],4,FALSE),"")</f>
        <v/>
      </c>
      <c r="W120" s="24"/>
      <c r="X120" s="24"/>
      <c r="Y120" s="24"/>
      <c r="Z120" s="24"/>
      <c r="AA120" s="24" t="str">
        <f>IFERROR(MAX(tblRiskRegister3[[#This Row],[Impact to Mission]:[Impact to Obligations]])*tblRiskRegister3[[#This Row],[Expectancy Score]],"")</f>
        <v/>
      </c>
      <c r="AB120" s="24" t="str">
        <f>tblRiskRegister3[[#This Row],[Risk Score]]</f>
        <v/>
      </c>
      <c r="AC120" s="79"/>
      <c r="AD120" s="206">
        <v>13.1</v>
      </c>
      <c r="AE120" s="194" t="s">
        <v>533</v>
      </c>
      <c r="AF120" s="194" t="s">
        <v>567</v>
      </c>
      <c r="AG120" s="213"/>
      <c r="AH120" s="13"/>
      <c r="AI120" s="22" t="str">
        <f>IFERROR(VLOOKUP(10*tblRiskRegister3[[#This Row],[Risk Treatment Safeguard Maturity Score]]+tblRiskRegister3[[#This Row],[VCDB Index]],tblHITIndexWeightTable[],4,FALSE),"")</f>
        <v/>
      </c>
      <c r="AJ120" s="300"/>
      <c r="AK120" s="300"/>
      <c r="AL120" s="300"/>
      <c r="AM120" s="300"/>
      <c r="AN120" s="100" t="str">
        <f>IFERROR(MAX(tblRiskRegister3[[#This Row],[Risk Treatment Safeguard Impact to Mission]:[Risk Treatment Safeguard Impact to Obligations]])*tblRiskRegister3[[#This Row],[Risk Treatment
Safeguard Expectancy Score]],"")</f>
        <v/>
      </c>
      <c r="AO120" s="100" t="str">
        <f>IF(tblRiskRegister3[[#This Row],[Risk Score]]&gt;AcceptableRisk1,IF(tblRiskRegister3[[#This Row],[Risk Treatment Safeguard Risk Score]]&lt;AcceptableRisk1, IF(tblRiskRegister3[[#This Row],[Risk Treatment Safeguard Risk Score]]&lt;=tblRiskRegister3[[#This Row],[Risk Score]],"Yes","No"),"No"),"Yes")</f>
        <v>No</v>
      </c>
      <c r="AP120" s="15"/>
      <c r="AQ120" s="15"/>
      <c r="AR120" s="16"/>
    </row>
    <row r="121" spans="2:44" ht="25.5" x14ac:dyDescent="0.2">
      <c r="B121" s="207">
        <v>13.11</v>
      </c>
      <c r="C121" s="194" t="s">
        <v>546</v>
      </c>
      <c r="D121" s="88" t="s">
        <v>90</v>
      </c>
      <c r="E121" s="274" t="s">
        <v>656</v>
      </c>
      <c r="F121" s="14"/>
      <c r="G121" s="88"/>
      <c r="H121" s="88" t="s">
        <v>463</v>
      </c>
      <c r="I121" s="223"/>
      <c r="J121" s="292" t="s">
        <v>666</v>
      </c>
      <c r="K121" s="292" t="s">
        <v>666</v>
      </c>
      <c r="L121" s="292" t="s">
        <v>666</v>
      </c>
      <c r="M121" s="292" t="s">
        <v>666</v>
      </c>
      <c r="N121" s="292" t="s">
        <v>666</v>
      </c>
      <c r="O121" s="295">
        <f>COUNTIF(tblRiskRegister3[[#This Row],[Defends Against Malware]:[Defends Against Targeted Intrusions]],"Yes")</f>
        <v>0</v>
      </c>
      <c r="P121" s="12"/>
      <c r="Q121" s="12"/>
      <c r="R121" s="12"/>
      <c r="S121" s="12"/>
      <c r="T121" s="198"/>
      <c r="U121" s="199">
        <f>IFERROR(VLOOKUP(tblRiskRegister3[[#This Row],[Asset Class]],tblVCDBIndex[],4,FALSE),"")</f>
        <v>1</v>
      </c>
      <c r="V121" s="24" t="str">
        <f>IFERROR(VLOOKUP(10*tblRiskRegister3[[#This Row],[Safeguard Maturity Score]]+tblRiskRegister3[[#This Row],[VCDB Index]],tblHITIndexWeightTable[],4,FALSE),"")</f>
        <v/>
      </c>
      <c r="W121" s="24"/>
      <c r="X121" s="24"/>
      <c r="Y121" s="24"/>
      <c r="Z121" s="24"/>
      <c r="AA121" s="24" t="str">
        <f>IFERROR(MAX(tblRiskRegister3[[#This Row],[Impact to Mission]:[Impact to Obligations]])*tblRiskRegister3[[#This Row],[Expectancy Score]],"")</f>
        <v/>
      </c>
      <c r="AB121" s="24" t="str">
        <f>tblRiskRegister3[[#This Row],[Risk Score]]</f>
        <v/>
      </c>
      <c r="AC121" s="79"/>
      <c r="AD121" s="206">
        <v>13.11</v>
      </c>
      <c r="AE121" s="194" t="s">
        <v>546</v>
      </c>
      <c r="AF121" s="194" t="s">
        <v>568</v>
      </c>
      <c r="AG121" s="213"/>
      <c r="AH121" s="13"/>
      <c r="AI121" s="22" t="str">
        <f>IFERROR(VLOOKUP(10*tblRiskRegister3[[#This Row],[Risk Treatment Safeguard Maturity Score]]+tblRiskRegister3[[#This Row],[VCDB Index]],tblHITIndexWeightTable[],4,FALSE),"")</f>
        <v/>
      </c>
      <c r="AJ121" s="300"/>
      <c r="AK121" s="300"/>
      <c r="AL121" s="300"/>
      <c r="AM121" s="300"/>
      <c r="AN121" s="100" t="str">
        <f>IFERROR(MAX(tblRiskRegister3[[#This Row],[Risk Treatment Safeguard Impact to Mission]:[Risk Treatment Safeguard Impact to Obligations]])*tblRiskRegister3[[#This Row],[Risk Treatment
Safeguard Expectancy Score]],"")</f>
        <v/>
      </c>
      <c r="AO121" s="100" t="str">
        <f>IF(tblRiskRegister3[[#This Row],[Risk Score]]&gt;AcceptableRisk1,IF(tblRiskRegister3[[#This Row],[Risk Treatment Safeguard Risk Score]]&lt;AcceptableRisk1, IF(tblRiskRegister3[[#This Row],[Risk Treatment Safeguard Risk Score]]&lt;=tblRiskRegister3[[#This Row],[Risk Score]],"Yes","No"),"No"),"Yes")</f>
        <v>No</v>
      </c>
      <c r="AP121" s="15"/>
      <c r="AQ121" s="15"/>
      <c r="AR121" s="16"/>
    </row>
    <row r="122" spans="2:44" ht="76.5" x14ac:dyDescent="0.2">
      <c r="B122" s="207">
        <v>14.1</v>
      </c>
      <c r="C122" s="194" t="s">
        <v>75</v>
      </c>
      <c r="D122" s="88" t="s">
        <v>92</v>
      </c>
      <c r="E122" s="274" t="s">
        <v>657</v>
      </c>
      <c r="F122" s="14" t="s">
        <v>463</v>
      </c>
      <c r="G122" s="88" t="s">
        <v>463</v>
      </c>
      <c r="H122" s="88" t="s">
        <v>463</v>
      </c>
      <c r="I122" s="223"/>
      <c r="J122" s="293" t="s">
        <v>667</v>
      </c>
      <c r="K122" s="293" t="s">
        <v>667</v>
      </c>
      <c r="L122" s="293" t="s">
        <v>667</v>
      </c>
      <c r="M122" s="293" t="s">
        <v>667</v>
      </c>
      <c r="N122" s="293" t="s">
        <v>667</v>
      </c>
      <c r="O122" s="295">
        <f>COUNTIF(tblRiskRegister3[[#This Row],[Defends Against Malware]:[Defends Against Targeted Intrusions]],"Yes")</f>
        <v>5</v>
      </c>
      <c r="P122" s="12"/>
      <c r="Q122" s="12"/>
      <c r="R122" s="12"/>
      <c r="S122" s="12"/>
      <c r="T122" s="198"/>
      <c r="U122" s="199">
        <f>IFERROR(VLOOKUP(tblRiskRegister3[[#This Row],[Asset Class]],tblVCDBIndex[],4,FALSE),"")</f>
        <v>3</v>
      </c>
      <c r="V122" s="24" t="str">
        <f>IFERROR(VLOOKUP(10*tblRiskRegister3[[#This Row],[Safeguard Maturity Score]]+tblRiskRegister3[[#This Row],[VCDB Index]],tblHITIndexWeightTable[],4,FALSE),"")</f>
        <v/>
      </c>
      <c r="W122" s="24"/>
      <c r="X122" s="24"/>
      <c r="Y122" s="24"/>
      <c r="Z122" s="24"/>
      <c r="AA122" s="24" t="str">
        <f>IFERROR(MAX(tblRiskRegister3[[#This Row],[Impact to Mission]:[Impact to Obligations]])*tblRiskRegister3[[#This Row],[Expectancy Score]],"")</f>
        <v/>
      </c>
      <c r="AB122" s="24" t="str">
        <f>tblRiskRegister3[[#This Row],[Risk Score]]</f>
        <v/>
      </c>
      <c r="AC122" s="79"/>
      <c r="AD122" s="206">
        <v>14.1</v>
      </c>
      <c r="AE122" s="194" t="s">
        <v>75</v>
      </c>
      <c r="AF122" s="194" t="s">
        <v>425</v>
      </c>
      <c r="AG122" s="213"/>
      <c r="AH122" s="13"/>
      <c r="AI122" s="22" t="str">
        <f>IFERROR(VLOOKUP(10*tblRiskRegister3[[#This Row],[Risk Treatment Safeguard Maturity Score]]+tblRiskRegister3[[#This Row],[VCDB Index]],tblHITIndexWeightTable[],4,FALSE),"")</f>
        <v/>
      </c>
      <c r="AJ122" s="300"/>
      <c r="AK122" s="300"/>
      <c r="AL122" s="300"/>
      <c r="AM122" s="300"/>
      <c r="AN122" s="100" t="str">
        <f>IFERROR(MAX(tblRiskRegister3[[#This Row],[Risk Treatment Safeguard Impact to Mission]:[Risk Treatment Safeguard Impact to Obligations]])*tblRiskRegister3[[#This Row],[Risk Treatment
Safeguard Expectancy Score]],"")</f>
        <v/>
      </c>
      <c r="AO122" s="100" t="str">
        <f>IF(tblRiskRegister3[[#This Row],[Risk Score]]&gt;AcceptableRisk1,IF(tblRiskRegister3[[#This Row],[Risk Treatment Safeguard Risk Score]]&lt;AcceptableRisk1, IF(tblRiskRegister3[[#This Row],[Risk Treatment Safeguard Risk Score]]&lt;=tblRiskRegister3[[#This Row],[Risk Score]],"Yes","No"),"No"),"Yes")</f>
        <v>No</v>
      </c>
      <c r="AP122" s="15"/>
      <c r="AQ122" s="15"/>
      <c r="AR122" s="16"/>
    </row>
    <row r="123" spans="2:44" ht="51" x14ac:dyDescent="0.2">
      <c r="B123" s="207">
        <v>14.2</v>
      </c>
      <c r="C123" s="194" t="s">
        <v>76</v>
      </c>
      <c r="D123" s="88" t="s">
        <v>92</v>
      </c>
      <c r="E123" s="274" t="s">
        <v>657</v>
      </c>
      <c r="F123" s="14" t="s">
        <v>463</v>
      </c>
      <c r="G123" s="88" t="s">
        <v>463</v>
      </c>
      <c r="H123" s="88" t="s">
        <v>463</v>
      </c>
      <c r="I123" s="223"/>
      <c r="J123" s="293" t="s">
        <v>667</v>
      </c>
      <c r="K123" s="293" t="s">
        <v>667</v>
      </c>
      <c r="L123" s="293" t="s">
        <v>667</v>
      </c>
      <c r="M123" s="293" t="s">
        <v>667</v>
      </c>
      <c r="N123" s="293" t="s">
        <v>667</v>
      </c>
      <c r="O123" s="295">
        <f>COUNTIF(tblRiskRegister3[[#This Row],[Defends Against Malware]:[Defends Against Targeted Intrusions]],"Yes")</f>
        <v>5</v>
      </c>
      <c r="P123" s="12"/>
      <c r="Q123" s="12"/>
      <c r="R123" s="12"/>
      <c r="S123" s="12"/>
      <c r="T123" s="198"/>
      <c r="U123" s="199">
        <f>IFERROR(VLOOKUP(tblRiskRegister3[[#This Row],[Asset Class]],tblVCDBIndex[],4,FALSE),"")</f>
        <v>3</v>
      </c>
      <c r="V123" s="24" t="str">
        <f>IFERROR(VLOOKUP(10*tblRiskRegister3[[#This Row],[Safeguard Maturity Score]]+tblRiskRegister3[[#This Row],[VCDB Index]],tblHITIndexWeightTable[],4,FALSE),"")</f>
        <v/>
      </c>
      <c r="W123" s="24"/>
      <c r="X123" s="24"/>
      <c r="Y123" s="24"/>
      <c r="Z123" s="24"/>
      <c r="AA123" s="24" t="str">
        <f>IFERROR(MAX(tblRiskRegister3[[#This Row],[Impact to Mission]:[Impact to Obligations]])*tblRiskRegister3[[#This Row],[Expectancy Score]],"")</f>
        <v/>
      </c>
      <c r="AB123" s="24" t="str">
        <f>tblRiskRegister3[[#This Row],[Risk Score]]</f>
        <v/>
      </c>
      <c r="AC123" s="79"/>
      <c r="AD123" s="206">
        <v>14.2</v>
      </c>
      <c r="AE123" s="194" t="s">
        <v>76</v>
      </c>
      <c r="AF123" s="194" t="s">
        <v>426</v>
      </c>
      <c r="AG123" s="213"/>
      <c r="AH123" s="13"/>
      <c r="AI123" s="22" t="str">
        <f>IFERROR(VLOOKUP(10*tblRiskRegister3[[#This Row],[Risk Treatment Safeguard Maturity Score]]+tblRiskRegister3[[#This Row],[VCDB Index]],tblHITIndexWeightTable[],4,FALSE),"")</f>
        <v/>
      </c>
      <c r="AJ123" s="300"/>
      <c r="AK123" s="300"/>
      <c r="AL123" s="300"/>
      <c r="AM123" s="300"/>
      <c r="AN123" s="100" t="str">
        <f>IFERROR(MAX(tblRiskRegister3[[#This Row],[Risk Treatment Safeguard Impact to Mission]:[Risk Treatment Safeguard Impact to Obligations]])*tblRiskRegister3[[#This Row],[Risk Treatment
Safeguard Expectancy Score]],"")</f>
        <v/>
      </c>
      <c r="AO123" s="100" t="str">
        <f>IF(tblRiskRegister3[[#This Row],[Risk Score]]&gt;AcceptableRisk1,IF(tblRiskRegister3[[#This Row],[Risk Treatment Safeguard Risk Score]]&lt;AcceptableRisk1, IF(tblRiskRegister3[[#This Row],[Risk Treatment Safeguard Risk Score]]&lt;=tblRiskRegister3[[#This Row],[Risk Score]],"Yes","No"),"No"),"Yes")</f>
        <v>No</v>
      </c>
      <c r="AP123" s="15"/>
      <c r="AQ123" s="15"/>
      <c r="AR123" s="16"/>
    </row>
    <row r="124" spans="2:44" ht="51" x14ac:dyDescent="0.2">
      <c r="B124" s="207">
        <v>14.3</v>
      </c>
      <c r="C124" s="194" t="s">
        <v>77</v>
      </c>
      <c r="D124" s="88" t="s">
        <v>92</v>
      </c>
      <c r="E124" s="274" t="s">
        <v>657</v>
      </c>
      <c r="F124" s="14" t="s">
        <v>463</v>
      </c>
      <c r="G124" s="88" t="s">
        <v>463</v>
      </c>
      <c r="H124" s="88" t="s">
        <v>463</v>
      </c>
      <c r="I124" s="223"/>
      <c r="J124" s="293" t="s">
        <v>667</v>
      </c>
      <c r="K124" s="293" t="s">
        <v>667</v>
      </c>
      <c r="L124" s="293" t="s">
        <v>667</v>
      </c>
      <c r="M124" s="293" t="s">
        <v>667</v>
      </c>
      <c r="N124" s="293" t="s">
        <v>667</v>
      </c>
      <c r="O124" s="295">
        <f>COUNTIF(tblRiskRegister3[[#This Row],[Defends Against Malware]:[Defends Against Targeted Intrusions]],"Yes")</f>
        <v>5</v>
      </c>
      <c r="P124" s="12"/>
      <c r="Q124" s="12"/>
      <c r="R124" s="12"/>
      <c r="S124" s="12"/>
      <c r="T124" s="198"/>
      <c r="U124" s="199">
        <f>IFERROR(VLOOKUP(tblRiskRegister3[[#This Row],[Asset Class]],tblVCDBIndex[],4,FALSE),"")</f>
        <v>3</v>
      </c>
      <c r="V124" s="24" t="str">
        <f>IFERROR(VLOOKUP(10*tblRiskRegister3[[#This Row],[Safeguard Maturity Score]]+tblRiskRegister3[[#This Row],[VCDB Index]],tblHITIndexWeightTable[],4,FALSE),"")</f>
        <v/>
      </c>
      <c r="W124" s="24"/>
      <c r="X124" s="24"/>
      <c r="Y124" s="24"/>
      <c r="Z124" s="24"/>
      <c r="AA124" s="24" t="str">
        <f>IFERROR(MAX(tblRiskRegister3[[#This Row],[Impact to Mission]:[Impact to Obligations]])*tblRiskRegister3[[#This Row],[Expectancy Score]],"")</f>
        <v/>
      </c>
      <c r="AB124" s="24" t="str">
        <f>tblRiskRegister3[[#This Row],[Risk Score]]</f>
        <v/>
      </c>
      <c r="AC124" s="79"/>
      <c r="AD124" s="206">
        <v>14.3</v>
      </c>
      <c r="AE124" s="194" t="s">
        <v>77</v>
      </c>
      <c r="AF124" s="194" t="s">
        <v>427</v>
      </c>
      <c r="AG124" s="213"/>
      <c r="AH124" s="13"/>
      <c r="AI124" s="22" t="str">
        <f>IFERROR(VLOOKUP(10*tblRiskRegister3[[#This Row],[Risk Treatment Safeguard Maturity Score]]+tblRiskRegister3[[#This Row],[VCDB Index]],tblHITIndexWeightTable[],4,FALSE),"")</f>
        <v/>
      </c>
      <c r="AJ124" s="300"/>
      <c r="AK124" s="300"/>
      <c r="AL124" s="300"/>
      <c r="AM124" s="300"/>
      <c r="AN124" s="100" t="str">
        <f>IFERROR(MAX(tblRiskRegister3[[#This Row],[Risk Treatment Safeguard Impact to Mission]:[Risk Treatment Safeguard Impact to Obligations]])*tblRiskRegister3[[#This Row],[Risk Treatment
Safeguard Expectancy Score]],"")</f>
        <v/>
      </c>
      <c r="AO124" s="100" t="str">
        <f>IF(tblRiskRegister3[[#This Row],[Risk Score]]&gt;AcceptableRisk1,IF(tblRiskRegister3[[#This Row],[Risk Treatment Safeguard Risk Score]]&lt;AcceptableRisk1, IF(tblRiskRegister3[[#This Row],[Risk Treatment Safeguard Risk Score]]&lt;=tblRiskRegister3[[#This Row],[Risk Score]],"Yes","No"),"No"),"Yes")</f>
        <v>No</v>
      </c>
      <c r="AP124" s="15"/>
      <c r="AQ124" s="15"/>
      <c r="AR124" s="16"/>
    </row>
    <row r="125" spans="2:44" ht="76.5" x14ac:dyDescent="0.2">
      <c r="B125" s="207">
        <v>14.4</v>
      </c>
      <c r="C125" s="194" t="s">
        <v>78</v>
      </c>
      <c r="D125" s="88" t="s">
        <v>92</v>
      </c>
      <c r="E125" s="274" t="s">
        <v>657</v>
      </c>
      <c r="F125" s="14" t="s">
        <v>463</v>
      </c>
      <c r="G125" s="88" t="s">
        <v>463</v>
      </c>
      <c r="H125" s="88" t="s">
        <v>463</v>
      </c>
      <c r="I125" s="223"/>
      <c r="J125" s="293" t="s">
        <v>667</v>
      </c>
      <c r="K125" s="293" t="s">
        <v>667</v>
      </c>
      <c r="L125" s="293" t="s">
        <v>667</v>
      </c>
      <c r="M125" s="293" t="s">
        <v>667</v>
      </c>
      <c r="N125" s="293" t="s">
        <v>667</v>
      </c>
      <c r="O125" s="295">
        <f>COUNTIF(tblRiskRegister3[[#This Row],[Defends Against Malware]:[Defends Against Targeted Intrusions]],"Yes")</f>
        <v>5</v>
      </c>
      <c r="P125" s="12"/>
      <c r="Q125" s="12"/>
      <c r="R125" s="12"/>
      <c r="S125" s="12"/>
      <c r="T125" s="198"/>
      <c r="U125" s="199">
        <f>IFERROR(VLOOKUP(tblRiskRegister3[[#This Row],[Asset Class]],tblVCDBIndex[],4,FALSE),"")</f>
        <v>3</v>
      </c>
      <c r="V125" s="24" t="str">
        <f>IFERROR(VLOOKUP(10*tblRiskRegister3[[#This Row],[Safeguard Maturity Score]]+tblRiskRegister3[[#This Row],[VCDB Index]],tblHITIndexWeightTable[],4,FALSE),"")</f>
        <v/>
      </c>
      <c r="W125" s="24"/>
      <c r="X125" s="24"/>
      <c r="Y125" s="24"/>
      <c r="Z125" s="24"/>
      <c r="AA125" s="24" t="str">
        <f>IFERROR(MAX(tblRiskRegister3[[#This Row],[Impact to Mission]:[Impact to Obligations]])*tblRiskRegister3[[#This Row],[Expectancy Score]],"")</f>
        <v/>
      </c>
      <c r="AB125" s="24" t="str">
        <f>tblRiskRegister3[[#This Row],[Risk Score]]</f>
        <v/>
      </c>
      <c r="AC125" s="79"/>
      <c r="AD125" s="206">
        <v>14.4</v>
      </c>
      <c r="AE125" s="194" t="s">
        <v>78</v>
      </c>
      <c r="AF125" s="194" t="s">
        <v>428</v>
      </c>
      <c r="AG125" s="213"/>
      <c r="AH125" s="13"/>
      <c r="AI125" s="22" t="str">
        <f>IFERROR(VLOOKUP(10*tblRiskRegister3[[#This Row],[Risk Treatment Safeguard Maturity Score]]+tblRiskRegister3[[#This Row],[VCDB Index]],tblHITIndexWeightTable[],4,FALSE),"")</f>
        <v/>
      </c>
      <c r="AJ125" s="300"/>
      <c r="AK125" s="300"/>
      <c r="AL125" s="300"/>
      <c r="AM125" s="300"/>
      <c r="AN125" s="100" t="str">
        <f>IFERROR(MAX(tblRiskRegister3[[#This Row],[Risk Treatment Safeguard Impact to Mission]:[Risk Treatment Safeguard Impact to Obligations]])*tblRiskRegister3[[#This Row],[Risk Treatment
Safeguard Expectancy Score]],"")</f>
        <v/>
      </c>
      <c r="AO125" s="100" t="str">
        <f>IF(tblRiskRegister3[[#This Row],[Risk Score]]&gt;AcceptableRisk1,IF(tblRiskRegister3[[#This Row],[Risk Treatment Safeguard Risk Score]]&lt;AcceptableRisk1, IF(tblRiskRegister3[[#This Row],[Risk Treatment Safeguard Risk Score]]&lt;=tblRiskRegister3[[#This Row],[Risk Score]],"Yes","No"),"No"),"Yes")</f>
        <v>No</v>
      </c>
      <c r="AP125" s="15"/>
      <c r="AQ125" s="15"/>
      <c r="AR125" s="16"/>
    </row>
    <row r="126" spans="2:44" ht="51" x14ac:dyDescent="0.2">
      <c r="B126" s="207">
        <v>14.5</v>
      </c>
      <c r="C126" s="194" t="s">
        <v>79</v>
      </c>
      <c r="D126" s="88" t="s">
        <v>92</v>
      </c>
      <c r="E126" s="274" t="s">
        <v>657</v>
      </c>
      <c r="F126" s="14" t="s">
        <v>463</v>
      </c>
      <c r="G126" s="88" t="s">
        <v>463</v>
      </c>
      <c r="H126" s="88" t="s">
        <v>463</v>
      </c>
      <c r="I126" s="223"/>
      <c r="J126" s="292" t="s">
        <v>666</v>
      </c>
      <c r="K126" s="293" t="s">
        <v>667</v>
      </c>
      <c r="L126" s="292" t="s">
        <v>666</v>
      </c>
      <c r="M126" s="293" t="s">
        <v>667</v>
      </c>
      <c r="N126" s="292" t="s">
        <v>666</v>
      </c>
      <c r="O126" s="295">
        <f>COUNTIF(tblRiskRegister3[[#This Row],[Defends Against Malware]:[Defends Against Targeted Intrusions]],"Yes")</f>
        <v>2</v>
      </c>
      <c r="P126" s="12"/>
      <c r="Q126" s="12"/>
      <c r="R126" s="12"/>
      <c r="S126" s="12"/>
      <c r="T126" s="198"/>
      <c r="U126" s="199">
        <f>IFERROR(VLOOKUP(tblRiskRegister3[[#This Row],[Asset Class]],tblVCDBIndex[],4,FALSE),"")</f>
        <v>3</v>
      </c>
      <c r="V126" s="24" t="str">
        <f>IFERROR(VLOOKUP(10*tblRiskRegister3[[#This Row],[Safeguard Maturity Score]]+tblRiskRegister3[[#This Row],[VCDB Index]],tblHITIndexWeightTable[],4,FALSE),"")</f>
        <v/>
      </c>
      <c r="W126" s="24"/>
      <c r="X126" s="24"/>
      <c r="Y126" s="24"/>
      <c r="Z126" s="24"/>
      <c r="AA126" s="24" t="str">
        <f>IFERROR(MAX(tblRiskRegister3[[#This Row],[Impact to Mission]:[Impact to Obligations]])*tblRiskRegister3[[#This Row],[Expectancy Score]],"")</f>
        <v/>
      </c>
      <c r="AB126" s="24" t="str">
        <f>tblRiskRegister3[[#This Row],[Risk Score]]</f>
        <v/>
      </c>
      <c r="AC126" s="79"/>
      <c r="AD126" s="206">
        <v>14.5</v>
      </c>
      <c r="AE126" s="194" t="s">
        <v>79</v>
      </c>
      <c r="AF126" s="194" t="s">
        <v>429</v>
      </c>
      <c r="AG126" s="213"/>
      <c r="AH126" s="13"/>
      <c r="AI126" s="22" t="str">
        <f>IFERROR(VLOOKUP(10*tblRiskRegister3[[#This Row],[Risk Treatment Safeguard Maturity Score]]+tblRiskRegister3[[#This Row],[VCDB Index]],tblHITIndexWeightTable[],4,FALSE),"")</f>
        <v/>
      </c>
      <c r="AJ126" s="300"/>
      <c r="AK126" s="300"/>
      <c r="AL126" s="300"/>
      <c r="AM126" s="300"/>
      <c r="AN126" s="100" t="str">
        <f>IFERROR(MAX(tblRiskRegister3[[#This Row],[Risk Treatment Safeguard Impact to Mission]:[Risk Treatment Safeguard Impact to Obligations]])*tblRiskRegister3[[#This Row],[Risk Treatment
Safeguard Expectancy Score]],"")</f>
        <v/>
      </c>
      <c r="AO126" s="100" t="str">
        <f>IF(tblRiskRegister3[[#This Row],[Risk Score]]&gt;AcceptableRisk1,IF(tblRiskRegister3[[#This Row],[Risk Treatment Safeguard Risk Score]]&lt;AcceptableRisk1, IF(tblRiskRegister3[[#This Row],[Risk Treatment Safeguard Risk Score]]&lt;=tblRiskRegister3[[#This Row],[Risk Score]],"Yes","No"),"No"),"Yes")</f>
        <v>No</v>
      </c>
      <c r="AP126" s="15"/>
      <c r="AQ126" s="15"/>
      <c r="AR126" s="16"/>
    </row>
    <row r="127" spans="2:44" ht="51" x14ac:dyDescent="0.2">
      <c r="B127" s="207">
        <v>14.6</v>
      </c>
      <c r="C127" s="194" t="s">
        <v>80</v>
      </c>
      <c r="D127" s="88" t="s">
        <v>92</v>
      </c>
      <c r="E127" s="274" t="s">
        <v>657</v>
      </c>
      <c r="F127" s="14" t="s">
        <v>463</v>
      </c>
      <c r="G127" s="88" t="s">
        <v>463</v>
      </c>
      <c r="H127" s="88" t="s">
        <v>463</v>
      </c>
      <c r="I127" s="223"/>
      <c r="J127" s="293" t="s">
        <v>667</v>
      </c>
      <c r="K127" s="293" t="s">
        <v>667</v>
      </c>
      <c r="L127" s="293" t="s">
        <v>667</v>
      </c>
      <c r="M127" s="293" t="s">
        <v>667</v>
      </c>
      <c r="N127" s="293" t="s">
        <v>667</v>
      </c>
      <c r="O127" s="295">
        <f>COUNTIF(tblRiskRegister3[[#This Row],[Defends Against Malware]:[Defends Against Targeted Intrusions]],"Yes")</f>
        <v>5</v>
      </c>
      <c r="P127" s="12"/>
      <c r="Q127" s="12"/>
      <c r="R127" s="12"/>
      <c r="S127" s="12"/>
      <c r="T127" s="198"/>
      <c r="U127" s="199">
        <f>IFERROR(VLOOKUP(tblRiskRegister3[[#This Row],[Asset Class]],tblVCDBIndex[],4,FALSE),"")</f>
        <v>3</v>
      </c>
      <c r="V127" s="24" t="str">
        <f>IFERROR(VLOOKUP(10*tblRiskRegister3[[#This Row],[Safeguard Maturity Score]]+tblRiskRegister3[[#This Row],[VCDB Index]],tblHITIndexWeightTable[],4,FALSE),"")</f>
        <v/>
      </c>
      <c r="W127" s="24"/>
      <c r="X127" s="24"/>
      <c r="Y127" s="24"/>
      <c r="Z127" s="24"/>
      <c r="AA127" s="24" t="str">
        <f>IFERROR(MAX(tblRiskRegister3[[#This Row],[Impact to Mission]:[Impact to Obligations]])*tblRiskRegister3[[#This Row],[Expectancy Score]],"")</f>
        <v/>
      </c>
      <c r="AB127" s="24" t="str">
        <f>tblRiskRegister3[[#This Row],[Risk Score]]</f>
        <v/>
      </c>
      <c r="AC127" s="79"/>
      <c r="AD127" s="206">
        <v>14.6</v>
      </c>
      <c r="AE127" s="194" t="s">
        <v>80</v>
      </c>
      <c r="AF127" s="194" t="s">
        <v>430</v>
      </c>
      <c r="AG127" s="213"/>
      <c r="AH127" s="13"/>
      <c r="AI127" s="22" t="str">
        <f>IFERROR(VLOOKUP(10*tblRiskRegister3[[#This Row],[Risk Treatment Safeguard Maturity Score]]+tblRiskRegister3[[#This Row],[VCDB Index]],tblHITIndexWeightTable[],4,FALSE),"")</f>
        <v/>
      </c>
      <c r="AJ127" s="300"/>
      <c r="AK127" s="300"/>
      <c r="AL127" s="300"/>
      <c r="AM127" s="300"/>
      <c r="AN127" s="100" t="str">
        <f>IFERROR(MAX(tblRiskRegister3[[#This Row],[Risk Treatment Safeguard Impact to Mission]:[Risk Treatment Safeguard Impact to Obligations]])*tblRiskRegister3[[#This Row],[Risk Treatment
Safeguard Expectancy Score]],"")</f>
        <v/>
      </c>
      <c r="AO127" s="100" t="str">
        <f>IF(tblRiskRegister3[[#This Row],[Risk Score]]&gt;AcceptableRisk1,IF(tblRiskRegister3[[#This Row],[Risk Treatment Safeguard Risk Score]]&lt;AcceptableRisk1, IF(tblRiskRegister3[[#This Row],[Risk Treatment Safeguard Risk Score]]&lt;=tblRiskRegister3[[#This Row],[Risk Score]],"Yes","No"),"No"),"Yes")</f>
        <v>No</v>
      </c>
      <c r="AP127" s="15"/>
      <c r="AQ127" s="15"/>
      <c r="AR127" s="16"/>
    </row>
    <row r="128" spans="2:44" ht="63.75" x14ac:dyDescent="0.2">
      <c r="B128" s="207">
        <v>14.7</v>
      </c>
      <c r="C128" s="194" t="s">
        <v>81</v>
      </c>
      <c r="D128" s="88" t="s">
        <v>92</v>
      </c>
      <c r="E128" s="274" t="s">
        <v>657</v>
      </c>
      <c r="F128" s="14" t="s">
        <v>463</v>
      </c>
      <c r="G128" s="88" t="s">
        <v>463</v>
      </c>
      <c r="H128" s="88" t="s">
        <v>463</v>
      </c>
      <c r="I128" s="223"/>
      <c r="J128" s="292" t="s">
        <v>666</v>
      </c>
      <c r="K128" s="292" t="s">
        <v>666</v>
      </c>
      <c r="L128" s="292" t="s">
        <v>666</v>
      </c>
      <c r="M128" s="292" t="s">
        <v>666</v>
      </c>
      <c r="N128" s="292" t="s">
        <v>666</v>
      </c>
      <c r="O128" s="295">
        <f>COUNTIF(tblRiskRegister3[[#This Row],[Defends Against Malware]:[Defends Against Targeted Intrusions]],"Yes")</f>
        <v>0</v>
      </c>
      <c r="P128" s="12"/>
      <c r="Q128" s="12"/>
      <c r="R128" s="12"/>
      <c r="S128" s="12"/>
      <c r="T128" s="198"/>
      <c r="U128" s="199">
        <f>IFERROR(VLOOKUP(tblRiskRegister3[[#This Row],[Asset Class]],tblVCDBIndex[],4,FALSE),"")</f>
        <v>3</v>
      </c>
      <c r="V128" s="24" t="str">
        <f>IFERROR(VLOOKUP(10*tblRiskRegister3[[#This Row],[Safeguard Maturity Score]]+tblRiskRegister3[[#This Row],[VCDB Index]],tblHITIndexWeightTable[],4,FALSE),"")</f>
        <v/>
      </c>
      <c r="W128" s="24"/>
      <c r="X128" s="24"/>
      <c r="Y128" s="24"/>
      <c r="Z128" s="24"/>
      <c r="AA128" s="24" t="str">
        <f>IFERROR(MAX(tblRiskRegister3[[#This Row],[Impact to Mission]:[Impact to Obligations]])*tblRiskRegister3[[#This Row],[Expectancy Score]],"")</f>
        <v/>
      </c>
      <c r="AB128" s="24" t="str">
        <f>tblRiskRegister3[[#This Row],[Risk Score]]</f>
        <v/>
      </c>
      <c r="AC128" s="79"/>
      <c r="AD128" s="206">
        <v>14.7</v>
      </c>
      <c r="AE128" s="194" t="s">
        <v>81</v>
      </c>
      <c r="AF128" s="194" t="s">
        <v>431</v>
      </c>
      <c r="AG128" s="213"/>
      <c r="AH128" s="13"/>
      <c r="AI128" s="22" t="str">
        <f>IFERROR(VLOOKUP(10*tblRiskRegister3[[#This Row],[Risk Treatment Safeguard Maturity Score]]+tblRiskRegister3[[#This Row],[VCDB Index]],tblHITIndexWeightTable[],4,FALSE),"")</f>
        <v/>
      </c>
      <c r="AJ128" s="300"/>
      <c r="AK128" s="300"/>
      <c r="AL128" s="300"/>
      <c r="AM128" s="300"/>
      <c r="AN128" s="100" t="str">
        <f>IFERROR(MAX(tblRiskRegister3[[#This Row],[Risk Treatment Safeguard Impact to Mission]:[Risk Treatment Safeguard Impact to Obligations]])*tblRiskRegister3[[#This Row],[Risk Treatment
Safeguard Expectancy Score]],"")</f>
        <v/>
      </c>
      <c r="AO128" s="100" t="str">
        <f>IF(tblRiskRegister3[[#This Row],[Risk Score]]&gt;AcceptableRisk1,IF(tblRiskRegister3[[#This Row],[Risk Treatment Safeguard Risk Score]]&lt;AcceptableRisk1, IF(tblRiskRegister3[[#This Row],[Risk Treatment Safeguard Risk Score]]&lt;=tblRiskRegister3[[#This Row],[Risk Score]],"Yes","No"),"No"),"Yes")</f>
        <v>No</v>
      </c>
      <c r="AP128" s="15"/>
      <c r="AQ128" s="15"/>
      <c r="AR128" s="16"/>
    </row>
    <row r="129" spans="2:44" ht="63.75" x14ac:dyDescent="0.2">
      <c r="B129" s="207">
        <v>14.8</v>
      </c>
      <c r="C129" s="194" t="s">
        <v>82</v>
      </c>
      <c r="D129" s="88" t="s">
        <v>92</v>
      </c>
      <c r="E129" s="274" t="s">
        <v>657</v>
      </c>
      <c r="F129" s="14" t="s">
        <v>463</v>
      </c>
      <c r="G129" s="88" t="s">
        <v>463</v>
      </c>
      <c r="H129" s="88" t="s">
        <v>463</v>
      </c>
      <c r="I129" s="223"/>
      <c r="J129" s="292" t="s">
        <v>666</v>
      </c>
      <c r="K129" s="292" t="s">
        <v>666</v>
      </c>
      <c r="L129" s="292" t="s">
        <v>666</v>
      </c>
      <c r="M129" s="292" t="s">
        <v>666</v>
      </c>
      <c r="N129" s="292" t="s">
        <v>666</v>
      </c>
      <c r="O129" s="295">
        <f>COUNTIF(tblRiskRegister3[[#This Row],[Defends Against Malware]:[Defends Against Targeted Intrusions]],"Yes")</f>
        <v>0</v>
      </c>
      <c r="P129" s="12"/>
      <c r="Q129" s="12"/>
      <c r="R129" s="12"/>
      <c r="S129" s="12"/>
      <c r="T129" s="198"/>
      <c r="U129" s="199">
        <f>IFERROR(VLOOKUP(tblRiskRegister3[[#This Row],[Asset Class]],tblVCDBIndex[],4,FALSE),"")</f>
        <v>3</v>
      </c>
      <c r="V129" s="24" t="str">
        <f>IFERROR(VLOOKUP(10*tblRiskRegister3[[#This Row],[Safeguard Maturity Score]]+tblRiskRegister3[[#This Row],[VCDB Index]],tblHITIndexWeightTable[],4,FALSE),"")</f>
        <v/>
      </c>
      <c r="W129" s="24"/>
      <c r="X129" s="24"/>
      <c r="Y129" s="24"/>
      <c r="Z129" s="24"/>
      <c r="AA129" s="24" t="str">
        <f>IFERROR(MAX(tblRiskRegister3[[#This Row],[Impact to Mission]:[Impact to Obligations]])*tblRiskRegister3[[#This Row],[Expectancy Score]],"")</f>
        <v/>
      </c>
      <c r="AB129" s="24" t="str">
        <f>tblRiskRegister3[[#This Row],[Risk Score]]</f>
        <v/>
      </c>
      <c r="AC129" s="79"/>
      <c r="AD129" s="206">
        <v>14.8</v>
      </c>
      <c r="AE129" s="194" t="s">
        <v>82</v>
      </c>
      <c r="AF129" s="194" t="s">
        <v>432</v>
      </c>
      <c r="AG129" s="213"/>
      <c r="AH129" s="13"/>
      <c r="AI129" s="22" t="str">
        <f>IFERROR(VLOOKUP(10*tblRiskRegister3[[#This Row],[Risk Treatment Safeguard Maturity Score]]+tblRiskRegister3[[#This Row],[VCDB Index]],tblHITIndexWeightTable[],4,FALSE),"")</f>
        <v/>
      </c>
      <c r="AJ129" s="300"/>
      <c r="AK129" s="300"/>
      <c r="AL129" s="300"/>
      <c r="AM129" s="300"/>
      <c r="AN129" s="100" t="str">
        <f>IFERROR(MAX(tblRiskRegister3[[#This Row],[Risk Treatment Safeguard Impact to Mission]:[Risk Treatment Safeguard Impact to Obligations]])*tblRiskRegister3[[#This Row],[Risk Treatment
Safeguard Expectancy Score]],"")</f>
        <v/>
      </c>
      <c r="AO129" s="100" t="str">
        <f>IF(tblRiskRegister3[[#This Row],[Risk Score]]&gt;AcceptableRisk1,IF(tblRiskRegister3[[#This Row],[Risk Treatment Safeguard Risk Score]]&lt;AcceptableRisk1, IF(tblRiskRegister3[[#This Row],[Risk Treatment Safeguard Risk Score]]&lt;=tblRiskRegister3[[#This Row],[Risk Score]],"Yes","No"),"No"),"Yes")</f>
        <v>No</v>
      </c>
      <c r="AP129" s="15"/>
      <c r="AQ129" s="15"/>
      <c r="AR129" s="16"/>
    </row>
    <row r="130" spans="2:44" ht="76.5" x14ac:dyDescent="0.2">
      <c r="B130" s="207">
        <v>14.9</v>
      </c>
      <c r="C130" s="194" t="s">
        <v>192</v>
      </c>
      <c r="D130" s="88" t="s">
        <v>92</v>
      </c>
      <c r="E130" s="274" t="s">
        <v>657</v>
      </c>
      <c r="F130" s="14"/>
      <c r="G130" s="88" t="s">
        <v>463</v>
      </c>
      <c r="H130" s="88" t="s">
        <v>463</v>
      </c>
      <c r="I130" s="223"/>
      <c r="J130" s="293" t="s">
        <v>667</v>
      </c>
      <c r="K130" s="293" t="s">
        <v>667</v>
      </c>
      <c r="L130" s="293" t="s">
        <v>667</v>
      </c>
      <c r="M130" s="293" t="s">
        <v>667</v>
      </c>
      <c r="N130" s="293" t="s">
        <v>667</v>
      </c>
      <c r="O130" s="295">
        <f>COUNTIF(tblRiskRegister3[[#This Row],[Defends Against Malware]:[Defends Against Targeted Intrusions]],"Yes")</f>
        <v>5</v>
      </c>
      <c r="P130" s="12"/>
      <c r="Q130" s="12"/>
      <c r="R130" s="12"/>
      <c r="S130" s="12"/>
      <c r="T130" s="198"/>
      <c r="U130" s="199">
        <f>IFERROR(VLOOKUP(tblRiskRegister3[[#This Row],[Asset Class]],tblVCDBIndex[],4,FALSE),"")</f>
        <v>3</v>
      </c>
      <c r="V130" s="24" t="str">
        <f>IFERROR(VLOOKUP(10*tblRiskRegister3[[#This Row],[Safeguard Maturity Score]]+tblRiskRegister3[[#This Row],[VCDB Index]],tblHITIndexWeightTable[],4,FALSE),"")</f>
        <v/>
      </c>
      <c r="W130" s="24"/>
      <c r="X130" s="24"/>
      <c r="Y130" s="24"/>
      <c r="Z130" s="24"/>
      <c r="AA130" s="24" t="str">
        <f>IFERROR(MAX(tblRiskRegister3[[#This Row],[Impact to Mission]:[Impact to Obligations]])*tblRiskRegister3[[#This Row],[Expectancy Score]],"")</f>
        <v/>
      </c>
      <c r="AB130" s="24" t="str">
        <f>tblRiskRegister3[[#This Row],[Risk Score]]</f>
        <v/>
      </c>
      <c r="AC130" s="79"/>
      <c r="AD130" s="206">
        <v>14.9</v>
      </c>
      <c r="AE130" s="194" t="s">
        <v>192</v>
      </c>
      <c r="AF130" s="194" t="s">
        <v>433</v>
      </c>
      <c r="AG130" s="213"/>
      <c r="AH130" s="13"/>
      <c r="AI130" s="22" t="str">
        <f>IFERROR(VLOOKUP(10*tblRiskRegister3[[#This Row],[Risk Treatment Safeguard Maturity Score]]+tblRiskRegister3[[#This Row],[VCDB Index]],tblHITIndexWeightTable[],4,FALSE),"")</f>
        <v/>
      </c>
      <c r="AJ130" s="300"/>
      <c r="AK130" s="300"/>
      <c r="AL130" s="300"/>
      <c r="AM130" s="300"/>
      <c r="AN130" s="100" t="str">
        <f>IFERROR(MAX(tblRiskRegister3[[#This Row],[Risk Treatment Safeguard Impact to Mission]:[Risk Treatment Safeguard Impact to Obligations]])*tblRiskRegister3[[#This Row],[Risk Treatment
Safeguard Expectancy Score]],"")</f>
        <v/>
      </c>
      <c r="AO130" s="100" t="str">
        <f>IF(tblRiskRegister3[[#This Row],[Risk Score]]&gt;AcceptableRisk1,IF(tblRiskRegister3[[#This Row],[Risk Treatment Safeguard Risk Score]]&lt;AcceptableRisk1, IF(tblRiskRegister3[[#This Row],[Risk Treatment Safeguard Risk Score]]&lt;=tblRiskRegister3[[#This Row],[Risk Score]],"Yes","No"),"No"),"Yes")</f>
        <v>No</v>
      </c>
      <c r="AP130" s="15"/>
      <c r="AQ130" s="15"/>
      <c r="AR130" s="16"/>
    </row>
    <row r="131" spans="2:44" ht="76.5" x14ac:dyDescent="0.2">
      <c r="B131" s="207">
        <v>15.1</v>
      </c>
      <c r="C131" s="194" t="s">
        <v>83</v>
      </c>
      <c r="D131" s="88" t="s">
        <v>92</v>
      </c>
      <c r="E131" s="274" t="s">
        <v>654</v>
      </c>
      <c r="F131" s="14" t="s">
        <v>463</v>
      </c>
      <c r="G131" s="88" t="s">
        <v>463</v>
      </c>
      <c r="H131" s="88" t="s">
        <v>463</v>
      </c>
      <c r="I131" s="223"/>
      <c r="J131" s="292" t="s">
        <v>666</v>
      </c>
      <c r="K131" s="292" t="s">
        <v>666</v>
      </c>
      <c r="L131" s="292" t="s">
        <v>666</v>
      </c>
      <c r="M131" s="292" t="s">
        <v>666</v>
      </c>
      <c r="N131" s="292" t="s">
        <v>666</v>
      </c>
      <c r="O131" s="295">
        <f>COUNTIF(tblRiskRegister3[[#This Row],[Defends Against Malware]:[Defends Against Targeted Intrusions]],"Yes")</f>
        <v>0</v>
      </c>
      <c r="P131" s="12"/>
      <c r="Q131" s="12"/>
      <c r="R131" s="12"/>
      <c r="S131" s="12"/>
      <c r="T131" s="198"/>
      <c r="U131" s="199">
        <f>IFERROR(VLOOKUP(tblRiskRegister3[[#This Row],[Asset Class]],tblVCDBIndex[],4,FALSE),"")</f>
        <v>3</v>
      </c>
      <c r="V131" s="24" t="str">
        <f>IFERROR(VLOOKUP(10*tblRiskRegister3[[#This Row],[Safeguard Maturity Score]]+tblRiskRegister3[[#This Row],[VCDB Index]],tblHITIndexWeightTable[],4,FALSE),"")</f>
        <v/>
      </c>
      <c r="W131" s="24"/>
      <c r="X131" s="24"/>
      <c r="Y131" s="24"/>
      <c r="Z131" s="24"/>
      <c r="AA131" s="24" t="str">
        <f>IFERROR(MAX(tblRiskRegister3[[#This Row],[Impact to Mission]:[Impact to Obligations]])*tblRiskRegister3[[#This Row],[Expectancy Score]],"")</f>
        <v/>
      </c>
      <c r="AB131" s="24" t="str">
        <f>tblRiskRegister3[[#This Row],[Risk Score]]</f>
        <v/>
      </c>
      <c r="AC131" s="79"/>
      <c r="AD131" s="206">
        <v>15.1</v>
      </c>
      <c r="AE131" s="194" t="s">
        <v>83</v>
      </c>
      <c r="AF131" s="194" t="s">
        <v>434</v>
      </c>
      <c r="AG131" s="213"/>
      <c r="AH131" s="13"/>
      <c r="AI131" s="22" t="str">
        <f>IFERROR(VLOOKUP(10*tblRiskRegister3[[#This Row],[Risk Treatment Safeguard Maturity Score]]+tblRiskRegister3[[#This Row],[VCDB Index]],tblHITIndexWeightTable[],4,FALSE),"")</f>
        <v/>
      </c>
      <c r="AJ131" s="300"/>
      <c r="AK131" s="300"/>
      <c r="AL131" s="300"/>
      <c r="AM131" s="300"/>
      <c r="AN131" s="100" t="str">
        <f>IFERROR(MAX(tblRiskRegister3[[#This Row],[Risk Treatment Safeguard Impact to Mission]:[Risk Treatment Safeguard Impact to Obligations]])*tblRiskRegister3[[#This Row],[Risk Treatment
Safeguard Expectancy Score]],"")</f>
        <v/>
      </c>
      <c r="AO131" s="100" t="str">
        <f>IF(tblRiskRegister3[[#This Row],[Risk Score]]&gt;AcceptableRisk1,IF(tblRiskRegister3[[#This Row],[Risk Treatment Safeguard Risk Score]]&lt;AcceptableRisk1, IF(tblRiskRegister3[[#This Row],[Risk Treatment Safeguard Risk Score]]&lt;=tblRiskRegister3[[#This Row],[Risk Score]],"Yes","No"),"No"),"Yes")</f>
        <v>No</v>
      </c>
      <c r="AP131" s="15"/>
      <c r="AQ131" s="15"/>
      <c r="AR131" s="16"/>
    </row>
    <row r="132" spans="2:44" ht="63.75" x14ac:dyDescent="0.2">
      <c r="B132" s="207">
        <v>15.2</v>
      </c>
      <c r="C132" s="194" t="s">
        <v>193</v>
      </c>
      <c r="D132" s="88" t="s">
        <v>92</v>
      </c>
      <c r="E132" s="274" t="s">
        <v>654</v>
      </c>
      <c r="F132" s="14"/>
      <c r="G132" s="88" t="s">
        <v>463</v>
      </c>
      <c r="H132" s="88" t="s">
        <v>463</v>
      </c>
      <c r="I132" s="223"/>
      <c r="J132" s="292" t="s">
        <v>666</v>
      </c>
      <c r="K132" s="292" t="s">
        <v>666</v>
      </c>
      <c r="L132" s="292" t="s">
        <v>666</v>
      </c>
      <c r="M132" s="292" t="s">
        <v>666</v>
      </c>
      <c r="N132" s="292" t="s">
        <v>666</v>
      </c>
      <c r="O132" s="295">
        <f>COUNTIF(tblRiskRegister3[[#This Row],[Defends Against Malware]:[Defends Against Targeted Intrusions]],"Yes")</f>
        <v>0</v>
      </c>
      <c r="P132" s="12"/>
      <c r="Q132" s="12"/>
      <c r="R132" s="12"/>
      <c r="S132" s="12"/>
      <c r="T132" s="198"/>
      <c r="U132" s="199">
        <f>IFERROR(VLOOKUP(tblRiskRegister3[[#This Row],[Asset Class]],tblVCDBIndex[],4,FALSE),"")</f>
        <v>3</v>
      </c>
      <c r="V132" s="24" t="str">
        <f>IFERROR(VLOOKUP(10*tblRiskRegister3[[#This Row],[Safeguard Maturity Score]]+tblRiskRegister3[[#This Row],[VCDB Index]],tblHITIndexWeightTable[],4,FALSE),"")</f>
        <v/>
      </c>
      <c r="W132" s="24"/>
      <c r="X132" s="24"/>
      <c r="Y132" s="24"/>
      <c r="Z132" s="24"/>
      <c r="AA132" s="24" t="str">
        <f>IFERROR(MAX(tblRiskRegister3[[#This Row],[Impact to Mission]:[Impact to Obligations]])*tblRiskRegister3[[#This Row],[Expectancy Score]],"")</f>
        <v/>
      </c>
      <c r="AB132" s="24" t="str">
        <f>tblRiskRegister3[[#This Row],[Risk Score]]</f>
        <v/>
      </c>
      <c r="AC132" s="79"/>
      <c r="AD132" s="206">
        <v>15.2</v>
      </c>
      <c r="AE132" s="194" t="s">
        <v>193</v>
      </c>
      <c r="AF132" s="194" t="s">
        <v>435</v>
      </c>
      <c r="AG132" s="213"/>
      <c r="AH132" s="13"/>
      <c r="AI132" s="22" t="str">
        <f>IFERROR(VLOOKUP(10*tblRiskRegister3[[#This Row],[Risk Treatment Safeguard Maturity Score]]+tblRiskRegister3[[#This Row],[VCDB Index]],tblHITIndexWeightTable[],4,FALSE),"")</f>
        <v/>
      </c>
      <c r="AJ132" s="300"/>
      <c r="AK132" s="300"/>
      <c r="AL132" s="300"/>
      <c r="AM132" s="300"/>
      <c r="AN132" s="100" t="str">
        <f>IFERROR(MAX(tblRiskRegister3[[#This Row],[Risk Treatment Safeguard Impact to Mission]:[Risk Treatment Safeguard Impact to Obligations]])*tblRiskRegister3[[#This Row],[Risk Treatment
Safeguard Expectancy Score]],"")</f>
        <v/>
      </c>
      <c r="AO132" s="100" t="str">
        <f>IF(tblRiskRegister3[[#This Row],[Risk Score]]&gt;AcceptableRisk1,IF(tblRiskRegister3[[#This Row],[Risk Treatment Safeguard Risk Score]]&lt;AcceptableRisk1, IF(tblRiskRegister3[[#This Row],[Risk Treatment Safeguard Risk Score]]&lt;=tblRiskRegister3[[#This Row],[Risk Score]],"Yes","No"),"No"),"Yes")</f>
        <v>No</v>
      </c>
      <c r="AP132" s="15"/>
      <c r="AQ132" s="15"/>
      <c r="AR132" s="16"/>
    </row>
    <row r="133" spans="2:44" ht="76.5" x14ac:dyDescent="0.2">
      <c r="B133" s="207">
        <v>15.3</v>
      </c>
      <c r="C133" s="194" t="s">
        <v>194</v>
      </c>
      <c r="D133" s="88" t="s">
        <v>92</v>
      </c>
      <c r="E133" s="274" t="s">
        <v>654</v>
      </c>
      <c r="F133" s="14"/>
      <c r="G133" s="88" t="s">
        <v>463</v>
      </c>
      <c r="H133" s="88" t="s">
        <v>463</v>
      </c>
      <c r="I133" s="223"/>
      <c r="J133" s="292" t="s">
        <v>666</v>
      </c>
      <c r="K133" s="292" t="s">
        <v>666</v>
      </c>
      <c r="L133" s="292" t="s">
        <v>666</v>
      </c>
      <c r="M133" s="292" t="s">
        <v>666</v>
      </c>
      <c r="N133" s="292" t="s">
        <v>666</v>
      </c>
      <c r="O133" s="295">
        <f>COUNTIF(tblRiskRegister3[[#This Row],[Defends Against Malware]:[Defends Against Targeted Intrusions]],"Yes")</f>
        <v>0</v>
      </c>
      <c r="P133" s="12"/>
      <c r="Q133" s="12"/>
      <c r="R133" s="12"/>
      <c r="S133" s="12"/>
      <c r="T133" s="198"/>
      <c r="U133" s="199">
        <f>IFERROR(VLOOKUP(tblRiskRegister3[[#This Row],[Asset Class]],tblVCDBIndex[],4,FALSE),"")</f>
        <v>3</v>
      </c>
      <c r="V133" s="24" t="str">
        <f>IFERROR(VLOOKUP(10*tblRiskRegister3[[#This Row],[Safeguard Maturity Score]]+tblRiskRegister3[[#This Row],[VCDB Index]],tblHITIndexWeightTable[],4,FALSE),"")</f>
        <v/>
      </c>
      <c r="W133" s="24"/>
      <c r="X133" s="24"/>
      <c r="Y133" s="24"/>
      <c r="Z133" s="24"/>
      <c r="AA133" s="24" t="str">
        <f>IFERROR(MAX(tblRiskRegister3[[#This Row],[Impact to Mission]:[Impact to Obligations]])*tblRiskRegister3[[#This Row],[Expectancy Score]],"")</f>
        <v/>
      </c>
      <c r="AB133" s="24" t="str">
        <f>tblRiskRegister3[[#This Row],[Risk Score]]</f>
        <v/>
      </c>
      <c r="AC133" s="79"/>
      <c r="AD133" s="206">
        <v>15.3</v>
      </c>
      <c r="AE133" s="194" t="s">
        <v>194</v>
      </c>
      <c r="AF133" s="194" t="s">
        <v>436</v>
      </c>
      <c r="AG133" s="213"/>
      <c r="AH133" s="13"/>
      <c r="AI133" s="22" t="str">
        <f>IFERROR(VLOOKUP(10*tblRiskRegister3[[#This Row],[Risk Treatment Safeguard Maturity Score]]+tblRiskRegister3[[#This Row],[VCDB Index]],tblHITIndexWeightTable[],4,FALSE),"")</f>
        <v/>
      </c>
      <c r="AJ133" s="300"/>
      <c r="AK133" s="300"/>
      <c r="AL133" s="300"/>
      <c r="AM133" s="300"/>
      <c r="AN133" s="100" t="str">
        <f>IFERROR(MAX(tblRiskRegister3[[#This Row],[Risk Treatment Safeguard Impact to Mission]:[Risk Treatment Safeguard Impact to Obligations]])*tblRiskRegister3[[#This Row],[Risk Treatment
Safeguard Expectancy Score]],"")</f>
        <v/>
      </c>
      <c r="AO133" s="100" t="str">
        <f>IF(tblRiskRegister3[[#This Row],[Risk Score]]&gt;AcceptableRisk1,IF(tblRiskRegister3[[#This Row],[Risk Treatment Safeguard Risk Score]]&lt;AcceptableRisk1, IF(tblRiskRegister3[[#This Row],[Risk Treatment Safeguard Risk Score]]&lt;=tblRiskRegister3[[#This Row],[Risk Score]],"Yes","No"),"No"),"Yes")</f>
        <v>No</v>
      </c>
      <c r="AP133" s="15"/>
      <c r="AQ133" s="15"/>
      <c r="AR133" s="16"/>
    </row>
    <row r="134" spans="2:44" ht="102" x14ac:dyDescent="0.2">
      <c r="B134" s="207">
        <v>15.4</v>
      </c>
      <c r="C134" s="194" t="s">
        <v>195</v>
      </c>
      <c r="D134" s="88" t="s">
        <v>92</v>
      </c>
      <c r="E134" s="274" t="s">
        <v>657</v>
      </c>
      <c r="F134" s="14"/>
      <c r="G134" s="88" t="s">
        <v>463</v>
      </c>
      <c r="H134" s="88" t="s">
        <v>463</v>
      </c>
      <c r="I134" s="223"/>
      <c r="J134" s="292" t="s">
        <v>666</v>
      </c>
      <c r="K134" s="292" t="s">
        <v>666</v>
      </c>
      <c r="L134" s="292" t="s">
        <v>666</v>
      </c>
      <c r="M134" s="292" t="s">
        <v>666</v>
      </c>
      <c r="N134" s="292" t="s">
        <v>666</v>
      </c>
      <c r="O134" s="295">
        <f>COUNTIF(tblRiskRegister3[[#This Row],[Defends Against Malware]:[Defends Against Targeted Intrusions]],"Yes")</f>
        <v>0</v>
      </c>
      <c r="P134" s="12"/>
      <c r="Q134" s="12"/>
      <c r="R134" s="12"/>
      <c r="S134" s="12"/>
      <c r="T134" s="198"/>
      <c r="U134" s="199">
        <f>IFERROR(VLOOKUP(tblRiskRegister3[[#This Row],[Asset Class]],tblVCDBIndex[],4,FALSE),"")</f>
        <v>3</v>
      </c>
      <c r="V134" s="24" t="str">
        <f>IFERROR(VLOOKUP(10*tblRiskRegister3[[#This Row],[Safeguard Maturity Score]]+tblRiskRegister3[[#This Row],[VCDB Index]],tblHITIndexWeightTable[],4,FALSE),"")</f>
        <v/>
      </c>
      <c r="W134" s="24"/>
      <c r="X134" s="24"/>
      <c r="Y134" s="24"/>
      <c r="Z134" s="24"/>
      <c r="AA134" s="24" t="str">
        <f>IFERROR(MAX(tblRiskRegister3[[#This Row],[Impact to Mission]:[Impact to Obligations]])*tblRiskRegister3[[#This Row],[Expectancy Score]],"")</f>
        <v/>
      </c>
      <c r="AB134" s="24" t="str">
        <f>tblRiskRegister3[[#This Row],[Risk Score]]</f>
        <v/>
      </c>
      <c r="AC134" s="79"/>
      <c r="AD134" s="206">
        <v>15.4</v>
      </c>
      <c r="AE134" s="194" t="s">
        <v>195</v>
      </c>
      <c r="AF134" s="194" t="s">
        <v>437</v>
      </c>
      <c r="AG134" s="213"/>
      <c r="AH134" s="13"/>
      <c r="AI134" s="22" t="str">
        <f>IFERROR(VLOOKUP(10*tblRiskRegister3[[#This Row],[Risk Treatment Safeguard Maturity Score]]+tblRiskRegister3[[#This Row],[VCDB Index]],tblHITIndexWeightTable[],4,FALSE),"")</f>
        <v/>
      </c>
      <c r="AJ134" s="300"/>
      <c r="AK134" s="300"/>
      <c r="AL134" s="300"/>
      <c r="AM134" s="300"/>
      <c r="AN134" s="100" t="str">
        <f>IFERROR(MAX(tblRiskRegister3[[#This Row],[Risk Treatment Safeguard Impact to Mission]:[Risk Treatment Safeguard Impact to Obligations]])*tblRiskRegister3[[#This Row],[Risk Treatment
Safeguard Expectancy Score]],"")</f>
        <v/>
      </c>
      <c r="AO134" s="100" t="str">
        <f>IF(tblRiskRegister3[[#This Row],[Risk Score]]&gt;AcceptableRisk1,IF(tblRiskRegister3[[#This Row],[Risk Treatment Safeguard Risk Score]]&lt;AcceptableRisk1, IF(tblRiskRegister3[[#This Row],[Risk Treatment Safeguard Risk Score]]&lt;=tblRiskRegister3[[#This Row],[Risk Score]],"Yes","No"),"No"),"Yes")</f>
        <v>No</v>
      </c>
      <c r="AP134" s="15"/>
      <c r="AQ134" s="15"/>
      <c r="AR134" s="16"/>
    </row>
    <row r="135" spans="2:44" ht="102" x14ac:dyDescent="0.2">
      <c r="B135" s="207">
        <v>15.5</v>
      </c>
      <c r="C135" s="194" t="s">
        <v>547</v>
      </c>
      <c r="D135" s="88" t="s">
        <v>92</v>
      </c>
      <c r="E135" s="274" t="s">
        <v>654</v>
      </c>
      <c r="F135" s="14"/>
      <c r="G135" s="88"/>
      <c r="H135" s="88" t="s">
        <v>463</v>
      </c>
      <c r="I135" s="223"/>
      <c r="J135" s="292" t="s">
        <v>666</v>
      </c>
      <c r="K135" s="292" t="s">
        <v>666</v>
      </c>
      <c r="L135" s="292" t="s">
        <v>666</v>
      </c>
      <c r="M135" s="292" t="s">
        <v>666</v>
      </c>
      <c r="N135" s="292" t="s">
        <v>666</v>
      </c>
      <c r="O135" s="295">
        <f>COUNTIF(tblRiskRegister3[[#This Row],[Defends Against Malware]:[Defends Against Targeted Intrusions]],"Yes")</f>
        <v>0</v>
      </c>
      <c r="P135" s="12"/>
      <c r="Q135" s="12"/>
      <c r="R135" s="12"/>
      <c r="S135" s="12"/>
      <c r="T135" s="198"/>
      <c r="U135" s="199">
        <f>IFERROR(VLOOKUP(tblRiskRegister3[[#This Row],[Asset Class]],tblVCDBIndex[],4,FALSE),"")</f>
        <v>3</v>
      </c>
      <c r="V135" s="24" t="str">
        <f>IFERROR(VLOOKUP(10*tblRiskRegister3[[#This Row],[Safeguard Maturity Score]]+tblRiskRegister3[[#This Row],[VCDB Index]],tblHITIndexWeightTable[],4,FALSE),"")</f>
        <v/>
      </c>
      <c r="W135" s="24"/>
      <c r="X135" s="24"/>
      <c r="Y135" s="24"/>
      <c r="Z135" s="24"/>
      <c r="AA135" s="24" t="str">
        <f>IFERROR(MAX(tblRiskRegister3[[#This Row],[Impact to Mission]:[Impact to Obligations]])*tblRiskRegister3[[#This Row],[Expectancy Score]],"")</f>
        <v/>
      </c>
      <c r="AB135" s="24" t="str">
        <f>tblRiskRegister3[[#This Row],[Risk Score]]</f>
        <v/>
      </c>
      <c r="AC135" s="79"/>
      <c r="AD135" s="206">
        <v>15.5</v>
      </c>
      <c r="AE135" s="194" t="s">
        <v>547</v>
      </c>
      <c r="AF135" s="194" t="s">
        <v>569</v>
      </c>
      <c r="AG135" s="213"/>
      <c r="AH135" s="13"/>
      <c r="AI135" s="22" t="str">
        <f>IFERROR(VLOOKUP(10*tblRiskRegister3[[#This Row],[Risk Treatment Safeguard Maturity Score]]+tblRiskRegister3[[#This Row],[VCDB Index]],tblHITIndexWeightTable[],4,FALSE),"")</f>
        <v/>
      </c>
      <c r="AJ135" s="300"/>
      <c r="AK135" s="300"/>
      <c r="AL135" s="300"/>
      <c r="AM135" s="300"/>
      <c r="AN135" s="100" t="str">
        <f>IFERROR(MAX(tblRiskRegister3[[#This Row],[Risk Treatment Safeguard Impact to Mission]:[Risk Treatment Safeguard Impact to Obligations]])*tblRiskRegister3[[#This Row],[Risk Treatment
Safeguard Expectancy Score]],"")</f>
        <v/>
      </c>
      <c r="AO135" s="100" t="str">
        <f>IF(tblRiskRegister3[[#This Row],[Risk Score]]&gt;AcceptableRisk1,IF(tblRiskRegister3[[#This Row],[Risk Treatment Safeguard Risk Score]]&lt;AcceptableRisk1, IF(tblRiskRegister3[[#This Row],[Risk Treatment Safeguard Risk Score]]&lt;=tblRiskRegister3[[#This Row],[Risk Score]],"Yes","No"),"No"),"Yes")</f>
        <v>No</v>
      </c>
      <c r="AP135" s="15"/>
      <c r="AQ135" s="15"/>
      <c r="AR135" s="16"/>
    </row>
    <row r="136" spans="2:44" ht="51" x14ac:dyDescent="0.2">
      <c r="B136" s="207">
        <v>15.6</v>
      </c>
      <c r="C136" s="194" t="s">
        <v>548</v>
      </c>
      <c r="D136" s="88" t="s">
        <v>87</v>
      </c>
      <c r="E136" s="274" t="s">
        <v>656</v>
      </c>
      <c r="F136" s="14"/>
      <c r="G136" s="88"/>
      <c r="H136" s="88" t="s">
        <v>463</v>
      </c>
      <c r="I136" s="223"/>
      <c r="J136" s="292" t="s">
        <v>666</v>
      </c>
      <c r="K136" s="292" t="s">
        <v>666</v>
      </c>
      <c r="L136" s="292" t="s">
        <v>666</v>
      </c>
      <c r="M136" s="292" t="s">
        <v>666</v>
      </c>
      <c r="N136" s="292" t="s">
        <v>666</v>
      </c>
      <c r="O136" s="295">
        <f>COUNTIF(tblRiskRegister3[[#This Row],[Defends Against Malware]:[Defends Against Targeted Intrusions]],"Yes")</f>
        <v>0</v>
      </c>
      <c r="P136" s="12"/>
      <c r="Q136" s="12"/>
      <c r="R136" s="12"/>
      <c r="S136" s="12"/>
      <c r="T136" s="198"/>
      <c r="U136" s="199">
        <f>IFERROR(VLOOKUP(tblRiskRegister3[[#This Row],[Asset Class]],tblVCDBIndex[],4,FALSE),"")</f>
        <v>3</v>
      </c>
      <c r="V136" s="24" t="str">
        <f>IFERROR(VLOOKUP(10*tblRiskRegister3[[#This Row],[Safeguard Maturity Score]]+tblRiskRegister3[[#This Row],[VCDB Index]],tblHITIndexWeightTable[],4,FALSE),"")</f>
        <v/>
      </c>
      <c r="W136" s="24"/>
      <c r="X136" s="24"/>
      <c r="Y136" s="24"/>
      <c r="Z136" s="24"/>
      <c r="AA136" s="24" t="str">
        <f>IFERROR(MAX(tblRiskRegister3[[#This Row],[Impact to Mission]:[Impact to Obligations]])*tblRiskRegister3[[#This Row],[Expectancy Score]],"")</f>
        <v/>
      </c>
      <c r="AB136" s="24" t="str">
        <f>tblRiskRegister3[[#This Row],[Risk Score]]</f>
        <v/>
      </c>
      <c r="AC136" s="79"/>
      <c r="AD136" s="206">
        <v>15.6</v>
      </c>
      <c r="AE136" s="194" t="s">
        <v>548</v>
      </c>
      <c r="AF136" s="194" t="s">
        <v>570</v>
      </c>
      <c r="AG136" s="213"/>
      <c r="AH136" s="13"/>
      <c r="AI136" s="22" t="str">
        <f>IFERROR(VLOOKUP(10*tblRiskRegister3[[#This Row],[Risk Treatment Safeguard Maturity Score]]+tblRiskRegister3[[#This Row],[VCDB Index]],tblHITIndexWeightTable[],4,FALSE),"")</f>
        <v/>
      </c>
      <c r="AJ136" s="300"/>
      <c r="AK136" s="300"/>
      <c r="AL136" s="300"/>
      <c r="AM136" s="300"/>
      <c r="AN136" s="100" t="str">
        <f>IFERROR(MAX(tblRiskRegister3[[#This Row],[Risk Treatment Safeguard Impact to Mission]:[Risk Treatment Safeguard Impact to Obligations]])*tblRiskRegister3[[#This Row],[Risk Treatment
Safeguard Expectancy Score]],"")</f>
        <v/>
      </c>
      <c r="AO136" s="100" t="str">
        <f>IF(tblRiskRegister3[[#This Row],[Risk Score]]&gt;AcceptableRisk1,IF(tblRiskRegister3[[#This Row],[Risk Treatment Safeguard Risk Score]]&lt;AcceptableRisk1, IF(tblRiskRegister3[[#This Row],[Risk Treatment Safeguard Risk Score]]&lt;=tblRiskRegister3[[#This Row],[Risk Score]],"Yes","No"),"No"),"Yes")</f>
        <v>No</v>
      </c>
      <c r="AP136" s="15"/>
      <c r="AQ136" s="15"/>
      <c r="AR136" s="16"/>
    </row>
    <row r="137" spans="2:44" ht="51" x14ac:dyDescent="0.2">
      <c r="B137" s="207">
        <v>15.7</v>
      </c>
      <c r="C137" s="194" t="s">
        <v>539</v>
      </c>
      <c r="D137" s="88" t="s">
        <v>87</v>
      </c>
      <c r="E137" s="274" t="s">
        <v>657</v>
      </c>
      <c r="F137" s="14"/>
      <c r="G137" s="88"/>
      <c r="H137" s="88" t="s">
        <v>463</v>
      </c>
      <c r="I137" s="223"/>
      <c r="J137" s="292" t="s">
        <v>666</v>
      </c>
      <c r="K137" s="293" t="s">
        <v>667</v>
      </c>
      <c r="L137" s="293" t="s">
        <v>667</v>
      </c>
      <c r="M137" s="293" t="s">
        <v>667</v>
      </c>
      <c r="N137" s="292" t="s">
        <v>666</v>
      </c>
      <c r="O137" s="295">
        <f>COUNTIF(tblRiskRegister3[[#This Row],[Defends Against Malware]:[Defends Against Targeted Intrusions]],"Yes")</f>
        <v>3</v>
      </c>
      <c r="P137" s="12"/>
      <c r="Q137" s="12"/>
      <c r="R137" s="12"/>
      <c r="S137" s="12"/>
      <c r="T137" s="198"/>
      <c r="U137" s="199">
        <f>IFERROR(VLOOKUP(tblRiskRegister3[[#This Row],[Asset Class]],tblVCDBIndex[],4,FALSE),"")</f>
        <v>3</v>
      </c>
      <c r="V137" s="24" t="str">
        <f>IFERROR(VLOOKUP(10*tblRiskRegister3[[#This Row],[Safeguard Maturity Score]]+tblRiskRegister3[[#This Row],[VCDB Index]],tblHITIndexWeightTable[],4,FALSE),"")</f>
        <v/>
      </c>
      <c r="W137" s="24"/>
      <c r="X137" s="24"/>
      <c r="Y137" s="24"/>
      <c r="Z137" s="24"/>
      <c r="AA137" s="24" t="str">
        <f>IFERROR(MAX(tblRiskRegister3[[#This Row],[Impact to Mission]:[Impact to Obligations]])*tblRiskRegister3[[#This Row],[Expectancy Score]],"")</f>
        <v/>
      </c>
      <c r="AB137" s="24" t="str">
        <f>tblRiskRegister3[[#This Row],[Risk Score]]</f>
        <v/>
      </c>
      <c r="AC137" s="79"/>
      <c r="AD137" s="206">
        <v>15.7</v>
      </c>
      <c r="AE137" s="194" t="s">
        <v>539</v>
      </c>
      <c r="AF137" s="194" t="s">
        <v>571</v>
      </c>
      <c r="AG137" s="213"/>
      <c r="AH137" s="13"/>
      <c r="AI137" s="22" t="str">
        <f>IFERROR(VLOOKUP(10*tblRiskRegister3[[#This Row],[Risk Treatment Safeguard Maturity Score]]+tblRiskRegister3[[#This Row],[VCDB Index]],tblHITIndexWeightTable[],4,FALSE),"")</f>
        <v/>
      </c>
      <c r="AJ137" s="300"/>
      <c r="AK137" s="300"/>
      <c r="AL137" s="300"/>
      <c r="AM137" s="300"/>
      <c r="AN137" s="100" t="str">
        <f>IFERROR(MAX(tblRiskRegister3[[#This Row],[Risk Treatment Safeguard Impact to Mission]:[Risk Treatment Safeguard Impact to Obligations]])*tblRiskRegister3[[#This Row],[Risk Treatment
Safeguard Expectancy Score]],"")</f>
        <v/>
      </c>
      <c r="AO137" s="100" t="str">
        <f>IF(tblRiskRegister3[[#This Row],[Risk Score]]&gt;AcceptableRisk1,IF(tblRiskRegister3[[#This Row],[Risk Treatment Safeguard Risk Score]]&lt;AcceptableRisk1, IF(tblRiskRegister3[[#This Row],[Risk Treatment Safeguard Risk Score]]&lt;=tblRiskRegister3[[#This Row],[Risk Score]],"Yes","No"),"No"),"Yes")</f>
        <v>No</v>
      </c>
      <c r="AP137" s="15"/>
      <c r="AQ137" s="15"/>
      <c r="AR137" s="16"/>
    </row>
    <row r="138" spans="2:44" ht="89.25" x14ac:dyDescent="0.2">
      <c r="B138" s="207">
        <v>16.100000000000001</v>
      </c>
      <c r="C138" s="194" t="s">
        <v>162</v>
      </c>
      <c r="D138" s="88" t="s">
        <v>89</v>
      </c>
      <c r="E138" s="274" t="s">
        <v>657</v>
      </c>
      <c r="F138" s="14"/>
      <c r="G138" s="88" t="s">
        <v>463</v>
      </c>
      <c r="H138" s="88" t="s">
        <v>463</v>
      </c>
      <c r="I138" s="223"/>
      <c r="J138" s="293" t="s">
        <v>667</v>
      </c>
      <c r="K138" s="293" t="s">
        <v>667</v>
      </c>
      <c r="L138" s="293" t="s">
        <v>667</v>
      </c>
      <c r="M138" s="293" t="s">
        <v>667</v>
      </c>
      <c r="N138" s="293" t="s">
        <v>667</v>
      </c>
      <c r="O138" s="295">
        <f>COUNTIF(tblRiskRegister3[[#This Row],[Defends Against Malware]:[Defends Against Targeted Intrusions]],"Yes")</f>
        <v>5</v>
      </c>
      <c r="P138" s="12"/>
      <c r="Q138" s="12"/>
      <c r="R138" s="12"/>
      <c r="S138" s="12"/>
      <c r="T138" s="198"/>
      <c r="U138" s="199">
        <f>IFERROR(VLOOKUP(tblRiskRegister3[[#This Row],[Asset Class]],tblVCDBIndex[],4,FALSE),"")</f>
        <v>1</v>
      </c>
      <c r="V138" s="24" t="str">
        <f>IFERROR(VLOOKUP(10*tblRiskRegister3[[#This Row],[Safeguard Maturity Score]]+tblRiskRegister3[[#This Row],[VCDB Index]],tblHITIndexWeightTable[],4,FALSE),"")</f>
        <v/>
      </c>
      <c r="W138" s="24"/>
      <c r="X138" s="24"/>
      <c r="Y138" s="24"/>
      <c r="Z138" s="24"/>
      <c r="AA138" s="24" t="str">
        <f>IFERROR(MAX(tblRiskRegister3[[#This Row],[Impact to Mission]:[Impact to Obligations]])*tblRiskRegister3[[#This Row],[Expectancy Score]],"")</f>
        <v/>
      </c>
      <c r="AB138" s="24" t="str">
        <f>tblRiskRegister3[[#This Row],[Risk Score]]</f>
        <v/>
      </c>
      <c r="AC138" s="79"/>
      <c r="AD138" s="206">
        <v>16.100000000000001</v>
      </c>
      <c r="AE138" s="194" t="s">
        <v>162</v>
      </c>
      <c r="AF138" s="194" t="s">
        <v>438</v>
      </c>
      <c r="AG138" s="213"/>
      <c r="AH138" s="13"/>
      <c r="AI138" s="22" t="str">
        <f>IFERROR(VLOOKUP(10*tblRiskRegister3[[#This Row],[Risk Treatment Safeguard Maturity Score]]+tblRiskRegister3[[#This Row],[VCDB Index]],tblHITIndexWeightTable[],4,FALSE),"")</f>
        <v/>
      </c>
      <c r="AJ138" s="300"/>
      <c r="AK138" s="300"/>
      <c r="AL138" s="300"/>
      <c r="AM138" s="300"/>
      <c r="AN138" s="100" t="str">
        <f>IFERROR(MAX(tblRiskRegister3[[#This Row],[Risk Treatment Safeguard Impact to Mission]:[Risk Treatment Safeguard Impact to Obligations]])*tblRiskRegister3[[#This Row],[Risk Treatment
Safeguard Expectancy Score]],"")</f>
        <v/>
      </c>
      <c r="AO138" s="100" t="str">
        <f>IF(tblRiskRegister3[[#This Row],[Risk Score]]&gt;AcceptableRisk1,IF(tblRiskRegister3[[#This Row],[Risk Treatment Safeguard Risk Score]]&lt;AcceptableRisk1, IF(tblRiskRegister3[[#This Row],[Risk Treatment Safeguard Risk Score]]&lt;=tblRiskRegister3[[#This Row],[Risk Score]],"Yes","No"),"No"),"Yes")</f>
        <v>No</v>
      </c>
      <c r="AP138" s="15"/>
      <c r="AQ138" s="15"/>
      <c r="AR138" s="16"/>
    </row>
    <row r="139" spans="2:44" ht="178.5" x14ac:dyDescent="0.2">
      <c r="B139" s="207">
        <v>16.2</v>
      </c>
      <c r="C139" s="194" t="s">
        <v>163</v>
      </c>
      <c r="D139" s="88" t="s">
        <v>89</v>
      </c>
      <c r="E139" s="274" t="s">
        <v>657</v>
      </c>
      <c r="F139" s="14"/>
      <c r="G139" s="88" t="s">
        <v>463</v>
      </c>
      <c r="H139" s="88" t="s">
        <v>463</v>
      </c>
      <c r="I139" s="223"/>
      <c r="J139" s="292" t="s">
        <v>666</v>
      </c>
      <c r="K139" s="293" t="s">
        <v>667</v>
      </c>
      <c r="L139" s="293" t="s">
        <v>667</v>
      </c>
      <c r="M139" s="293" t="s">
        <v>667</v>
      </c>
      <c r="N139" s="293" t="s">
        <v>667</v>
      </c>
      <c r="O139" s="295">
        <f>COUNTIF(tblRiskRegister3[[#This Row],[Defends Against Malware]:[Defends Against Targeted Intrusions]],"Yes")</f>
        <v>4</v>
      </c>
      <c r="P139" s="12"/>
      <c r="Q139" s="12"/>
      <c r="R139" s="12"/>
      <c r="S139" s="12"/>
      <c r="T139" s="198"/>
      <c r="U139" s="199">
        <f>IFERROR(VLOOKUP(tblRiskRegister3[[#This Row],[Asset Class]],tblVCDBIndex[],4,FALSE),"")</f>
        <v>1</v>
      </c>
      <c r="V139" s="24" t="str">
        <f>IFERROR(VLOOKUP(10*tblRiskRegister3[[#This Row],[Safeguard Maturity Score]]+tblRiskRegister3[[#This Row],[VCDB Index]],tblHITIndexWeightTable[],4,FALSE),"")</f>
        <v/>
      </c>
      <c r="W139" s="24"/>
      <c r="X139" s="24"/>
      <c r="Y139" s="24"/>
      <c r="Z139" s="24"/>
      <c r="AA139" s="24" t="str">
        <f>IFERROR(MAX(tblRiskRegister3[[#This Row],[Impact to Mission]:[Impact to Obligations]])*tblRiskRegister3[[#This Row],[Expectancy Score]],"")</f>
        <v/>
      </c>
      <c r="AB139" s="24" t="str">
        <f>tblRiskRegister3[[#This Row],[Risk Score]]</f>
        <v/>
      </c>
      <c r="AC139" s="79"/>
      <c r="AD139" s="206">
        <v>16.2</v>
      </c>
      <c r="AE139" s="194" t="s">
        <v>163</v>
      </c>
      <c r="AF139" s="194" t="s">
        <v>439</v>
      </c>
      <c r="AG139" s="213"/>
      <c r="AH139" s="13"/>
      <c r="AI139" s="22" t="str">
        <f>IFERROR(VLOOKUP(10*tblRiskRegister3[[#This Row],[Risk Treatment Safeguard Maturity Score]]+tblRiskRegister3[[#This Row],[VCDB Index]],tblHITIndexWeightTable[],4,FALSE),"")</f>
        <v/>
      </c>
      <c r="AJ139" s="300"/>
      <c r="AK139" s="300"/>
      <c r="AL139" s="300"/>
      <c r="AM139" s="300"/>
      <c r="AN139" s="100" t="str">
        <f>IFERROR(MAX(tblRiskRegister3[[#This Row],[Risk Treatment Safeguard Impact to Mission]:[Risk Treatment Safeguard Impact to Obligations]])*tblRiskRegister3[[#This Row],[Risk Treatment
Safeguard Expectancy Score]],"")</f>
        <v/>
      </c>
      <c r="AO139" s="100" t="str">
        <f>IF(tblRiskRegister3[[#This Row],[Risk Score]]&gt;AcceptableRisk1,IF(tblRiskRegister3[[#This Row],[Risk Treatment Safeguard Risk Score]]&lt;AcceptableRisk1, IF(tblRiskRegister3[[#This Row],[Risk Treatment Safeguard Risk Score]]&lt;=tblRiskRegister3[[#This Row],[Risk Score]],"Yes","No"),"No"),"Yes")</f>
        <v>No</v>
      </c>
      <c r="AP139" s="15"/>
      <c r="AQ139" s="15"/>
      <c r="AR139" s="16"/>
    </row>
    <row r="140" spans="2:44" ht="63.75" x14ac:dyDescent="0.2">
      <c r="B140" s="207">
        <v>16.3</v>
      </c>
      <c r="C140" s="194" t="s">
        <v>164</v>
      </c>
      <c r="D140" s="88" t="s">
        <v>89</v>
      </c>
      <c r="E140" s="274" t="s">
        <v>657</v>
      </c>
      <c r="F140" s="14"/>
      <c r="G140" s="88" t="s">
        <v>463</v>
      </c>
      <c r="H140" s="88" t="s">
        <v>463</v>
      </c>
      <c r="I140" s="223"/>
      <c r="J140" s="292" t="s">
        <v>666</v>
      </c>
      <c r="K140" s="293" t="s">
        <v>667</v>
      </c>
      <c r="L140" s="293" t="s">
        <v>667</v>
      </c>
      <c r="M140" s="293" t="s">
        <v>667</v>
      </c>
      <c r="N140" s="293" t="s">
        <v>667</v>
      </c>
      <c r="O140" s="295">
        <f>COUNTIF(tblRiskRegister3[[#This Row],[Defends Against Malware]:[Defends Against Targeted Intrusions]],"Yes")</f>
        <v>4</v>
      </c>
      <c r="P140" s="12"/>
      <c r="Q140" s="12"/>
      <c r="R140" s="12"/>
      <c r="S140" s="12"/>
      <c r="T140" s="198"/>
      <c r="U140" s="199">
        <f>IFERROR(VLOOKUP(tblRiskRegister3[[#This Row],[Asset Class]],tblVCDBIndex[],4,FALSE),"")</f>
        <v>1</v>
      </c>
      <c r="V140" s="24" t="str">
        <f>IFERROR(VLOOKUP(10*tblRiskRegister3[[#This Row],[Safeguard Maturity Score]]+tblRiskRegister3[[#This Row],[VCDB Index]],tblHITIndexWeightTable[],4,FALSE),"")</f>
        <v/>
      </c>
      <c r="W140" s="24"/>
      <c r="X140" s="24"/>
      <c r="Y140" s="24"/>
      <c r="Z140" s="24"/>
      <c r="AA140" s="24" t="str">
        <f>IFERROR(MAX(tblRiskRegister3[[#This Row],[Impact to Mission]:[Impact to Obligations]])*tblRiskRegister3[[#This Row],[Expectancy Score]],"")</f>
        <v/>
      </c>
      <c r="AB140" s="24" t="str">
        <f>tblRiskRegister3[[#This Row],[Risk Score]]</f>
        <v/>
      </c>
      <c r="AC140" s="79"/>
      <c r="AD140" s="206">
        <v>16.3</v>
      </c>
      <c r="AE140" s="194" t="s">
        <v>164</v>
      </c>
      <c r="AF140" s="194" t="s">
        <v>440</v>
      </c>
      <c r="AG140" s="213"/>
      <c r="AH140" s="13"/>
      <c r="AI140" s="22" t="str">
        <f>IFERROR(VLOOKUP(10*tblRiskRegister3[[#This Row],[Risk Treatment Safeguard Maturity Score]]+tblRiskRegister3[[#This Row],[VCDB Index]],tblHITIndexWeightTable[],4,FALSE),"")</f>
        <v/>
      </c>
      <c r="AJ140" s="300"/>
      <c r="AK140" s="300"/>
      <c r="AL140" s="300"/>
      <c r="AM140" s="300"/>
      <c r="AN140" s="100" t="str">
        <f>IFERROR(MAX(tblRiskRegister3[[#This Row],[Risk Treatment Safeguard Impact to Mission]:[Risk Treatment Safeguard Impact to Obligations]])*tblRiskRegister3[[#This Row],[Risk Treatment
Safeguard Expectancy Score]],"")</f>
        <v/>
      </c>
      <c r="AO140" s="100" t="str">
        <f>IF(tblRiskRegister3[[#This Row],[Risk Score]]&gt;AcceptableRisk1,IF(tblRiskRegister3[[#This Row],[Risk Treatment Safeguard Risk Score]]&lt;AcceptableRisk1, IF(tblRiskRegister3[[#This Row],[Risk Treatment Safeguard Risk Score]]&lt;=tblRiskRegister3[[#This Row],[Risk Score]],"Yes","No"),"No"),"Yes")</f>
        <v>No</v>
      </c>
      <c r="AP140" s="15"/>
      <c r="AQ140" s="15"/>
      <c r="AR140" s="16"/>
    </row>
    <row r="141" spans="2:44" ht="89.25" x14ac:dyDescent="0.2">
      <c r="B141" s="207">
        <v>16.399999999999999</v>
      </c>
      <c r="C141" s="194" t="s">
        <v>228</v>
      </c>
      <c r="D141" s="88" t="s">
        <v>89</v>
      </c>
      <c r="E141" s="274" t="s">
        <v>657</v>
      </c>
      <c r="F141" s="14"/>
      <c r="G141" s="88" t="s">
        <v>463</v>
      </c>
      <c r="H141" s="88" t="s">
        <v>463</v>
      </c>
      <c r="I141" s="223"/>
      <c r="J141" s="292" t="s">
        <v>666</v>
      </c>
      <c r="K141" s="293" t="s">
        <v>667</v>
      </c>
      <c r="L141" s="293" t="s">
        <v>667</v>
      </c>
      <c r="M141" s="293" t="s">
        <v>667</v>
      </c>
      <c r="N141" s="293" t="s">
        <v>667</v>
      </c>
      <c r="O141" s="295">
        <f>COUNTIF(tblRiskRegister3[[#This Row],[Defends Against Malware]:[Defends Against Targeted Intrusions]],"Yes")</f>
        <v>4</v>
      </c>
      <c r="P141" s="12"/>
      <c r="Q141" s="12"/>
      <c r="R141" s="12"/>
      <c r="S141" s="12"/>
      <c r="T141" s="198"/>
      <c r="U141" s="199">
        <f>IFERROR(VLOOKUP(tblRiskRegister3[[#This Row],[Asset Class]],tblVCDBIndex[],4,FALSE),"")</f>
        <v>1</v>
      </c>
      <c r="V141" s="24" t="str">
        <f>IFERROR(VLOOKUP(10*tblRiskRegister3[[#This Row],[Safeguard Maturity Score]]+tblRiskRegister3[[#This Row],[VCDB Index]],tblHITIndexWeightTable[],4,FALSE),"")</f>
        <v/>
      </c>
      <c r="W141" s="24"/>
      <c r="X141" s="24"/>
      <c r="Y141" s="24"/>
      <c r="Z141" s="24"/>
      <c r="AA141" s="24" t="str">
        <f>IFERROR(MAX(tblRiskRegister3[[#This Row],[Impact to Mission]:[Impact to Obligations]])*tblRiskRegister3[[#This Row],[Expectancy Score]],"")</f>
        <v/>
      </c>
      <c r="AB141" s="24" t="str">
        <f>tblRiskRegister3[[#This Row],[Risk Score]]</f>
        <v/>
      </c>
      <c r="AC141" s="79"/>
      <c r="AD141" s="206">
        <v>16.399999999999999</v>
      </c>
      <c r="AE141" s="194" t="s">
        <v>572</v>
      </c>
      <c r="AF141" s="194" t="s">
        <v>441</v>
      </c>
      <c r="AG141" s="213"/>
      <c r="AH141" s="13"/>
      <c r="AI141" s="22" t="str">
        <f>IFERROR(VLOOKUP(10*tblRiskRegister3[[#This Row],[Risk Treatment Safeguard Maturity Score]]+tblRiskRegister3[[#This Row],[VCDB Index]],tblHITIndexWeightTable[],4,FALSE),"")</f>
        <v/>
      </c>
      <c r="AJ141" s="300"/>
      <c r="AK141" s="300"/>
      <c r="AL141" s="300"/>
      <c r="AM141" s="300"/>
      <c r="AN141" s="100" t="str">
        <f>IFERROR(MAX(tblRiskRegister3[[#This Row],[Risk Treatment Safeguard Impact to Mission]:[Risk Treatment Safeguard Impact to Obligations]])*tblRiskRegister3[[#This Row],[Risk Treatment
Safeguard Expectancy Score]],"")</f>
        <v/>
      </c>
      <c r="AO141" s="100" t="str">
        <f>IF(tblRiskRegister3[[#This Row],[Risk Score]]&gt;AcceptableRisk1,IF(tblRiskRegister3[[#This Row],[Risk Treatment Safeguard Risk Score]]&lt;AcceptableRisk1, IF(tblRiskRegister3[[#This Row],[Risk Treatment Safeguard Risk Score]]&lt;=tblRiskRegister3[[#This Row],[Risk Score]],"Yes","No"),"No"),"Yes")</f>
        <v>No</v>
      </c>
      <c r="AP141" s="15"/>
      <c r="AQ141" s="15"/>
      <c r="AR141" s="16"/>
    </row>
    <row r="142" spans="2:44" ht="51" x14ac:dyDescent="0.2">
      <c r="B142" s="207">
        <v>16.5</v>
      </c>
      <c r="C142" s="194" t="s">
        <v>165</v>
      </c>
      <c r="D142" s="88" t="s">
        <v>89</v>
      </c>
      <c r="E142" s="274" t="s">
        <v>657</v>
      </c>
      <c r="F142" s="14"/>
      <c r="G142" s="88" t="s">
        <v>463</v>
      </c>
      <c r="H142" s="88" t="s">
        <v>463</v>
      </c>
      <c r="I142" s="223"/>
      <c r="J142" s="292" t="s">
        <v>666</v>
      </c>
      <c r="K142" s="293" t="s">
        <v>667</v>
      </c>
      <c r="L142" s="293" t="s">
        <v>667</v>
      </c>
      <c r="M142" s="293" t="s">
        <v>667</v>
      </c>
      <c r="N142" s="293" t="s">
        <v>667</v>
      </c>
      <c r="O142" s="295">
        <f>COUNTIF(tblRiskRegister3[[#This Row],[Defends Against Malware]:[Defends Against Targeted Intrusions]],"Yes")</f>
        <v>4</v>
      </c>
      <c r="P142" s="12"/>
      <c r="Q142" s="12"/>
      <c r="R142" s="12"/>
      <c r="S142" s="12"/>
      <c r="T142" s="198"/>
      <c r="U142" s="199">
        <f>IFERROR(VLOOKUP(tblRiskRegister3[[#This Row],[Asset Class]],tblVCDBIndex[],4,FALSE),"")</f>
        <v>1</v>
      </c>
      <c r="V142" s="24" t="str">
        <f>IFERROR(VLOOKUP(10*tblRiskRegister3[[#This Row],[Safeguard Maturity Score]]+tblRiskRegister3[[#This Row],[VCDB Index]],tblHITIndexWeightTable[],4,FALSE),"")</f>
        <v/>
      </c>
      <c r="W142" s="24"/>
      <c r="X142" s="24"/>
      <c r="Y142" s="24"/>
      <c r="Z142" s="24"/>
      <c r="AA142" s="24" t="str">
        <f>IFERROR(MAX(tblRiskRegister3[[#This Row],[Impact to Mission]:[Impact to Obligations]])*tblRiskRegister3[[#This Row],[Expectancy Score]],"")</f>
        <v/>
      </c>
      <c r="AB142" s="24" t="str">
        <f>tblRiskRegister3[[#This Row],[Risk Score]]</f>
        <v/>
      </c>
      <c r="AC142" s="79"/>
      <c r="AD142" s="206">
        <v>16.5</v>
      </c>
      <c r="AE142" s="194" t="s">
        <v>165</v>
      </c>
      <c r="AF142" s="194" t="s">
        <v>442</v>
      </c>
      <c r="AG142" s="213"/>
      <c r="AH142" s="13"/>
      <c r="AI142" s="22" t="str">
        <f>IFERROR(VLOOKUP(10*tblRiskRegister3[[#This Row],[Risk Treatment Safeguard Maturity Score]]+tblRiskRegister3[[#This Row],[VCDB Index]],tblHITIndexWeightTable[],4,FALSE),"")</f>
        <v/>
      </c>
      <c r="AJ142" s="300"/>
      <c r="AK142" s="300"/>
      <c r="AL142" s="300"/>
      <c r="AM142" s="300"/>
      <c r="AN142" s="100" t="str">
        <f>IFERROR(MAX(tblRiskRegister3[[#This Row],[Risk Treatment Safeguard Impact to Mission]:[Risk Treatment Safeguard Impact to Obligations]])*tblRiskRegister3[[#This Row],[Risk Treatment
Safeguard Expectancy Score]],"")</f>
        <v/>
      </c>
      <c r="AO142" s="100" t="str">
        <f>IF(tblRiskRegister3[[#This Row],[Risk Score]]&gt;AcceptableRisk1,IF(tblRiskRegister3[[#This Row],[Risk Treatment Safeguard Risk Score]]&lt;AcceptableRisk1, IF(tblRiskRegister3[[#This Row],[Risk Treatment Safeguard Risk Score]]&lt;=tblRiskRegister3[[#This Row],[Risk Score]],"Yes","No"),"No"),"Yes")</f>
        <v>No</v>
      </c>
      <c r="AP142" s="15"/>
      <c r="AQ142" s="15"/>
      <c r="AR142" s="16"/>
    </row>
    <row r="143" spans="2:44" ht="102" x14ac:dyDescent="0.2">
      <c r="B143" s="207">
        <v>16.600000000000001</v>
      </c>
      <c r="C143" s="194" t="s">
        <v>166</v>
      </c>
      <c r="D143" s="88" t="s">
        <v>89</v>
      </c>
      <c r="E143" s="274" t="s">
        <v>657</v>
      </c>
      <c r="F143" s="14"/>
      <c r="G143" s="88" t="s">
        <v>463</v>
      </c>
      <c r="H143" s="88" t="s">
        <v>463</v>
      </c>
      <c r="I143" s="223"/>
      <c r="J143" s="292" t="s">
        <v>666</v>
      </c>
      <c r="K143" s="292" t="s">
        <v>666</v>
      </c>
      <c r="L143" s="292" t="s">
        <v>666</v>
      </c>
      <c r="M143" s="292" t="s">
        <v>666</v>
      </c>
      <c r="N143" s="292" t="s">
        <v>666</v>
      </c>
      <c r="O143" s="295">
        <f>COUNTIF(tblRiskRegister3[[#This Row],[Defends Against Malware]:[Defends Against Targeted Intrusions]],"Yes")</f>
        <v>0</v>
      </c>
      <c r="P143" s="12"/>
      <c r="Q143" s="12"/>
      <c r="R143" s="12"/>
      <c r="S143" s="12"/>
      <c r="T143" s="198"/>
      <c r="U143" s="199">
        <f>IFERROR(VLOOKUP(tblRiskRegister3[[#This Row],[Asset Class]],tblVCDBIndex[],4,FALSE),"")</f>
        <v>1</v>
      </c>
      <c r="V143" s="24" t="str">
        <f>IFERROR(VLOOKUP(10*tblRiskRegister3[[#This Row],[Safeguard Maturity Score]]+tblRiskRegister3[[#This Row],[VCDB Index]],tblHITIndexWeightTable[],4,FALSE),"")</f>
        <v/>
      </c>
      <c r="W143" s="24"/>
      <c r="X143" s="24"/>
      <c r="Y143" s="24"/>
      <c r="Z143" s="24"/>
      <c r="AA143" s="24" t="str">
        <f>IFERROR(MAX(tblRiskRegister3[[#This Row],[Impact to Mission]:[Impact to Obligations]])*tblRiskRegister3[[#This Row],[Expectancy Score]],"")</f>
        <v/>
      </c>
      <c r="AB143" s="24" t="str">
        <f>tblRiskRegister3[[#This Row],[Risk Score]]</f>
        <v/>
      </c>
      <c r="AC143" s="79"/>
      <c r="AD143" s="206">
        <v>16.600000000000001</v>
      </c>
      <c r="AE143" s="194" t="s">
        <v>166</v>
      </c>
      <c r="AF143" s="194" t="s">
        <v>443</v>
      </c>
      <c r="AG143" s="213"/>
      <c r="AH143" s="13"/>
      <c r="AI143" s="22" t="str">
        <f>IFERROR(VLOOKUP(10*tblRiskRegister3[[#This Row],[Risk Treatment Safeguard Maturity Score]]+tblRiskRegister3[[#This Row],[VCDB Index]],tblHITIndexWeightTable[],4,FALSE),"")</f>
        <v/>
      </c>
      <c r="AJ143" s="300"/>
      <c r="AK143" s="300"/>
      <c r="AL143" s="300"/>
      <c r="AM143" s="300"/>
      <c r="AN143" s="100" t="str">
        <f>IFERROR(MAX(tblRiskRegister3[[#This Row],[Risk Treatment Safeguard Impact to Mission]:[Risk Treatment Safeguard Impact to Obligations]])*tblRiskRegister3[[#This Row],[Risk Treatment
Safeguard Expectancy Score]],"")</f>
        <v/>
      </c>
      <c r="AO143" s="100" t="str">
        <f>IF(tblRiskRegister3[[#This Row],[Risk Score]]&gt;AcceptableRisk1,IF(tblRiskRegister3[[#This Row],[Risk Treatment Safeguard Risk Score]]&lt;AcceptableRisk1, IF(tblRiskRegister3[[#This Row],[Risk Treatment Safeguard Risk Score]]&lt;=tblRiskRegister3[[#This Row],[Risk Score]],"Yes","No"),"No"),"Yes")</f>
        <v>No</v>
      </c>
      <c r="AP143" s="15"/>
      <c r="AQ143" s="15"/>
      <c r="AR143" s="16"/>
    </row>
    <row r="144" spans="2:44" ht="76.5" x14ac:dyDescent="0.2">
      <c r="B144" s="207">
        <v>16.7</v>
      </c>
      <c r="C144" s="194" t="s">
        <v>167</v>
      </c>
      <c r="D144" s="88" t="s">
        <v>89</v>
      </c>
      <c r="E144" s="274" t="s">
        <v>657</v>
      </c>
      <c r="F144" s="14"/>
      <c r="G144" s="88" t="s">
        <v>463</v>
      </c>
      <c r="H144" s="88" t="s">
        <v>463</v>
      </c>
      <c r="I144" s="223"/>
      <c r="J144" s="292" t="s">
        <v>666</v>
      </c>
      <c r="K144" s="292" t="s">
        <v>666</v>
      </c>
      <c r="L144" s="292" t="s">
        <v>666</v>
      </c>
      <c r="M144" s="292" t="s">
        <v>666</v>
      </c>
      <c r="N144" s="292" t="s">
        <v>666</v>
      </c>
      <c r="O144" s="295">
        <f>COUNTIF(tblRiskRegister3[[#This Row],[Defends Against Malware]:[Defends Against Targeted Intrusions]],"Yes")</f>
        <v>0</v>
      </c>
      <c r="P144" s="12"/>
      <c r="Q144" s="12"/>
      <c r="R144" s="12"/>
      <c r="S144" s="12"/>
      <c r="T144" s="198"/>
      <c r="U144" s="199">
        <f>IFERROR(VLOOKUP(tblRiskRegister3[[#This Row],[Asset Class]],tblVCDBIndex[],4,FALSE),"")</f>
        <v>1</v>
      </c>
      <c r="V144" s="24" t="str">
        <f>IFERROR(VLOOKUP(10*tblRiskRegister3[[#This Row],[Safeguard Maturity Score]]+tblRiskRegister3[[#This Row],[VCDB Index]],tblHITIndexWeightTable[],4,FALSE),"")</f>
        <v/>
      </c>
      <c r="W144" s="24"/>
      <c r="X144" s="24"/>
      <c r="Y144" s="24"/>
      <c r="Z144" s="24"/>
      <c r="AA144" s="24" t="str">
        <f>IFERROR(MAX(tblRiskRegister3[[#This Row],[Impact to Mission]:[Impact to Obligations]])*tblRiskRegister3[[#This Row],[Expectancy Score]],"")</f>
        <v/>
      </c>
      <c r="AB144" s="24" t="str">
        <f>tblRiskRegister3[[#This Row],[Risk Score]]</f>
        <v/>
      </c>
      <c r="AC144" s="79"/>
      <c r="AD144" s="206">
        <v>16.7</v>
      </c>
      <c r="AE144" s="194" t="s">
        <v>167</v>
      </c>
      <c r="AF144" s="194" t="s">
        <v>444</v>
      </c>
      <c r="AG144" s="213"/>
      <c r="AH144" s="13"/>
      <c r="AI144" s="22" t="str">
        <f>IFERROR(VLOOKUP(10*tblRiskRegister3[[#This Row],[Risk Treatment Safeguard Maturity Score]]+tblRiskRegister3[[#This Row],[VCDB Index]],tblHITIndexWeightTable[],4,FALSE),"")</f>
        <v/>
      </c>
      <c r="AJ144" s="300"/>
      <c r="AK144" s="300"/>
      <c r="AL144" s="300"/>
      <c r="AM144" s="300"/>
      <c r="AN144" s="100" t="str">
        <f>IFERROR(MAX(tblRiskRegister3[[#This Row],[Risk Treatment Safeguard Impact to Mission]:[Risk Treatment Safeguard Impact to Obligations]])*tblRiskRegister3[[#This Row],[Risk Treatment
Safeguard Expectancy Score]],"")</f>
        <v/>
      </c>
      <c r="AO144" s="100" t="str">
        <f>IF(tblRiskRegister3[[#This Row],[Risk Score]]&gt;AcceptableRisk1,IF(tblRiskRegister3[[#This Row],[Risk Treatment Safeguard Risk Score]]&lt;AcceptableRisk1, IF(tblRiskRegister3[[#This Row],[Risk Treatment Safeguard Risk Score]]&lt;=tblRiskRegister3[[#This Row],[Risk Score]],"Yes","No"),"No"),"Yes")</f>
        <v>No</v>
      </c>
      <c r="AP144" s="15"/>
      <c r="AQ144" s="15"/>
      <c r="AR144" s="16"/>
    </row>
    <row r="145" spans="2:44" ht="25.5" x14ac:dyDescent="0.2">
      <c r="B145" s="207">
        <v>16.8</v>
      </c>
      <c r="C145" s="194" t="s">
        <v>168</v>
      </c>
      <c r="D145" s="88" t="s">
        <v>89</v>
      </c>
      <c r="E145" s="274" t="s">
        <v>657</v>
      </c>
      <c r="F145" s="14"/>
      <c r="G145" s="88" t="s">
        <v>463</v>
      </c>
      <c r="H145" s="88" t="s">
        <v>463</v>
      </c>
      <c r="I145" s="223"/>
      <c r="J145" s="293" t="s">
        <v>667</v>
      </c>
      <c r="K145" s="293" t="s">
        <v>667</v>
      </c>
      <c r="L145" s="293" t="s">
        <v>667</v>
      </c>
      <c r="M145" s="293" t="s">
        <v>667</v>
      </c>
      <c r="N145" s="293" t="s">
        <v>667</v>
      </c>
      <c r="O145" s="295">
        <f>COUNTIF(tblRiskRegister3[[#This Row],[Defends Against Malware]:[Defends Against Targeted Intrusions]],"Yes")</f>
        <v>5</v>
      </c>
      <c r="P145" s="12"/>
      <c r="Q145" s="12"/>
      <c r="R145" s="12"/>
      <c r="S145" s="12"/>
      <c r="T145" s="198"/>
      <c r="U145" s="199">
        <f>IFERROR(VLOOKUP(tblRiskRegister3[[#This Row],[Asset Class]],tblVCDBIndex[],4,FALSE),"")</f>
        <v>1</v>
      </c>
      <c r="V145" s="24" t="str">
        <f>IFERROR(VLOOKUP(10*tblRiskRegister3[[#This Row],[Safeguard Maturity Score]]+tblRiskRegister3[[#This Row],[VCDB Index]],tblHITIndexWeightTable[],4,FALSE),"")</f>
        <v/>
      </c>
      <c r="W145" s="24"/>
      <c r="X145" s="24"/>
      <c r="Y145" s="24"/>
      <c r="Z145" s="24"/>
      <c r="AA145" s="24" t="str">
        <f>IFERROR(MAX(tblRiskRegister3[[#This Row],[Impact to Mission]:[Impact to Obligations]])*tblRiskRegister3[[#This Row],[Expectancy Score]],"")</f>
        <v/>
      </c>
      <c r="AB145" s="24" t="str">
        <f>tblRiskRegister3[[#This Row],[Risk Score]]</f>
        <v/>
      </c>
      <c r="AC145" s="79"/>
      <c r="AD145" s="206">
        <v>16.8</v>
      </c>
      <c r="AE145" s="194" t="s">
        <v>168</v>
      </c>
      <c r="AF145" s="194" t="s">
        <v>445</v>
      </c>
      <c r="AG145" s="213"/>
      <c r="AH145" s="13"/>
      <c r="AI145" s="22" t="str">
        <f>IFERROR(VLOOKUP(10*tblRiskRegister3[[#This Row],[Risk Treatment Safeguard Maturity Score]]+tblRiskRegister3[[#This Row],[VCDB Index]],tblHITIndexWeightTable[],4,FALSE),"")</f>
        <v/>
      </c>
      <c r="AJ145" s="300"/>
      <c r="AK145" s="300"/>
      <c r="AL145" s="300"/>
      <c r="AM145" s="300"/>
      <c r="AN145" s="100" t="str">
        <f>IFERROR(MAX(tblRiskRegister3[[#This Row],[Risk Treatment Safeguard Impact to Mission]:[Risk Treatment Safeguard Impact to Obligations]])*tblRiskRegister3[[#This Row],[Risk Treatment
Safeguard Expectancy Score]],"")</f>
        <v/>
      </c>
      <c r="AO145" s="100" t="str">
        <f>IF(tblRiskRegister3[[#This Row],[Risk Score]]&gt;AcceptableRisk1,IF(tblRiskRegister3[[#This Row],[Risk Treatment Safeguard Risk Score]]&lt;AcceptableRisk1, IF(tblRiskRegister3[[#This Row],[Risk Treatment Safeguard Risk Score]]&lt;=tblRiskRegister3[[#This Row],[Risk Score]],"Yes","No"),"No"),"Yes")</f>
        <v>No</v>
      </c>
      <c r="AP145" s="15"/>
      <c r="AQ145" s="15"/>
      <c r="AR145" s="16"/>
    </row>
    <row r="146" spans="2:44" ht="89.25" x14ac:dyDescent="0.2">
      <c r="B146" s="207">
        <v>16.899999999999999</v>
      </c>
      <c r="C146" s="194" t="s">
        <v>169</v>
      </c>
      <c r="D146" s="88" t="s">
        <v>89</v>
      </c>
      <c r="E146" s="274" t="s">
        <v>657</v>
      </c>
      <c r="F146" s="14"/>
      <c r="G146" s="88" t="s">
        <v>463</v>
      </c>
      <c r="H146" s="88" t="s">
        <v>463</v>
      </c>
      <c r="I146" s="223"/>
      <c r="J146" s="293" t="s">
        <v>667</v>
      </c>
      <c r="K146" s="293" t="s">
        <v>667</v>
      </c>
      <c r="L146" s="293" t="s">
        <v>667</v>
      </c>
      <c r="M146" s="293" t="s">
        <v>667</v>
      </c>
      <c r="N146" s="293" t="s">
        <v>667</v>
      </c>
      <c r="O146" s="295">
        <f>COUNTIF(tblRiskRegister3[[#This Row],[Defends Against Malware]:[Defends Against Targeted Intrusions]],"Yes")</f>
        <v>5</v>
      </c>
      <c r="P146" s="12"/>
      <c r="Q146" s="12"/>
      <c r="R146" s="12"/>
      <c r="S146" s="12"/>
      <c r="T146" s="198"/>
      <c r="U146" s="199">
        <f>IFERROR(VLOOKUP(tblRiskRegister3[[#This Row],[Asset Class]],tblVCDBIndex[],4,FALSE),"")</f>
        <v>1</v>
      </c>
      <c r="V146" s="24" t="str">
        <f>IFERROR(VLOOKUP(10*tblRiskRegister3[[#This Row],[Safeguard Maturity Score]]+tblRiskRegister3[[#This Row],[VCDB Index]],tblHITIndexWeightTable[],4,FALSE),"")</f>
        <v/>
      </c>
      <c r="W146" s="24"/>
      <c r="X146" s="24"/>
      <c r="Y146" s="24"/>
      <c r="Z146" s="24"/>
      <c r="AA146" s="24" t="str">
        <f>IFERROR(MAX(tblRiskRegister3[[#This Row],[Impact to Mission]:[Impact to Obligations]])*tblRiskRegister3[[#This Row],[Expectancy Score]],"")</f>
        <v/>
      </c>
      <c r="AB146" s="24" t="str">
        <f>tblRiskRegister3[[#This Row],[Risk Score]]</f>
        <v/>
      </c>
      <c r="AC146" s="79"/>
      <c r="AD146" s="206">
        <v>16.899999999999999</v>
      </c>
      <c r="AE146" s="194" t="s">
        <v>169</v>
      </c>
      <c r="AF146" s="194" t="s">
        <v>446</v>
      </c>
      <c r="AG146" s="213"/>
      <c r="AH146" s="13"/>
      <c r="AI146" s="22" t="str">
        <f>IFERROR(VLOOKUP(10*tblRiskRegister3[[#This Row],[Risk Treatment Safeguard Maturity Score]]+tblRiskRegister3[[#This Row],[VCDB Index]],tblHITIndexWeightTable[],4,FALSE),"")</f>
        <v/>
      </c>
      <c r="AJ146" s="300"/>
      <c r="AK146" s="300"/>
      <c r="AL146" s="300"/>
      <c r="AM146" s="300"/>
      <c r="AN146" s="100" t="str">
        <f>IFERROR(MAX(tblRiskRegister3[[#This Row],[Risk Treatment Safeguard Impact to Mission]:[Risk Treatment Safeguard Impact to Obligations]])*tblRiskRegister3[[#This Row],[Risk Treatment
Safeguard Expectancy Score]],"")</f>
        <v/>
      </c>
      <c r="AO146" s="100" t="str">
        <f>IF(tblRiskRegister3[[#This Row],[Risk Score]]&gt;AcceptableRisk1,IF(tblRiskRegister3[[#This Row],[Risk Treatment Safeguard Risk Score]]&lt;AcceptableRisk1, IF(tblRiskRegister3[[#This Row],[Risk Treatment Safeguard Risk Score]]&lt;=tblRiskRegister3[[#This Row],[Risk Score]],"Yes","No"),"No"),"Yes")</f>
        <v>No</v>
      </c>
      <c r="AP146" s="15"/>
      <c r="AQ146" s="15"/>
      <c r="AR146" s="16"/>
    </row>
    <row r="147" spans="2:44" ht="127.5" x14ac:dyDescent="0.2">
      <c r="B147" s="207" t="s">
        <v>460</v>
      </c>
      <c r="C147" s="194" t="s">
        <v>170</v>
      </c>
      <c r="D147" s="88" t="s">
        <v>89</v>
      </c>
      <c r="E147" s="274" t="s">
        <v>657</v>
      </c>
      <c r="F147" s="14"/>
      <c r="G147" s="88" t="s">
        <v>463</v>
      </c>
      <c r="H147" s="88" t="s">
        <v>463</v>
      </c>
      <c r="I147" s="223"/>
      <c r="J147" s="293" t="s">
        <v>667</v>
      </c>
      <c r="K147" s="293" t="s">
        <v>667</v>
      </c>
      <c r="L147" s="293" t="s">
        <v>667</v>
      </c>
      <c r="M147" s="293" t="s">
        <v>667</v>
      </c>
      <c r="N147" s="293" t="s">
        <v>667</v>
      </c>
      <c r="O147" s="295">
        <f>COUNTIF(tblRiskRegister3[[#This Row],[Defends Against Malware]:[Defends Against Targeted Intrusions]],"Yes")</f>
        <v>5</v>
      </c>
      <c r="P147" s="12"/>
      <c r="Q147" s="12"/>
      <c r="R147" s="12"/>
      <c r="S147" s="12"/>
      <c r="T147" s="198"/>
      <c r="U147" s="199">
        <f>IFERROR(VLOOKUP(tblRiskRegister3[[#This Row],[Asset Class]],tblVCDBIndex[],4,FALSE),"")</f>
        <v>1</v>
      </c>
      <c r="V147" s="24" t="str">
        <f>IFERROR(VLOOKUP(10*tblRiskRegister3[[#This Row],[Safeguard Maturity Score]]+tblRiskRegister3[[#This Row],[VCDB Index]],tblHITIndexWeightTable[],4,FALSE),"")</f>
        <v/>
      </c>
      <c r="W147" s="24"/>
      <c r="X147" s="24"/>
      <c r="Y147" s="24"/>
      <c r="Z147" s="24"/>
      <c r="AA147" s="24" t="str">
        <f>IFERROR(MAX(tblRiskRegister3[[#This Row],[Impact to Mission]:[Impact to Obligations]])*tblRiskRegister3[[#This Row],[Expectancy Score]],"")</f>
        <v/>
      </c>
      <c r="AB147" s="24" t="str">
        <f>tblRiskRegister3[[#This Row],[Risk Score]]</f>
        <v/>
      </c>
      <c r="AC147" s="79"/>
      <c r="AD147" s="206">
        <v>16.100000000000001</v>
      </c>
      <c r="AE147" s="194" t="s">
        <v>170</v>
      </c>
      <c r="AF147" s="194" t="s">
        <v>447</v>
      </c>
      <c r="AG147" s="213"/>
      <c r="AH147" s="13"/>
      <c r="AI147" s="22" t="str">
        <f>IFERROR(VLOOKUP(10*tblRiskRegister3[[#This Row],[Risk Treatment Safeguard Maturity Score]]+tblRiskRegister3[[#This Row],[VCDB Index]],tblHITIndexWeightTable[],4,FALSE),"")</f>
        <v/>
      </c>
      <c r="AJ147" s="300"/>
      <c r="AK147" s="300"/>
      <c r="AL147" s="300"/>
      <c r="AM147" s="300"/>
      <c r="AN147" s="100" t="str">
        <f>IFERROR(MAX(tblRiskRegister3[[#This Row],[Risk Treatment Safeguard Impact to Mission]:[Risk Treatment Safeguard Impact to Obligations]])*tblRiskRegister3[[#This Row],[Risk Treatment
Safeguard Expectancy Score]],"")</f>
        <v/>
      </c>
      <c r="AO147" s="100" t="str">
        <f>IF(tblRiskRegister3[[#This Row],[Risk Score]]&gt;AcceptableRisk1,IF(tblRiskRegister3[[#This Row],[Risk Treatment Safeguard Risk Score]]&lt;AcceptableRisk1, IF(tblRiskRegister3[[#This Row],[Risk Treatment Safeguard Risk Score]]&lt;=tblRiskRegister3[[#This Row],[Risk Score]],"Yes","No"),"No"),"Yes")</f>
        <v>No</v>
      </c>
      <c r="AP147" s="15"/>
      <c r="AQ147" s="15"/>
      <c r="AR147" s="16"/>
    </row>
    <row r="148" spans="2:44" ht="127.5" x14ac:dyDescent="0.2">
      <c r="B148" s="207">
        <v>16.11</v>
      </c>
      <c r="C148" s="194" t="s">
        <v>171</v>
      </c>
      <c r="D148" s="88" t="s">
        <v>89</v>
      </c>
      <c r="E148" s="274" t="s">
        <v>657</v>
      </c>
      <c r="F148" s="14"/>
      <c r="G148" s="88" t="s">
        <v>463</v>
      </c>
      <c r="H148" s="88" t="s">
        <v>463</v>
      </c>
      <c r="I148" s="223"/>
      <c r="J148" s="292" t="s">
        <v>666</v>
      </c>
      <c r="K148" s="293" t="s">
        <v>667</v>
      </c>
      <c r="L148" s="293" t="s">
        <v>667</v>
      </c>
      <c r="M148" s="293" t="s">
        <v>667</v>
      </c>
      <c r="N148" s="293" t="s">
        <v>667</v>
      </c>
      <c r="O148" s="295">
        <f>COUNTIF(tblRiskRegister3[[#This Row],[Defends Against Malware]:[Defends Against Targeted Intrusions]],"Yes")</f>
        <v>4</v>
      </c>
      <c r="P148" s="12"/>
      <c r="Q148" s="12"/>
      <c r="R148" s="12"/>
      <c r="S148" s="12"/>
      <c r="T148" s="198"/>
      <c r="U148" s="199">
        <f>IFERROR(VLOOKUP(tblRiskRegister3[[#This Row],[Asset Class]],tblVCDBIndex[],4,FALSE),"")</f>
        <v>1</v>
      </c>
      <c r="V148" s="24" t="str">
        <f>IFERROR(VLOOKUP(10*tblRiskRegister3[[#This Row],[Safeguard Maturity Score]]+tblRiskRegister3[[#This Row],[VCDB Index]],tblHITIndexWeightTable[],4,FALSE),"")</f>
        <v/>
      </c>
      <c r="W148" s="24"/>
      <c r="X148" s="24"/>
      <c r="Y148" s="24"/>
      <c r="Z148" s="24"/>
      <c r="AA148" s="24" t="str">
        <f>IFERROR(MAX(tblRiskRegister3[[#This Row],[Impact to Mission]:[Impact to Obligations]])*tblRiskRegister3[[#This Row],[Expectancy Score]],"")</f>
        <v/>
      </c>
      <c r="AB148" s="24" t="str">
        <f>tblRiskRegister3[[#This Row],[Risk Score]]</f>
        <v/>
      </c>
      <c r="AC148" s="79"/>
      <c r="AD148" s="206">
        <v>16.11</v>
      </c>
      <c r="AE148" s="194" t="s">
        <v>171</v>
      </c>
      <c r="AF148" s="194" t="s">
        <v>448</v>
      </c>
      <c r="AG148" s="213"/>
      <c r="AH148" s="13"/>
      <c r="AI148" s="22" t="str">
        <f>IFERROR(VLOOKUP(10*tblRiskRegister3[[#This Row],[Risk Treatment Safeguard Maturity Score]]+tblRiskRegister3[[#This Row],[VCDB Index]],tblHITIndexWeightTable[],4,FALSE),"")</f>
        <v/>
      </c>
      <c r="AJ148" s="300"/>
      <c r="AK148" s="300"/>
      <c r="AL148" s="300"/>
      <c r="AM148" s="300"/>
      <c r="AN148" s="100" t="str">
        <f>IFERROR(MAX(tblRiskRegister3[[#This Row],[Risk Treatment Safeguard Impact to Mission]:[Risk Treatment Safeguard Impact to Obligations]])*tblRiskRegister3[[#This Row],[Risk Treatment
Safeguard Expectancy Score]],"")</f>
        <v/>
      </c>
      <c r="AO148" s="100" t="str">
        <f>IF(tblRiskRegister3[[#This Row],[Risk Score]]&gt;AcceptableRisk1,IF(tblRiskRegister3[[#This Row],[Risk Treatment Safeguard Risk Score]]&lt;AcceptableRisk1, IF(tblRiskRegister3[[#This Row],[Risk Treatment Safeguard Risk Score]]&lt;=tblRiskRegister3[[#This Row],[Risk Score]],"Yes","No"),"No"),"Yes")</f>
        <v>No</v>
      </c>
      <c r="AP148" s="15"/>
      <c r="AQ148" s="15"/>
      <c r="AR148" s="16"/>
    </row>
    <row r="149" spans="2:44" ht="25.5" x14ac:dyDescent="0.2">
      <c r="B149" s="207">
        <v>16.12</v>
      </c>
      <c r="C149" s="194" t="s">
        <v>525</v>
      </c>
      <c r="D149" s="88" t="s">
        <v>89</v>
      </c>
      <c r="E149" s="274" t="s">
        <v>657</v>
      </c>
      <c r="F149" s="14"/>
      <c r="G149" s="88"/>
      <c r="H149" s="88" t="s">
        <v>463</v>
      </c>
      <c r="I149" s="223"/>
      <c r="J149" s="292" t="s">
        <v>666</v>
      </c>
      <c r="K149" s="293" t="s">
        <v>667</v>
      </c>
      <c r="L149" s="293" t="s">
        <v>667</v>
      </c>
      <c r="M149" s="293" t="s">
        <v>667</v>
      </c>
      <c r="N149" s="293" t="s">
        <v>667</v>
      </c>
      <c r="O149" s="295">
        <f>COUNTIF(tblRiskRegister3[[#This Row],[Defends Against Malware]:[Defends Against Targeted Intrusions]],"Yes")</f>
        <v>4</v>
      </c>
      <c r="P149" s="12"/>
      <c r="Q149" s="12"/>
      <c r="R149" s="12"/>
      <c r="S149" s="12"/>
      <c r="T149" s="198"/>
      <c r="U149" s="199">
        <f>IFERROR(VLOOKUP(tblRiskRegister3[[#This Row],[Asset Class]],tblVCDBIndex[],4,FALSE),"")</f>
        <v>1</v>
      </c>
      <c r="V149" s="24" t="str">
        <f>IFERROR(VLOOKUP(10*tblRiskRegister3[[#This Row],[Safeguard Maturity Score]]+tblRiskRegister3[[#This Row],[VCDB Index]],tblHITIndexWeightTable[],4,FALSE),"")</f>
        <v/>
      </c>
      <c r="W149" s="24"/>
      <c r="X149" s="24"/>
      <c r="Y149" s="24"/>
      <c r="Z149" s="24"/>
      <c r="AA149" s="24" t="str">
        <f>IFERROR(MAX(tblRiskRegister3[[#This Row],[Impact to Mission]:[Impact to Obligations]])*tblRiskRegister3[[#This Row],[Expectancy Score]],"")</f>
        <v/>
      </c>
      <c r="AB149" s="24" t="str">
        <f>tblRiskRegister3[[#This Row],[Risk Score]]</f>
        <v/>
      </c>
      <c r="AC149" s="79"/>
      <c r="AD149" s="206">
        <v>16.12</v>
      </c>
      <c r="AE149" s="194" t="s">
        <v>525</v>
      </c>
      <c r="AF149" s="194" t="s">
        <v>573</v>
      </c>
      <c r="AG149" s="213"/>
      <c r="AH149" s="13"/>
      <c r="AI149" s="22" t="str">
        <f>IFERROR(VLOOKUP(10*tblRiskRegister3[[#This Row],[Risk Treatment Safeguard Maturity Score]]+tblRiskRegister3[[#This Row],[VCDB Index]],tblHITIndexWeightTable[],4,FALSE),"")</f>
        <v/>
      </c>
      <c r="AJ149" s="300"/>
      <c r="AK149" s="300"/>
      <c r="AL149" s="300"/>
      <c r="AM149" s="300"/>
      <c r="AN149" s="100" t="str">
        <f>IFERROR(MAX(tblRiskRegister3[[#This Row],[Risk Treatment Safeguard Impact to Mission]:[Risk Treatment Safeguard Impact to Obligations]])*tblRiskRegister3[[#This Row],[Risk Treatment
Safeguard Expectancy Score]],"")</f>
        <v/>
      </c>
      <c r="AO149" s="100" t="str">
        <f>IF(tblRiskRegister3[[#This Row],[Risk Score]]&gt;AcceptableRisk1,IF(tblRiskRegister3[[#This Row],[Risk Treatment Safeguard Risk Score]]&lt;AcceptableRisk1, IF(tblRiskRegister3[[#This Row],[Risk Treatment Safeguard Risk Score]]&lt;=tblRiskRegister3[[#This Row],[Risk Score]],"Yes","No"),"No"),"Yes")</f>
        <v>No</v>
      </c>
      <c r="AP149" s="15"/>
      <c r="AQ149" s="15"/>
      <c r="AR149" s="16"/>
    </row>
    <row r="150" spans="2:44" ht="76.5" x14ac:dyDescent="0.2">
      <c r="B150" s="207">
        <v>16.13</v>
      </c>
      <c r="C150" s="194" t="s">
        <v>526</v>
      </c>
      <c r="D150" s="88" t="s">
        <v>89</v>
      </c>
      <c r="E150" s="274" t="s">
        <v>657</v>
      </c>
      <c r="F150" s="14"/>
      <c r="G150" s="88"/>
      <c r="H150" s="88" t="s">
        <v>463</v>
      </c>
      <c r="I150" s="223"/>
      <c r="J150" s="293" t="s">
        <v>667</v>
      </c>
      <c r="K150" s="293" t="s">
        <v>667</v>
      </c>
      <c r="L150" s="293" t="s">
        <v>667</v>
      </c>
      <c r="M150" s="293" t="s">
        <v>667</v>
      </c>
      <c r="N150" s="293" t="s">
        <v>667</v>
      </c>
      <c r="O150" s="295">
        <f>COUNTIF(tblRiskRegister3[[#This Row],[Defends Against Malware]:[Defends Against Targeted Intrusions]],"Yes")</f>
        <v>5</v>
      </c>
      <c r="P150" s="12"/>
      <c r="Q150" s="12"/>
      <c r="R150" s="12"/>
      <c r="S150" s="12"/>
      <c r="T150" s="198"/>
      <c r="U150" s="199">
        <f>IFERROR(VLOOKUP(tblRiskRegister3[[#This Row],[Asset Class]],tblVCDBIndex[],4,FALSE),"")</f>
        <v>1</v>
      </c>
      <c r="V150" s="24" t="str">
        <f>IFERROR(VLOOKUP(10*tblRiskRegister3[[#This Row],[Safeguard Maturity Score]]+tblRiskRegister3[[#This Row],[VCDB Index]],tblHITIndexWeightTable[],4,FALSE),"")</f>
        <v/>
      </c>
      <c r="W150" s="24"/>
      <c r="X150" s="24"/>
      <c r="Y150" s="24"/>
      <c r="Z150" s="24"/>
      <c r="AA150" s="24" t="str">
        <f>IFERROR(MAX(tblRiskRegister3[[#This Row],[Impact to Mission]:[Impact to Obligations]])*tblRiskRegister3[[#This Row],[Expectancy Score]],"")</f>
        <v/>
      </c>
      <c r="AB150" s="24" t="str">
        <f>tblRiskRegister3[[#This Row],[Risk Score]]</f>
        <v/>
      </c>
      <c r="AC150" s="79"/>
      <c r="AD150" s="206">
        <v>16.13</v>
      </c>
      <c r="AE150" s="194" t="s">
        <v>526</v>
      </c>
      <c r="AF150" s="194" t="s">
        <v>574</v>
      </c>
      <c r="AG150" s="213"/>
      <c r="AH150" s="13"/>
      <c r="AI150" s="22" t="str">
        <f>IFERROR(VLOOKUP(10*tblRiskRegister3[[#This Row],[Risk Treatment Safeguard Maturity Score]]+tblRiskRegister3[[#This Row],[VCDB Index]],tblHITIndexWeightTable[],4,FALSE),"")</f>
        <v/>
      </c>
      <c r="AJ150" s="300"/>
      <c r="AK150" s="300"/>
      <c r="AL150" s="300"/>
      <c r="AM150" s="300"/>
      <c r="AN150" s="100" t="str">
        <f>IFERROR(MAX(tblRiskRegister3[[#This Row],[Risk Treatment Safeguard Impact to Mission]:[Risk Treatment Safeguard Impact to Obligations]])*tblRiskRegister3[[#This Row],[Risk Treatment
Safeguard Expectancy Score]],"")</f>
        <v/>
      </c>
      <c r="AO150" s="100" t="str">
        <f>IF(tblRiskRegister3[[#This Row],[Risk Score]]&gt;AcceptableRisk1,IF(tblRiskRegister3[[#This Row],[Risk Treatment Safeguard Risk Score]]&lt;AcceptableRisk1, IF(tblRiskRegister3[[#This Row],[Risk Treatment Safeguard Risk Score]]&lt;=tblRiskRegister3[[#This Row],[Risk Score]],"Yes","No"),"No"),"Yes")</f>
        <v>No</v>
      </c>
      <c r="AP150" s="15"/>
      <c r="AQ150" s="15"/>
      <c r="AR150" s="16"/>
    </row>
    <row r="151" spans="2:44" ht="89.25" x14ac:dyDescent="0.2">
      <c r="B151" s="207">
        <v>16.14</v>
      </c>
      <c r="C151" s="194" t="s">
        <v>549</v>
      </c>
      <c r="D151" s="88" t="s">
        <v>89</v>
      </c>
      <c r="E151" s="274" t="s">
        <v>657</v>
      </c>
      <c r="F151" s="14"/>
      <c r="G151" s="88"/>
      <c r="H151" s="88" t="s">
        <v>463</v>
      </c>
      <c r="I151" s="223"/>
      <c r="J151" s="292" t="s">
        <v>666</v>
      </c>
      <c r="K151" s="292" t="s">
        <v>666</v>
      </c>
      <c r="L151" s="292" t="s">
        <v>666</v>
      </c>
      <c r="M151" s="292" t="s">
        <v>666</v>
      </c>
      <c r="N151" s="292" t="s">
        <v>666</v>
      </c>
      <c r="O151" s="295">
        <f>COUNTIF(tblRiskRegister3[[#This Row],[Defends Against Malware]:[Defends Against Targeted Intrusions]],"Yes")</f>
        <v>0</v>
      </c>
      <c r="P151" s="12"/>
      <c r="Q151" s="12"/>
      <c r="R151" s="12"/>
      <c r="S151" s="12"/>
      <c r="T151" s="198"/>
      <c r="U151" s="199">
        <f>IFERROR(VLOOKUP(tblRiskRegister3[[#This Row],[Asset Class]],tblVCDBIndex[],4,FALSE),"")</f>
        <v>1</v>
      </c>
      <c r="V151" s="24" t="str">
        <f>IFERROR(VLOOKUP(10*tblRiskRegister3[[#This Row],[Safeguard Maturity Score]]+tblRiskRegister3[[#This Row],[VCDB Index]],tblHITIndexWeightTable[],4,FALSE),"")</f>
        <v/>
      </c>
      <c r="W151" s="24"/>
      <c r="X151" s="24"/>
      <c r="Y151" s="24"/>
      <c r="Z151" s="24"/>
      <c r="AA151" s="24" t="str">
        <f>IFERROR(MAX(tblRiskRegister3[[#This Row],[Impact to Mission]:[Impact to Obligations]])*tblRiskRegister3[[#This Row],[Expectancy Score]],"")</f>
        <v/>
      </c>
      <c r="AB151" s="24" t="str">
        <f>tblRiskRegister3[[#This Row],[Risk Score]]</f>
        <v/>
      </c>
      <c r="AC151" s="79"/>
      <c r="AD151" s="206">
        <v>16.14</v>
      </c>
      <c r="AE151" s="194" t="s">
        <v>549</v>
      </c>
      <c r="AF151" s="194" t="s">
        <v>575</v>
      </c>
      <c r="AG151" s="213"/>
      <c r="AH151" s="13"/>
      <c r="AI151" s="22" t="str">
        <f>IFERROR(VLOOKUP(10*tblRiskRegister3[[#This Row],[Risk Treatment Safeguard Maturity Score]]+tblRiskRegister3[[#This Row],[VCDB Index]],tblHITIndexWeightTable[],4,FALSE),"")</f>
        <v/>
      </c>
      <c r="AJ151" s="300"/>
      <c r="AK151" s="300"/>
      <c r="AL151" s="300"/>
      <c r="AM151" s="300"/>
      <c r="AN151" s="100" t="str">
        <f>IFERROR(MAX(tblRiskRegister3[[#This Row],[Risk Treatment Safeguard Impact to Mission]:[Risk Treatment Safeguard Impact to Obligations]])*tblRiskRegister3[[#This Row],[Risk Treatment
Safeguard Expectancy Score]],"")</f>
        <v/>
      </c>
      <c r="AO151" s="100" t="str">
        <f>IF(tblRiskRegister3[[#This Row],[Risk Score]]&gt;AcceptableRisk1,IF(tblRiskRegister3[[#This Row],[Risk Treatment Safeguard Risk Score]]&lt;AcceptableRisk1, IF(tblRiskRegister3[[#This Row],[Risk Treatment Safeguard Risk Score]]&lt;=tblRiskRegister3[[#This Row],[Risk Score]],"Yes","No"),"No"),"Yes")</f>
        <v>No</v>
      </c>
      <c r="AP151" s="15"/>
      <c r="AQ151" s="15"/>
      <c r="AR151" s="16"/>
    </row>
    <row r="152" spans="2:44" ht="114.75" x14ac:dyDescent="0.2">
      <c r="B152" s="207">
        <v>17.100000000000001</v>
      </c>
      <c r="C152" s="194" t="s">
        <v>84</v>
      </c>
      <c r="D152" s="88" t="s">
        <v>92</v>
      </c>
      <c r="E152" s="274" t="s">
        <v>655</v>
      </c>
      <c r="F152" s="14" t="s">
        <v>463</v>
      </c>
      <c r="G152" s="88" t="s">
        <v>463</v>
      </c>
      <c r="H152" s="88" t="s">
        <v>463</v>
      </c>
      <c r="I152" s="223"/>
      <c r="J152" s="292" t="s">
        <v>666</v>
      </c>
      <c r="K152" s="292" t="s">
        <v>666</v>
      </c>
      <c r="L152" s="292" t="s">
        <v>666</v>
      </c>
      <c r="M152" s="292" t="s">
        <v>666</v>
      </c>
      <c r="N152" s="292" t="s">
        <v>666</v>
      </c>
      <c r="O152" s="295">
        <f>COUNTIF(tblRiskRegister3[[#This Row],[Defends Against Malware]:[Defends Against Targeted Intrusions]],"Yes")</f>
        <v>0</v>
      </c>
      <c r="P152" s="12"/>
      <c r="Q152" s="12"/>
      <c r="R152" s="12"/>
      <c r="S152" s="12"/>
      <c r="T152" s="198"/>
      <c r="U152" s="199">
        <f>IFERROR(VLOOKUP(tblRiskRegister3[[#This Row],[Asset Class]],tblVCDBIndex[],4,FALSE),"")</f>
        <v>3</v>
      </c>
      <c r="V152" s="24" t="str">
        <f>IFERROR(VLOOKUP(10*tblRiskRegister3[[#This Row],[Safeguard Maturity Score]]+tblRiskRegister3[[#This Row],[VCDB Index]],tblHITIndexWeightTable[],4,FALSE),"")</f>
        <v/>
      </c>
      <c r="W152" s="24"/>
      <c r="X152" s="24"/>
      <c r="Y152" s="24"/>
      <c r="Z152" s="24"/>
      <c r="AA152" s="24" t="str">
        <f>IFERROR(MAX(tblRiskRegister3[[#This Row],[Impact to Mission]:[Impact to Obligations]])*tblRiskRegister3[[#This Row],[Expectancy Score]],"")</f>
        <v/>
      </c>
      <c r="AB152" s="24" t="str">
        <f>tblRiskRegister3[[#This Row],[Risk Score]]</f>
        <v/>
      </c>
      <c r="AC152" s="79"/>
      <c r="AD152" s="206">
        <v>17.100000000000001</v>
      </c>
      <c r="AE152" s="194" t="s">
        <v>84</v>
      </c>
      <c r="AF152" s="194" t="s">
        <v>449</v>
      </c>
      <c r="AG152" s="213"/>
      <c r="AH152" s="13"/>
      <c r="AI152" s="22" t="str">
        <f>IFERROR(VLOOKUP(10*tblRiskRegister3[[#This Row],[Risk Treatment Safeguard Maturity Score]]+tblRiskRegister3[[#This Row],[VCDB Index]],tblHITIndexWeightTable[],4,FALSE),"")</f>
        <v/>
      </c>
      <c r="AJ152" s="300"/>
      <c r="AK152" s="300"/>
      <c r="AL152" s="300"/>
      <c r="AM152" s="300"/>
      <c r="AN152" s="100" t="str">
        <f>IFERROR(MAX(tblRiskRegister3[[#This Row],[Risk Treatment Safeguard Impact to Mission]:[Risk Treatment Safeguard Impact to Obligations]])*tblRiskRegister3[[#This Row],[Risk Treatment
Safeguard Expectancy Score]],"")</f>
        <v/>
      </c>
      <c r="AO152" s="100" t="str">
        <f>IF(tblRiskRegister3[[#This Row],[Risk Score]]&gt;AcceptableRisk1,IF(tblRiskRegister3[[#This Row],[Risk Treatment Safeguard Risk Score]]&lt;AcceptableRisk1, IF(tblRiskRegister3[[#This Row],[Risk Treatment Safeguard Risk Score]]&lt;=tblRiskRegister3[[#This Row],[Risk Score]],"Yes","No"),"No"),"Yes")</f>
        <v>No</v>
      </c>
      <c r="AP152" s="15"/>
      <c r="AQ152" s="15"/>
      <c r="AR152" s="16"/>
    </row>
    <row r="153" spans="2:44" ht="76.5" x14ac:dyDescent="0.2">
      <c r="B153" s="207">
        <v>17.2</v>
      </c>
      <c r="C153" s="194" t="s">
        <v>85</v>
      </c>
      <c r="D153" s="88" t="s">
        <v>92</v>
      </c>
      <c r="E153" s="274" t="s">
        <v>655</v>
      </c>
      <c r="F153" s="14" t="s">
        <v>463</v>
      </c>
      <c r="G153" s="88" t="s">
        <v>463</v>
      </c>
      <c r="H153" s="88" t="s">
        <v>463</v>
      </c>
      <c r="I153" s="223"/>
      <c r="J153" s="292" t="s">
        <v>666</v>
      </c>
      <c r="K153" s="292" t="s">
        <v>666</v>
      </c>
      <c r="L153" s="292" t="s">
        <v>666</v>
      </c>
      <c r="M153" s="292" t="s">
        <v>666</v>
      </c>
      <c r="N153" s="292" t="s">
        <v>666</v>
      </c>
      <c r="O153" s="295">
        <f>COUNTIF(tblRiskRegister3[[#This Row],[Defends Against Malware]:[Defends Against Targeted Intrusions]],"Yes")</f>
        <v>0</v>
      </c>
      <c r="P153" s="12"/>
      <c r="Q153" s="12"/>
      <c r="R153" s="12"/>
      <c r="S153" s="12"/>
      <c r="T153" s="198"/>
      <c r="U153" s="199">
        <f>IFERROR(VLOOKUP(tblRiskRegister3[[#This Row],[Asset Class]],tblVCDBIndex[],4,FALSE),"")</f>
        <v>3</v>
      </c>
      <c r="V153" s="24" t="str">
        <f>IFERROR(VLOOKUP(10*tblRiskRegister3[[#This Row],[Safeguard Maturity Score]]+tblRiskRegister3[[#This Row],[VCDB Index]],tblHITIndexWeightTable[],4,FALSE),"")</f>
        <v/>
      </c>
      <c r="W153" s="24"/>
      <c r="X153" s="24"/>
      <c r="Y153" s="24"/>
      <c r="Z153" s="24"/>
      <c r="AA153" s="24" t="str">
        <f>IFERROR(MAX(tblRiskRegister3[[#This Row],[Impact to Mission]:[Impact to Obligations]])*tblRiskRegister3[[#This Row],[Expectancy Score]],"")</f>
        <v/>
      </c>
      <c r="AB153" s="24" t="str">
        <f>tblRiskRegister3[[#This Row],[Risk Score]]</f>
        <v/>
      </c>
      <c r="AC153" s="79"/>
      <c r="AD153" s="206">
        <v>17.2</v>
      </c>
      <c r="AE153" s="194" t="s">
        <v>85</v>
      </c>
      <c r="AF153" s="194" t="s">
        <v>450</v>
      </c>
      <c r="AG153" s="213"/>
      <c r="AH153" s="13"/>
      <c r="AI153" s="22" t="str">
        <f>IFERROR(VLOOKUP(10*tblRiskRegister3[[#This Row],[Risk Treatment Safeguard Maturity Score]]+tblRiskRegister3[[#This Row],[VCDB Index]],tblHITIndexWeightTable[],4,FALSE),"")</f>
        <v/>
      </c>
      <c r="AJ153" s="300"/>
      <c r="AK153" s="300"/>
      <c r="AL153" s="300"/>
      <c r="AM153" s="300"/>
      <c r="AN153" s="100" t="str">
        <f>IFERROR(MAX(tblRiskRegister3[[#This Row],[Risk Treatment Safeguard Impact to Mission]:[Risk Treatment Safeguard Impact to Obligations]])*tblRiskRegister3[[#This Row],[Risk Treatment
Safeguard Expectancy Score]],"")</f>
        <v/>
      </c>
      <c r="AO153" s="100" t="str">
        <f>IF(tblRiskRegister3[[#This Row],[Risk Score]]&gt;AcceptableRisk1,IF(tblRiskRegister3[[#This Row],[Risk Treatment Safeguard Risk Score]]&lt;AcceptableRisk1, IF(tblRiskRegister3[[#This Row],[Risk Treatment Safeguard Risk Score]]&lt;=tblRiskRegister3[[#This Row],[Risk Score]],"Yes","No"),"No"),"Yes")</f>
        <v>No</v>
      </c>
      <c r="AP153" s="15"/>
      <c r="AQ153" s="15"/>
      <c r="AR153" s="16"/>
    </row>
    <row r="154" spans="2:44" ht="76.5" x14ac:dyDescent="0.2">
      <c r="B154" s="207">
        <v>17.3</v>
      </c>
      <c r="C154" s="194" t="s">
        <v>86</v>
      </c>
      <c r="D154" s="88" t="s">
        <v>92</v>
      </c>
      <c r="E154" s="274" t="s">
        <v>655</v>
      </c>
      <c r="F154" s="14" t="s">
        <v>463</v>
      </c>
      <c r="G154" s="88" t="s">
        <v>463</v>
      </c>
      <c r="H154" s="88" t="s">
        <v>463</v>
      </c>
      <c r="I154" s="223"/>
      <c r="J154" s="292" t="s">
        <v>666</v>
      </c>
      <c r="K154" s="292" t="s">
        <v>666</v>
      </c>
      <c r="L154" s="292" t="s">
        <v>666</v>
      </c>
      <c r="M154" s="292" t="s">
        <v>666</v>
      </c>
      <c r="N154" s="292" t="s">
        <v>666</v>
      </c>
      <c r="O154" s="295">
        <f>COUNTIF(tblRiskRegister3[[#This Row],[Defends Against Malware]:[Defends Against Targeted Intrusions]],"Yes")</f>
        <v>0</v>
      </c>
      <c r="P154" s="12"/>
      <c r="Q154" s="12"/>
      <c r="R154" s="12"/>
      <c r="S154" s="12"/>
      <c r="T154" s="198"/>
      <c r="U154" s="199">
        <f>IFERROR(VLOOKUP(tblRiskRegister3[[#This Row],[Asset Class]],tblVCDBIndex[],4,FALSE),"")</f>
        <v>3</v>
      </c>
      <c r="V154" s="24" t="str">
        <f>IFERROR(VLOOKUP(10*tblRiskRegister3[[#This Row],[Safeguard Maturity Score]]+tblRiskRegister3[[#This Row],[VCDB Index]],tblHITIndexWeightTable[],4,FALSE),"")</f>
        <v/>
      </c>
      <c r="W154" s="24"/>
      <c r="X154" s="24"/>
      <c r="Y154" s="24"/>
      <c r="Z154" s="24"/>
      <c r="AA154" s="24" t="str">
        <f>IFERROR(MAX(tblRiskRegister3[[#This Row],[Impact to Mission]:[Impact to Obligations]])*tblRiskRegister3[[#This Row],[Expectancy Score]],"")</f>
        <v/>
      </c>
      <c r="AB154" s="24" t="str">
        <f>tblRiskRegister3[[#This Row],[Risk Score]]</f>
        <v/>
      </c>
      <c r="AC154" s="79"/>
      <c r="AD154" s="206">
        <v>17.3</v>
      </c>
      <c r="AE154" s="194" t="s">
        <v>86</v>
      </c>
      <c r="AF154" s="194" t="s">
        <v>451</v>
      </c>
      <c r="AG154" s="213"/>
      <c r="AH154" s="13"/>
      <c r="AI154" s="22" t="str">
        <f>IFERROR(VLOOKUP(10*tblRiskRegister3[[#This Row],[Risk Treatment Safeguard Maturity Score]]+tblRiskRegister3[[#This Row],[VCDB Index]],tblHITIndexWeightTable[],4,FALSE),"")</f>
        <v/>
      </c>
      <c r="AJ154" s="300"/>
      <c r="AK154" s="300"/>
      <c r="AL154" s="300"/>
      <c r="AM154" s="300"/>
      <c r="AN154" s="100" t="str">
        <f>IFERROR(MAX(tblRiskRegister3[[#This Row],[Risk Treatment Safeguard Impact to Mission]:[Risk Treatment Safeguard Impact to Obligations]])*tblRiskRegister3[[#This Row],[Risk Treatment
Safeguard Expectancy Score]],"")</f>
        <v/>
      </c>
      <c r="AO154" s="100" t="str">
        <f>IF(tblRiskRegister3[[#This Row],[Risk Score]]&gt;AcceptableRisk1,IF(tblRiskRegister3[[#This Row],[Risk Treatment Safeguard Risk Score]]&lt;AcceptableRisk1, IF(tblRiskRegister3[[#This Row],[Risk Treatment Safeguard Risk Score]]&lt;=tblRiskRegister3[[#This Row],[Risk Score]],"Yes","No"),"No"),"Yes")</f>
        <v>No</v>
      </c>
      <c r="AP154" s="15"/>
      <c r="AQ154" s="15"/>
      <c r="AR154" s="16"/>
    </row>
    <row r="155" spans="2:44" ht="51" x14ac:dyDescent="0.2">
      <c r="B155" s="207">
        <v>17.399999999999999</v>
      </c>
      <c r="C155" s="194" t="s">
        <v>196</v>
      </c>
      <c r="D155" s="88" t="s">
        <v>92</v>
      </c>
      <c r="E155" s="274" t="s">
        <v>655</v>
      </c>
      <c r="F155" s="14"/>
      <c r="G155" s="88" t="s">
        <v>463</v>
      </c>
      <c r="H155" s="88" t="s">
        <v>463</v>
      </c>
      <c r="I155" s="223"/>
      <c r="J155" s="292" t="s">
        <v>666</v>
      </c>
      <c r="K155" s="292" t="s">
        <v>666</v>
      </c>
      <c r="L155" s="292" t="s">
        <v>666</v>
      </c>
      <c r="M155" s="292" t="s">
        <v>666</v>
      </c>
      <c r="N155" s="292" t="s">
        <v>666</v>
      </c>
      <c r="O155" s="295">
        <f>COUNTIF(tblRiskRegister3[[#This Row],[Defends Against Malware]:[Defends Against Targeted Intrusions]],"Yes")</f>
        <v>0</v>
      </c>
      <c r="P155" s="12"/>
      <c r="Q155" s="12"/>
      <c r="R155" s="12"/>
      <c r="S155" s="12"/>
      <c r="T155" s="198"/>
      <c r="U155" s="199">
        <f>IFERROR(VLOOKUP(tblRiskRegister3[[#This Row],[Asset Class]],tblVCDBIndex[],4,FALSE),"")</f>
        <v>3</v>
      </c>
      <c r="V155" s="24" t="str">
        <f>IFERROR(VLOOKUP(10*tblRiskRegister3[[#This Row],[Safeguard Maturity Score]]+tblRiskRegister3[[#This Row],[VCDB Index]],tblHITIndexWeightTable[],4,FALSE),"")</f>
        <v/>
      </c>
      <c r="W155" s="24"/>
      <c r="X155" s="24"/>
      <c r="Y155" s="24"/>
      <c r="Z155" s="24"/>
      <c r="AA155" s="24" t="str">
        <f>IFERROR(MAX(tblRiskRegister3[[#This Row],[Impact to Mission]:[Impact to Obligations]])*tblRiskRegister3[[#This Row],[Expectancy Score]],"")</f>
        <v/>
      </c>
      <c r="AB155" s="24" t="str">
        <f>tblRiskRegister3[[#This Row],[Risk Score]]</f>
        <v/>
      </c>
      <c r="AC155" s="79"/>
      <c r="AD155" s="206">
        <v>17.399999999999999</v>
      </c>
      <c r="AE155" s="194" t="s">
        <v>196</v>
      </c>
      <c r="AF155" s="194" t="s">
        <v>452</v>
      </c>
      <c r="AG155" s="213"/>
      <c r="AH155" s="13"/>
      <c r="AI155" s="22" t="str">
        <f>IFERROR(VLOOKUP(10*tblRiskRegister3[[#This Row],[Risk Treatment Safeguard Maturity Score]]+tblRiskRegister3[[#This Row],[VCDB Index]],tblHITIndexWeightTable[],4,FALSE),"")</f>
        <v/>
      </c>
      <c r="AJ155" s="300"/>
      <c r="AK155" s="300"/>
      <c r="AL155" s="300"/>
      <c r="AM155" s="300"/>
      <c r="AN155" s="100" t="str">
        <f>IFERROR(MAX(tblRiskRegister3[[#This Row],[Risk Treatment Safeguard Impact to Mission]:[Risk Treatment Safeguard Impact to Obligations]])*tblRiskRegister3[[#This Row],[Risk Treatment
Safeguard Expectancy Score]],"")</f>
        <v/>
      </c>
      <c r="AO155" s="100" t="str">
        <f>IF(tblRiskRegister3[[#This Row],[Risk Score]]&gt;AcceptableRisk1,IF(tblRiskRegister3[[#This Row],[Risk Treatment Safeguard Risk Score]]&lt;AcceptableRisk1, IF(tblRiskRegister3[[#This Row],[Risk Treatment Safeguard Risk Score]]&lt;=tblRiskRegister3[[#This Row],[Risk Score]],"Yes","No"),"No"),"Yes")</f>
        <v>No</v>
      </c>
      <c r="AP155" s="15"/>
      <c r="AQ155" s="15"/>
      <c r="AR155" s="16"/>
    </row>
    <row r="156" spans="2:44" ht="63.75" x14ac:dyDescent="0.2">
      <c r="B156" s="207">
        <v>17.5</v>
      </c>
      <c r="C156" s="194" t="s">
        <v>197</v>
      </c>
      <c r="D156" s="88" t="s">
        <v>92</v>
      </c>
      <c r="E156" s="274" t="s">
        <v>655</v>
      </c>
      <c r="F156" s="14"/>
      <c r="G156" s="88" t="s">
        <v>463</v>
      </c>
      <c r="H156" s="88" t="s">
        <v>463</v>
      </c>
      <c r="I156" s="223"/>
      <c r="J156" s="292" t="s">
        <v>666</v>
      </c>
      <c r="K156" s="292" t="s">
        <v>666</v>
      </c>
      <c r="L156" s="292" t="s">
        <v>666</v>
      </c>
      <c r="M156" s="292" t="s">
        <v>666</v>
      </c>
      <c r="N156" s="292" t="s">
        <v>666</v>
      </c>
      <c r="O156" s="295">
        <f>COUNTIF(tblRiskRegister3[[#This Row],[Defends Against Malware]:[Defends Against Targeted Intrusions]],"Yes")</f>
        <v>0</v>
      </c>
      <c r="P156" s="12"/>
      <c r="Q156" s="12"/>
      <c r="R156" s="12"/>
      <c r="S156" s="12"/>
      <c r="T156" s="198"/>
      <c r="U156" s="199">
        <f>IFERROR(VLOOKUP(tblRiskRegister3[[#This Row],[Asset Class]],tblVCDBIndex[],4,FALSE),"")</f>
        <v>3</v>
      </c>
      <c r="V156" s="24" t="str">
        <f>IFERROR(VLOOKUP(10*tblRiskRegister3[[#This Row],[Safeguard Maturity Score]]+tblRiskRegister3[[#This Row],[VCDB Index]],tblHITIndexWeightTable[],4,FALSE),"")</f>
        <v/>
      </c>
      <c r="W156" s="24"/>
      <c r="X156" s="24"/>
      <c r="Y156" s="24"/>
      <c r="Z156" s="24"/>
      <c r="AA156" s="24" t="str">
        <f>IFERROR(MAX(tblRiskRegister3[[#This Row],[Impact to Mission]:[Impact to Obligations]])*tblRiskRegister3[[#This Row],[Expectancy Score]],"")</f>
        <v/>
      </c>
      <c r="AB156" s="24" t="str">
        <f>tblRiskRegister3[[#This Row],[Risk Score]]</f>
        <v/>
      </c>
      <c r="AC156" s="79"/>
      <c r="AD156" s="206">
        <v>17.5</v>
      </c>
      <c r="AE156" s="194" t="s">
        <v>197</v>
      </c>
      <c r="AF156" s="194" t="s">
        <v>453</v>
      </c>
      <c r="AG156" s="213"/>
      <c r="AH156" s="13"/>
      <c r="AI156" s="22" t="str">
        <f>IFERROR(VLOOKUP(10*tblRiskRegister3[[#This Row],[Risk Treatment Safeguard Maturity Score]]+tblRiskRegister3[[#This Row],[VCDB Index]],tblHITIndexWeightTable[],4,FALSE),"")</f>
        <v/>
      </c>
      <c r="AJ156" s="300"/>
      <c r="AK156" s="300"/>
      <c r="AL156" s="300"/>
      <c r="AM156" s="300"/>
      <c r="AN156" s="100" t="str">
        <f>IFERROR(MAX(tblRiskRegister3[[#This Row],[Risk Treatment Safeguard Impact to Mission]:[Risk Treatment Safeguard Impact to Obligations]])*tblRiskRegister3[[#This Row],[Risk Treatment
Safeguard Expectancy Score]],"")</f>
        <v/>
      </c>
      <c r="AO156" s="100" t="str">
        <f>IF(tblRiskRegister3[[#This Row],[Risk Score]]&gt;AcceptableRisk1,IF(tblRiskRegister3[[#This Row],[Risk Treatment Safeguard Risk Score]]&lt;AcceptableRisk1, IF(tblRiskRegister3[[#This Row],[Risk Treatment Safeguard Risk Score]]&lt;=tblRiskRegister3[[#This Row],[Risk Score]],"Yes","No"),"No"),"Yes")</f>
        <v>No</v>
      </c>
      <c r="AP156" s="15"/>
      <c r="AQ156" s="15"/>
      <c r="AR156" s="16"/>
    </row>
    <row r="157" spans="2:44" ht="76.5" x14ac:dyDescent="0.2">
      <c r="B157" s="207">
        <v>17.600000000000001</v>
      </c>
      <c r="C157" s="194" t="s">
        <v>198</v>
      </c>
      <c r="D157" s="88" t="s">
        <v>92</v>
      </c>
      <c r="E157" s="274" t="s">
        <v>655</v>
      </c>
      <c r="F157" s="14"/>
      <c r="G157" s="88" t="s">
        <v>463</v>
      </c>
      <c r="H157" s="88" t="s">
        <v>463</v>
      </c>
      <c r="I157" s="223"/>
      <c r="J157" s="292" t="s">
        <v>666</v>
      </c>
      <c r="K157" s="292" t="s">
        <v>666</v>
      </c>
      <c r="L157" s="292" t="s">
        <v>666</v>
      </c>
      <c r="M157" s="292" t="s">
        <v>666</v>
      </c>
      <c r="N157" s="292" t="s">
        <v>666</v>
      </c>
      <c r="O157" s="295">
        <f>COUNTIF(tblRiskRegister3[[#This Row],[Defends Against Malware]:[Defends Against Targeted Intrusions]],"Yes")</f>
        <v>0</v>
      </c>
      <c r="P157" s="12"/>
      <c r="Q157" s="12"/>
      <c r="R157" s="12"/>
      <c r="S157" s="12"/>
      <c r="T157" s="198"/>
      <c r="U157" s="199">
        <f>IFERROR(VLOOKUP(tblRiskRegister3[[#This Row],[Asset Class]],tblVCDBIndex[],4,FALSE),"")</f>
        <v>3</v>
      </c>
      <c r="V157" s="24" t="str">
        <f>IFERROR(VLOOKUP(10*tblRiskRegister3[[#This Row],[Safeguard Maturity Score]]+tblRiskRegister3[[#This Row],[VCDB Index]],tblHITIndexWeightTable[],4,FALSE),"")</f>
        <v/>
      </c>
      <c r="W157" s="24"/>
      <c r="X157" s="24"/>
      <c r="Y157" s="24"/>
      <c r="Z157" s="24"/>
      <c r="AA157" s="24" t="str">
        <f>IFERROR(MAX(tblRiskRegister3[[#This Row],[Impact to Mission]:[Impact to Obligations]])*tblRiskRegister3[[#This Row],[Expectancy Score]],"")</f>
        <v/>
      </c>
      <c r="AB157" s="24" t="str">
        <f>tblRiskRegister3[[#This Row],[Risk Score]]</f>
        <v/>
      </c>
      <c r="AC157" s="79"/>
      <c r="AD157" s="206">
        <v>17.600000000000001</v>
      </c>
      <c r="AE157" s="194" t="s">
        <v>198</v>
      </c>
      <c r="AF157" s="194" t="s">
        <v>454</v>
      </c>
      <c r="AG157" s="213"/>
      <c r="AH157" s="13"/>
      <c r="AI157" s="22" t="str">
        <f>IFERROR(VLOOKUP(10*tblRiskRegister3[[#This Row],[Risk Treatment Safeguard Maturity Score]]+tblRiskRegister3[[#This Row],[VCDB Index]],tblHITIndexWeightTable[],4,FALSE),"")</f>
        <v/>
      </c>
      <c r="AJ157" s="300"/>
      <c r="AK157" s="300"/>
      <c r="AL157" s="300"/>
      <c r="AM157" s="300"/>
      <c r="AN157" s="100" t="str">
        <f>IFERROR(MAX(tblRiskRegister3[[#This Row],[Risk Treatment Safeguard Impact to Mission]:[Risk Treatment Safeguard Impact to Obligations]])*tblRiskRegister3[[#This Row],[Risk Treatment
Safeguard Expectancy Score]],"")</f>
        <v/>
      </c>
      <c r="AO157" s="100" t="str">
        <f>IF(tblRiskRegister3[[#This Row],[Risk Score]]&gt;AcceptableRisk1,IF(tblRiskRegister3[[#This Row],[Risk Treatment Safeguard Risk Score]]&lt;AcceptableRisk1, IF(tblRiskRegister3[[#This Row],[Risk Treatment Safeguard Risk Score]]&lt;=tblRiskRegister3[[#This Row],[Risk Score]],"Yes","No"),"No"),"Yes")</f>
        <v>No</v>
      </c>
      <c r="AP157" s="15"/>
      <c r="AQ157" s="15"/>
      <c r="AR157" s="16"/>
    </row>
    <row r="158" spans="2:44" ht="63.75" x14ac:dyDescent="0.2">
      <c r="B158" s="207">
        <v>17.7</v>
      </c>
      <c r="C158" s="194" t="s">
        <v>199</v>
      </c>
      <c r="D158" s="88" t="s">
        <v>92</v>
      </c>
      <c r="E158" s="275" t="s">
        <v>658</v>
      </c>
      <c r="F158" s="14"/>
      <c r="G158" s="88" t="s">
        <v>463</v>
      </c>
      <c r="H158" s="88" t="s">
        <v>463</v>
      </c>
      <c r="I158" s="223"/>
      <c r="J158" s="292" t="s">
        <v>666</v>
      </c>
      <c r="K158" s="292" t="s">
        <v>666</v>
      </c>
      <c r="L158" s="292" t="s">
        <v>666</v>
      </c>
      <c r="M158" s="292" t="s">
        <v>666</v>
      </c>
      <c r="N158" s="292" t="s">
        <v>666</v>
      </c>
      <c r="O158" s="295">
        <f>COUNTIF(tblRiskRegister3[[#This Row],[Defends Against Malware]:[Defends Against Targeted Intrusions]],"Yes")</f>
        <v>0</v>
      </c>
      <c r="P158" s="12"/>
      <c r="Q158" s="12"/>
      <c r="R158" s="12"/>
      <c r="S158" s="12"/>
      <c r="T158" s="198"/>
      <c r="U158" s="199">
        <f>IFERROR(VLOOKUP(tblRiskRegister3[[#This Row],[Asset Class]],tblVCDBIndex[],4,FALSE),"")</f>
        <v>3</v>
      </c>
      <c r="V158" s="24" t="str">
        <f>IFERROR(VLOOKUP(10*tblRiskRegister3[[#This Row],[Safeguard Maturity Score]]+tblRiskRegister3[[#This Row],[VCDB Index]],tblHITIndexWeightTable[],4,FALSE),"")</f>
        <v/>
      </c>
      <c r="W158" s="24"/>
      <c r="X158" s="24"/>
      <c r="Y158" s="24"/>
      <c r="Z158" s="24"/>
      <c r="AA158" s="24" t="str">
        <f>IFERROR(MAX(tblRiskRegister3[[#This Row],[Impact to Mission]:[Impact to Obligations]])*tblRiskRegister3[[#This Row],[Expectancy Score]],"")</f>
        <v/>
      </c>
      <c r="AB158" s="24" t="str">
        <f>tblRiskRegister3[[#This Row],[Risk Score]]</f>
        <v/>
      </c>
      <c r="AC158" s="79"/>
      <c r="AD158" s="206">
        <v>17.7</v>
      </c>
      <c r="AE158" s="194" t="s">
        <v>199</v>
      </c>
      <c r="AF158" s="194" t="s">
        <v>455</v>
      </c>
      <c r="AG158" s="213"/>
      <c r="AH158" s="13"/>
      <c r="AI158" s="22" t="str">
        <f>IFERROR(VLOOKUP(10*tblRiskRegister3[[#This Row],[Risk Treatment Safeguard Maturity Score]]+tblRiskRegister3[[#This Row],[VCDB Index]],tblHITIndexWeightTable[],4,FALSE),"")</f>
        <v/>
      </c>
      <c r="AJ158" s="300"/>
      <c r="AK158" s="300"/>
      <c r="AL158" s="300"/>
      <c r="AM158" s="300"/>
      <c r="AN158" s="100" t="str">
        <f>IFERROR(MAX(tblRiskRegister3[[#This Row],[Risk Treatment Safeguard Impact to Mission]:[Risk Treatment Safeguard Impact to Obligations]])*tblRiskRegister3[[#This Row],[Risk Treatment
Safeguard Expectancy Score]],"")</f>
        <v/>
      </c>
      <c r="AO158" s="100" t="str">
        <f>IF(tblRiskRegister3[[#This Row],[Risk Score]]&gt;AcceptableRisk1,IF(tblRiskRegister3[[#This Row],[Risk Treatment Safeguard Risk Score]]&lt;AcceptableRisk1, IF(tblRiskRegister3[[#This Row],[Risk Treatment Safeguard Risk Score]]&lt;=tblRiskRegister3[[#This Row],[Risk Score]],"Yes","No"),"No"),"Yes")</f>
        <v>No</v>
      </c>
      <c r="AP158" s="15"/>
      <c r="AQ158" s="15"/>
      <c r="AR158" s="16"/>
    </row>
    <row r="159" spans="2:44" ht="38.25" x14ac:dyDescent="0.2">
      <c r="B159" s="207">
        <v>17.8</v>
      </c>
      <c r="C159" s="194" t="s">
        <v>200</v>
      </c>
      <c r="D159" s="88" t="s">
        <v>92</v>
      </c>
      <c r="E159" s="275" t="s">
        <v>658</v>
      </c>
      <c r="F159" s="14"/>
      <c r="G159" s="88" t="s">
        <v>463</v>
      </c>
      <c r="H159" s="88" t="s">
        <v>463</v>
      </c>
      <c r="I159" s="223"/>
      <c r="J159" s="292" t="s">
        <v>666</v>
      </c>
      <c r="K159" s="292" t="s">
        <v>666</v>
      </c>
      <c r="L159" s="292" t="s">
        <v>666</v>
      </c>
      <c r="M159" s="292" t="s">
        <v>666</v>
      </c>
      <c r="N159" s="292" t="s">
        <v>666</v>
      </c>
      <c r="O159" s="295">
        <f>COUNTIF(tblRiskRegister3[[#This Row],[Defends Against Malware]:[Defends Against Targeted Intrusions]],"Yes")</f>
        <v>0</v>
      </c>
      <c r="P159" s="12"/>
      <c r="Q159" s="12"/>
      <c r="R159" s="12"/>
      <c r="S159" s="12"/>
      <c r="T159" s="198"/>
      <c r="U159" s="199">
        <f>IFERROR(VLOOKUP(tblRiskRegister3[[#This Row],[Asset Class]],tblVCDBIndex[],4,FALSE),"")</f>
        <v>3</v>
      </c>
      <c r="V159" s="24" t="str">
        <f>IFERROR(VLOOKUP(10*tblRiskRegister3[[#This Row],[Safeguard Maturity Score]]+tblRiskRegister3[[#This Row],[VCDB Index]],tblHITIndexWeightTable[],4,FALSE),"")</f>
        <v/>
      </c>
      <c r="W159" s="24"/>
      <c r="X159" s="24"/>
      <c r="Y159" s="24"/>
      <c r="Z159" s="24"/>
      <c r="AA159" s="24" t="str">
        <f>IFERROR(MAX(tblRiskRegister3[[#This Row],[Impact to Mission]:[Impact to Obligations]])*tblRiskRegister3[[#This Row],[Expectancy Score]],"")</f>
        <v/>
      </c>
      <c r="AB159" s="24" t="str">
        <f>tblRiskRegister3[[#This Row],[Risk Score]]</f>
        <v/>
      </c>
      <c r="AC159" s="79"/>
      <c r="AD159" s="206">
        <v>17.8</v>
      </c>
      <c r="AE159" s="194" t="s">
        <v>200</v>
      </c>
      <c r="AF159" s="194" t="s">
        <v>456</v>
      </c>
      <c r="AG159" s="213"/>
      <c r="AH159" s="13"/>
      <c r="AI159" s="22" t="str">
        <f>IFERROR(VLOOKUP(10*tblRiskRegister3[[#This Row],[Risk Treatment Safeguard Maturity Score]]+tblRiskRegister3[[#This Row],[VCDB Index]],tblHITIndexWeightTable[],4,FALSE),"")</f>
        <v/>
      </c>
      <c r="AJ159" s="300"/>
      <c r="AK159" s="300"/>
      <c r="AL159" s="300"/>
      <c r="AM159" s="300"/>
      <c r="AN159" s="100" t="str">
        <f>IFERROR(MAX(tblRiskRegister3[[#This Row],[Risk Treatment Safeguard Impact to Mission]:[Risk Treatment Safeguard Impact to Obligations]])*tblRiskRegister3[[#This Row],[Risk Treatment
Safeguard Expectancy Score]],"")</f>
        <v/>
      </c>
      <c r="AO159" s="100" t="str">
        <f>IF(tblRiskRegister3[[#This Row],[Risk Score]]&gt;AcceptableRisk1,IF(tblRiskRegister3[[#This Row],[Risk Treatment Safeguard Risk Score]]&lt;AcceptableRisk1, IF(tblRiskRegister3[[#This Row],[Risk Treatment Safeguard Risk Score]]&lt;=tblRiskRegister3[[#This Row],[Risk Score]],"Yes","No"),"No"),"Yes")</f>
        <v>No</v>
      </c>
      <c r="AP159" s="15"/>
      <c r="AQ159" s="15"/>
      <c r="AR159" s="16"/>
    </row>
    <row r="160" spans="2:44" ht="76.5" x14ac:dyDescent="0.2">
      <c r="B160" s="207">
        <v>17.899999999999999</v>
      </c>
      <c r="C160" s="194" t="s">
        <v>550</v>
      </c>
      <c r="D160" s="88" t="s">
        <v>92</v>
      </c>
      <c r="E160" s="275" t="s">
        <v>658</v>
      </c>
      <c r="F160" s="14"/>
      <c r="G160" s="88"/>
      <c r="H160" s="88" t="s">
        <v>463</v>
      </c>
      <c r="I160" s="223"/>
      <c r="J160" s="292" t="s">
        <v>666</v>
      </c>
      <c r="K160" s="292" t="s">
        <v>666</v>
      </c>
      <c r="L160" s="292" t="s">
        <v>666</v>
      </c>
      <c r="M160" s="292" t="s">
        <v>666</v>
      </c>
      <c r="N160" s="292" t="s">
        <v>666</v>
      </c>
      <c r="O160" s="295">
        <f>COUNTIF(tblRiskRegister3[[#This Row],[Defends Against Malware]:[Defends Against Targeted Intrusions]],"Yes")</f>
        <v>0</v>
      </c>
      <c r="P160" s="12"/>
      <c r="Q160" s="12"/>
      <c r="R160" s="12"/>
      <c r="S160" s="12"/>
      <c r="T160" s="198"/>
      <c r="U160" s="199">
        <f>IFERROR(VLOOKUP(tblRiskRegister3[[#This Row],[Asset Class]],tblVCDBIndex[],4,FALSE),"")</f>
        <v>3</v>
      </c>
      <c r="V160" s="24" t="str">
        <f>IFERROR(VLOOKUP(10*tblRiskRegister3[[#This Row],[Safeguard Maturity Score]]+tblRiskRegister3[[#This Row],[VCDB Index]],tblHITIndexWeightTable[],4,FALSE),"")</f>
        <v/>
      </c>
      <c r="W160" s="24"/>
      <c r="X160" s="24"/>
      <c r="Y160" s="24"/>
      <c r="Z160" s="24"/>
      <c r="AA160" s="24" t="str">
        <f>IFERROR(MAX(tblRiskRegister3[[#This Row],[Impact to Mission]:[Impact to Obligations]])*tblRiskRegister3[[#This Row],[Expectancy Score]],"")</f>
        <v/>
      </c>
      <c r="AB160" s="24" t="str">
        <f>tblRiskRegister3[[#This Row],[Risk Score]]</f>
        <v/>
      </c>
      <c r="AC160" s="79"/>
      <c r="AD160" s="206">
        <v>17.899999999999999</v>
      </c>
      <c r="AE160" s="194" t="s">
        <v>550</v>
      </c>
      <c r="AF160" s="194" t="s">
        <v>576</v>
      </c>
      <c r="AG160" s="213"/>
      <c r="AH160" s="13"/>
      <c r="AI160" s="22" t="str">
        <f>IFERROR(VLOOKUP(10*tblRiskRegister3[[#This Row],[Risk Treatment Safeguard Maturity Score]]+tblRiskRegister3[[#This Row],[VCDB Index]],tblHITIndexWeightTable[],4,FALSE),"")</f>
        <v/>
      </c>
      <c r="AJ160" s="300"/>
      <c r="AK160" s="300"/>
      <c r="AL160" s="300"/>
      <c r="AM160" s="300"/>
      <c r="AN160" s="100" t="str">
        <f>IFERROR(MAX(tblRiskRegister3[[#This Row],[Risk Treatment Safeguard Impact to Mission]:[Risk Treatment Safeguard Impact to Obligations]])*tblRiskRegister3[[#This Row],[Risk Treatment
Safeguard Expectancy Score]],"")</f>
        <v/>
      </c>
      <c r="AO160" s="100" t="str">
        <f>IF(tblRiskRegister3[[#This Row],[Risk Score]]&gt;AcceptableRisk1,IF(tblRiskRegister3[[#This Row],[Risk Treatment Safeguard Risk Score]]&lt;AcceptableRisk1, IF(tblRiskRegister3[[#This Row],[Risk Treatment Safeguard Risk Score]]&lt;=tblRiskRegister3[[#This Row],[Risk Score]],"Yes","No"),"No"),"Yes")</f>
        <v>No</v>
      </c>
      <c r="AP160" s="15"/>
      <c r="AQ160" s="15"/>
      <c r="AR160" s="16"/>
    </row>
    <row r="161" spans="2:44" ht="102" x14ac:dyDescent="0.2">
      <c r="B161" s="207">
        <v>18.100000000000001</v>
      </c>
      <c r="C161" s="194" t="s">
        <v>201</v>
      </c>
      <c r="D161" s="88" t="s">
        <v>92</v>
      </c>
      <c r="E161" s="274" t="s">
        <v>654</v>
      </c>
      <c r="F161" s="14"/>
      <c r="G161" s="88" t="s">
        <v>463</v>
      </c>
      <c r="H161" s="88" t="s">
        <v>463</v>
      </c>
      <c r="I161" s="223"/>
      <c r="J161" s="293" t="s">
        <v>667</v>
      </c>
      <c r="K161" s="293" t="s">
        <v>667</v>
      </c>
      <c r="L161" s="293" t="s">
        <v>667</v>
      </c>
      <c r="M161" s="292" t="s">
        <v>666</v>
      </c>
      <c r="N161" s="293" t="s">
        <v>667</v>
      </c>
      <c r="O161" s="295">
        <f>COUNTIF(tblRiskRegister3[[#This Row],[Defends Against Malware]:[Defends Against Targeted Intrusions]],"Yes")</f>
        <v>4</v>
      </c>
      <c r="P161" s="12"/>
      <c r="Q161" s="12"/>
      <c r="R161" s="12"/>
      <c r="S161" s="12"/>
      <c r="T161" s="198"/>
      <c r="U161" s="199">
        <f>IFERROR(VLOOKUP(tblRiskRegister3[[#This Row],[Asset Class]],tblVCDBIndex[],4,FALSE),"")</f>
        <v>3</v>
      </c>
      <c r="V161" s="24" t="str">
        <f>IFERROR(VLOOKUP(10*tblRiskRegister3[[#This Row],[Safeguard Maturity Score]]+tblRiskRegister3[[#This Row],[VCDB Index]],tblHITIndexWeightTable[],4,FALSE),"")</f>
        <v/>
      </c>
      <c r="W161" s="24"/>
      <c r="X161" s="24"/>
      <c r="Y161" s="24"/>
      <c r="Z161" s="24"/>
      <c r="AA161" s="24" t="str">
        <f>IFERROR(MAX(tblRiskRegister3[[#This Row],[Impact to Mission]:[Impact to Obligations]])*tblRiskRegister3[[#This Row],[Expectancy Score]],"")</f>
        <v/>
      </c>
      <c r="AB161" s="24" t="str">
        <f>tblRiskRegister3[[#This Row],[Risk Score]]</f>
        <v/>
      </c>
      <c r="AC161" s="79"/>
      <c r="AD161" s="206">
        <v>18.100000000000001</v>
      </c>
      <c r="AE161" s="194" t="s">
        <v>201</v>
      </c>
      <c r="AF161" s="194" t="s">
        <v>457</v>
      </c>
      <c r="AG161" s="213"/>
      <c r="AH161" s="13"/>
      <c r="AI161" s="22" t="str">
        <f>IFERROR(VLOOKUP(10*tblRiskRegister3[[#This Row],[Risk Treatment Safeguard Maturity Score]]+tblRiskRegister3[[#This Row],[VCDB Index]],tblHITIndexWeightTable[],4,FALSE),"")</f>
        <v/>
      </c>
      <c r="AJ161" s="300"/>
      <c r="AK161" s="300"/>
      <c r="AL161" s="300"/>
      <c r="AM161" s="300"/>
      <c r="AN161" s="100" t="str">
        <f>IFERROR(MAX(tblRiskRegister3[[#This Row],[Risk Treatment Safeguard Impact to Mission]:[Risk Treatment Safeguard Impact to Obligations]])*tblRiskRegister3[[#This Row],[Risk Treatment
Safeguard Expectancy Score]],"")</f>
        <v/>
      </c>
      <c r="AO161" s="100" t="str">
        <f>IF(tblRiskRegister3[[#This Row],[Risk Score]]&gt;AcceptableRisk1,IF(tblRiskRegister3[[#This Row],[Risk Treatment Safeguard Risk Score]]&lt;AcceptableRisk1, IF(tblRiskRegister3[[#This Row],[Risk Treatment Safeguard Risk Score]]&lt;=tblRiskRegister3[[#This Row],[Risk Score]],"Yes","No"),"No"),"Yes")</f>
        <v>No</v>
      </c>
      <c r="AP161" s="15"/>
      <c r="AQ161" s="15"/>
      <c r="AR161" s="16"/>
    </row>
    <row r="162" spans="2:44" ht="76.5" x14ac:dyDescent="0.2">
      <c r="B162" s="207">
        <v>18.2</v>
      </c>
      <c r="C162" s="194" t="s">
        <v>222</v>
      </c>
      <c r="D162" s="88" t="s">
        <v>90</v>
      </c>
      <c r="E162" s="274" t="s">
        <v>654</v>
      </c>
      <c r="F162" s="14"/>
      <c r="G162" s="88" t="s">
        <v>463</v>
      </c>
      <c r="H162" s="88" t="s">
        <v>463</v>
      </c>
      <c r="I162" s="223"/>
      <c r="J162" s="293" t="s">
        <v>667</v>
      </c>
      <c r="K162" s="293" t="s">
        <v>667</v>
      </c>
      <c r="L162" s="293" t="s">
        <v>667</v>
      </c>
      <c r="M162" s="293" t="s">
        <v>667</v>
      </c>
      <c r="N162" s="293" t="s">
        <v>667</v>
      </c>
      <c r="O162" s="295">
        <f>COUNTIF(tblRiskRegister3[[#This Row],[Defends Against Malware]:[Defends Against Targeted Intrusions]],"Yes")</f>
        <v>5</v>
      </c>
      <c r="P162" s="12"/>
      <c r="Q162" s="12"/>
      <c r="R162" s="12"/>
      <c r="S162" s="12"/>
      <c r="T162" s="198"/>
      <c r="U162" s="199">
        <f>IFERROR(VLOOKUP(tblRiskRegister3[[#This Row],[Asset Class]],tblVCDBIndex[],4,FALSE),"")</f>
        <v>1</v>
      </c>
      <c r="V162" s="24" t="str">
        <f>IFERROR(VLOOKUP(10*tblRiskRegister3[[#This Row],[Safeguard Maturity Score]]+tblRiskRegister3[[#This Row],[VCDB Index]],tblHITIndexWeightTable[],4,FALSE),"")</f>
        <v/>
      </c>
      <c r="W162" s="24"/>
      <c r="X162" s="24"/>
      <c r="Y162" s="24"/>
      <c r="Z162" s="24"/>
      <c r="AA162" s="24" t="str">
        <f>IFERROR(MAX(tblRiskRegister3[[#This Row],[Impact to Mission]:[Impact to Obligations]])*tblRiskRegister3[[#This Row],[Expectancy Score]],"")</f>
        <v/>
      </c>
      <c r="AB162" s="24" t="str">
        <f>tblRiskRegister3[[#This Row],[Risk Score]]</f>
        <v/>
      </c>
      <c r="AC162" s="79"/>
      <c r="AD162" s="206">
        <v>18.2</v>
      </c>
      <c r="AE162" s="194" t="s">
        <v>222</v>
      </c>
      <c r="AF162" s="194" t="s">
        <v>458</v>
      </c>
      <c r="AG162" s="213"/>
      <c r="AH162" s="13"/>
      <c r="AI162" s="22" t="str">
        <f>IFERROR(VLOOKUP(10*tblRiskRegister3[[#This Row],[Risk Treatment Safeguard Maturity Score]]+tblRiskRegister3[[#This Row],[VCDB Index]],tblHITIndexWeightTable[],4,FALSE),"")</f>
        <v/>
      </c>
      <c r="AJ162" s="300"/>
      <c r="AK162" s="300"/>
      <c r="AL162" s="300"/>
      <c r="AM162" s="300"/>
      <c r="AN162" s="100" t="str">
        <f>IFERROR(MAX(tblRiskRegister3[[#This Row],[Risk Treatment Safeguard Impact to Mission]:[Risk Treatment Safeguard Impact to Obligations]])*tblRiskRegister3[[#This Row],[Risk Treatment
Safeguard Expectancy Score]],"")</f>
        <v/>
      </c>
      <c r="AO162" s="100" t="str">
        <f>IF(tblRiskRegister3[[#This Row],[Risk Score]]&gt;AcceptableRisk1,IF(tblRiskRegister3[[#This Row],[Risk Treatment Safeguard Risk Score]]&lt;AcceptableRisk1, IF(tblRiskRegister3[[#This Row],[Risk Treatment Safeguard Risk Score]]&lt;=tblRiskRegister3[[#This Row],[Risk Score]],"Yes","No"),"No"),"Yes")</f>
        <v>No</v>
      </c>
      <c r="AP162" s="15"/>
      <c r="AQ162" s="15"/>
      <c r="AR162" s="16"/>
    </row>
    <row r="163" spans="2:44" ht="25.5" x14ac:dyDescent="0.2">
      <c r="B163" s="207">
        <v>18.3</v>
      </c>
      <c r="C163" s="194" t="s">
        <v>223</v>
      </c>
      <c r="D163" s="88" t="s">
        <v>90</v>
      </c>
      <c r="E163" s="274" t="s">
        <v>657</v>
      </c>
      <c r="F163" s="14"/>
      <c r="G163" s="88" t="s">
        <v>463</v>
      </c>
      <c r="H163" s="88" t="s">
        <v>463</v>
      </c>
      <c r="I163" s="223"/>
      <c r="J163" s="293" t="s">
        <v>667</v>
      </c>
      <c r="K163" s="293" t="s">
        <v>667</v>
      </c>
      <c r="L163" s="293" t="s">
        <v>667</v>
      </c>
      <c r="M163" s="293" t="s">
        <v>667</v>
      </c>
      <c r="N163" s="293" t="s">
        <v>667</v>
      </c>
      <c r="O163" s="295">
        <f>COUNTIF(tblRiskRegister3[[#This Row],[Defends Against Malware]:[Defends Against Targeted Intrusions]],"Yes")</f>
        <v>5</v>
      </c>
      <c r="P163" s="12"/>
      <c r="Q163" s="12"/>
      <c r="R163" s="12"/>
      <c r="S163" s="12"/>
      <c r="T163" s="198"/>
      <c r="U163" s="199">
        <f>IFERROR(VLOOKUP(tblRiskRegister3[[#This Row],[Asset Class]],tblVCDBIndex[],4,FALSE),"")</f>
        <v>1</v>
      </c>
      <c r="V163" s="24" t="str">
        <f>IFERROR(VLOOKUP(10*tblRiskRegister3[[#This Row],[Safeguard Maturity Score]]+tblRiskRegister3[[#This Row],[VCDB Index]],tblHITIndexWeightTable[],4,FALSE),"")</f>
        <v/>
      </c>
      <c r="W163" s="24"/>
      <c r="X163" s="24"/>
      <c r="Y163" s="24"/>
      <c r="Z163" s="24"/>
      <c r="AA163" s="24" t="str">
        <f>IFERROR(MAX(tblRiskRegister3[[#This Row],[Impact to Mission]:[Impact to Obligations]])*tblRiskRegister3[[#This Row],[Expectancy Score]],"")</f>
        <v/>
      </c>
      <c r="AB163" s="24" t="str">
        <f>tblRiskRegister3[[#This Row],[Risk Score]]</f>
        <v/>
      </c>
      <c r="AC163" s="79"/>
      <c r="AD163" s="206">
        <v>18.3</v>
      </c>
      <c r="AE163" s="194" t="s">
        <v>223</v>
      </c>
      <c r="AF163" s="194" t="s">
        <v>459</v>
      </c>
      <c r="AG163" s="213"/>
      <c r="AH163" s="13"/>
      <c r="AI163" s="22" t="str">
        <f>IFERROR(VLOOKUP(10*tblRiskRegister3[[#This Row],[Risk Treatment Safeguard Maturity Score]]+tblRiskRegister3[[#This Row],[VCDB Index]],tblHITIndexWeightTable[],4,FALSE),"")</f>
        <v/>
      </c>
      <c r="AJ163" s="300"/>
      <c r="AK163" s="300"/>
      <c r="AL163" s="300"/>
      <c r="AM163" s="300"/>
      <c r="AN163" s="100" t="str">
        <f>IFERROR(MAX(tblRiskRegister3[[#This Row],[Risk Treatment Safeguard Impact to Mission]:[Risk Treatment Safeguard Impact to Obligations]])*tblRiskRegister3[[#This Row],[Risk Treatment
Safeguard Expectancy Score]],"")</f>
        <v/>
      </c>
      <c r="AO163" s="100" t="str">
        <f>IF(tblRiskRegister3[[#This Row],[Risk Score]]&gt;AcceptableRisk1,IF(tblRiskRegister3[[#This Row],[Risk Treatment Safeguard Risk Score]]&lt;AcceptableRisk1, IF(tblRiskRegister3[[#This Row],[Risk Treatment Safeguard Risk Score]]&lt;=tblRiskRegister3[[#This Row],[Risk Score]],"Yes","No"),"No"),"Yes")</f>
        <v>No</v>
      </c>
      <c r="AP163" s="15"/>
      <c r="AQ163" s="15"/>
      <c r="AR163" s="16"/>
    </row>
    <row r="164" spans="2:44" ht="38.25" x14ac:dyDescent="0.2">
      <c r="B164" s="207">
        <v>18.399999999999999</v>
      </c>
      <c r="C164" s="194" t="s">
        <v>551</v>
      </c>
      <c r="D164" s="88" t="s">
        <v>90</v>
      </c>
      <c r="E164" s="274" t="s">
        <v>657</v>
      </c>
      <c r="F164" s="14"/>
      <c r="G164" s="88"/>
      <c r="H164" s="88" t="s">
        <v>463</v>
      </c>
      <c r="I164" s="223"/>
      <c r="J164" s="292" t="s">
        <v>666</v>
      </c>
      <c r="K164" s="292" t="s">
        <v>666</v>
      </c>
      <c r="L164" s="292" t="s">
        <v>666</v>
      </c>
      <c r="M164" s="292" t="s">
        <v>666</v>
      </c>
      <c r="N164" s="292" t="s">
        <v>666</v>
      </c>
      <c r="O164" s="295">
        <f>COUNTIF(tblRiskRegister3[[#This Row],[Defends Against Malware]:[Defends Against Targeted Intrusions]],"Yes")</f>
        <v>0</v>
      </c>
      <c r="P164" s="12"/>
      <c r="Q164" s="12"/>
      <c r="R164" s="12"/>
      <c r="S164" s="12"/>
      <c r="T164" s="198"/>
      <c r="U164" s="199">
        <f>IFERROR(VLOOKUP(tblRiskRegister3[[#This Row],[Asset Class]],tblVCDBIndex[],4,FALSE),"")</f>
        <v>1</v>
      </c>
      <c r="V164" s="24" t="str">
        <f>IFERROR(VLOOKUP(10*tblRiskRegister3[[#This Row],[Safeguard Maturity Score]]+tblRiskRegister3[[#This Row],[VCDB Index]],tblHITIndexWeightTable[],4,FALSE),"")</f>
        <v/>
      </c>
      <c r="W164" s="24"/>
      <c r="X164" s="24"/>
      <c r="Y164" s="24"/>
      <c r="Z164" s="24"/>
      <c r="AA164" s="24" t="str">
        <f>IFERROR(MAX(tblRiskRegister3[[#This Row],[Impact to Mission]:[Impact to Obligations]])*tblRiskRegister3[[#This Row],[Expectancy Score]],"")</f>
        <v/>
      </c>
      <c r="AB164" s="24" t="str">
        <f>tblRiskRegister3[[#This Row],[Risk Score]]</f>
        <v/>
      </c>
      <c r="AC164" s="79"/>
      <c r="AD164" s="206">
        <v>18.399999999999999</v>
      </c>
      <c r="AE164" s="194" t="s">
        <v>551</v>
      </c>
      <c r="AF164" s="194" t="s">
        <v>577</v>
      </c>
      <c r="AG164" s="213"/>
      <c r="AH164" s="13"/>
      <c r="AI164" s="22" t="str">
        <f>IFERROR(VLOOKUP(10*tblRiskRegister3[[#This Row],[Risk Treatment Safeguard Maturity Score]]+tblRiskRegister3[[#This Row],[VCDB Index]],tblHITIndexWeightTable[],4,FALSE),"")</f>
        <v/>
      </c>
      <c r="AJ164" s="300"/>
      <c r="AK164" s="300"/>
      <c r="AL164" s="300"/>
      <c r="AM164" s="300"/>
      <c r="AN164" s="100" t="str">
        <f>IFERROR(MAX(tblRiskRegister3[[#This Row],[Risk Treatment Safeguard Impact to Mission]:[Risk Treatment Safeguard Impact to Obligations]])*tblRiskRegister3[[#This Row],[Risk Treatment
Safeguard Expectancy Score]],"")</f>
        <v/>
      </c>
      <c r="AO164" s="100" t="str">
        <f>IF(tblRiskRegister3[[#This Row],[Risk Score]]&gt;AcceptableRisk1,IF(tblRiskRegister3[[#This Row],[Risk Treatment Safeguard Risk Score]]&lt;AcceptableRisk1, IF(tblRiskRegister3[[#This Row],[Risk Treatment Safeguard Risk Score]]&lt;=tblRiskRegister3[[#This Row],[Risk Score]],"Yes","No"),"No"),"Yes")</f>
        <v>No</v>
      </c>
      <c r="AP164" s="15"/>
      <c r="AQ164" s="15"/>
      <c r="AR164" s="16"/>
    </row>
    <row r="165" spans="2:44" ht="38.25" x14ac:dyDescent="0.2">
      <c r="B165" s="207">
        <v>18.5</v>
      </c>
      <c r="C165" s="194" t="s">
        <v>536</v>
      </c>
      <c r="D165" s="88" t="s">
        <v>92</v>
      </c>
      <c r="E165" s="274" t="s">
        <v>654</v>
      </c>
      <c r="F165" s="14"/>
      <c r="G165" s="88"/>
      <c r="H165" s="88" t="s">
        <v>463</v>
      </c>
      <c r="I165" s="223"/>
      <c r="J165" s="293" t="s">
        <v>667</v>
      </c>
      <c r="K165" s="293" t="s">
        <v>667</v>
      </c>
      <c r="L165" s="293" t="s">
        <v>667</v>
      </c>
      <c r="M165" s="293" t="s">
        <v>667</v>
      </c>
      <c r="N165" s="293" t="s">
        <v>667</v>
      </c>
      <c r="O165" s="295">
        <f>COUNTIF(tblRiskRegister3[[#This Row],[Defends Against Malware]:[Defends Against Targeted Intrusions]],"Yes")</f>
        <v>5</v>
      </c>
      <c r="P165" s="12"/>
      <c r="Q165" s="12"/>
      <c r="R165" s="12"/>
      <c r="S165" s="12"/>
      <c r="T165" s="198"/>
      <c r="U165" s="199">
        <f>IFERROR(VLOOKUP(tblRiskRegister3[[#This Row],[Asset Class]],tblVCDBIndex[],4,FALSE),"")</f>
        <v>3</v>
      </c>
      <c r="V165" s="24" t="str">
        <f>IFERROR(VLOOKUP(10*tblRiskRegister3[[#This Row],[Safeguard Maturity Score]]+tblRiskRegister3[[#This Row],[VCDB Index]],tblHITIndexWeightTable[],4,FALSE),"")</f>
        <v/>
      </c>
      <c r="W165" s="24"/>
      <c r="X165" s="24"/>
      <c r="Y165" s="24"/>
      <c r="Z165" s="24"/>
      <c r="AA165" s="24" t="str">
        <f>IFERROR(MAX(tblRiskRegister3[[#This Row],[Impact to Mission]:[Impact to Obligations]])*tblRiskRegister3[[#This Row],[Expectancy Score]],"")</f>
        <v/>
      </c>
      <c r="AB165" s="24" t="str">
        <f>tblRiskRegister3[[#This Row],[Risk Score]]</f>
        <v/>
      </c>
      <c r="AC165" s="79"/>
      <c r="AD165" s="206">
        <v>18.5</v>
      </c>
      <c r="AE165" s="194" t="s">
        <v>536</v>
      </c>
      <c r="AF165" s="194" t="s">
        <v>578</v>
      </c>
      <c r="AG165" s="213"/>
      <c r="AH165" s="13"/>
      <c r="AI165" s="22" t="str">
        <f>IFERROR(VLOOKUP(10*tblRiskRegister3[[#This Row],[Risk Treatment Safeguard Maturity Score]]+tblRiskRegister3[[#This Row],[VCDB Index]],tblHITIndexWeightTable[],4,FALSE),"")</f>
        <v/>
      </c>
      <c r="AJ165" s="300"/>
      <c r="AK165" s="300"/>
      <c r="AL165" s="300"/>
      <c r="AM165" s="300"/>
      <c r="AN165" s="100" t="str">
        <f>IFERROR(MAX(tblRiskRegister3[[#This Row],[Risk Treatment Safeguard Impact to Mission]:[Risk Treatment Safeguard Impact to Obligations]])*tblRiskRegister3[[#This Row],[Risk Treatment
Safeguard Expectancy Score]],"")</f>
        <v/>
      </c>
      <c r="AO165" s="100" t="str">
        <f>IF(tblRiskRegister3[[#This Row],[Risk Score]]&gt;AcceptableRisk1,IF(tblRiskRegister3[[#This Row],[Risk Treatment Safeguard Risk Score]]&lt;AcceptableRisk1, IF(tblRiskRegister3[[#This Row],[Risk Treatment Safeguard Risk Score]]&lt;=tblRiskRegister3[[#This Row],[Risk Score]],"Yes","No"),"No"),"Yes")</f>
        <v>No</v>
      </c>
      <c r="AP165" s="15"/>
      <c r="AQ165" s="15"/>
      <c r="AR165" s="16"/>
    </row>
  </sheetData>
  <sheetProtection sheet="1" formatCells="0" formatColumns="0" formatRows="0" insertRows="0" sort="0" autoFilter="0" pivotTables="0"/>
  <mergeCells count="8">
    <mergeCell ref="AT10:AV10"/>
    <mergeCell ref="Q2:AA4"/>
    <mergeCell ref="B2:B4"/>
    <mergeCell ref="D2:F2"/>
    <mergeCell ref="D3:F3"/>
    <mergeCell ref="D4:F4"/>
    <mergeCell ref="C10:AB10"/>
    <mergeCell ref="AD10:AO10"/>
  </mergeCells>
  <conditionalFormatting sqref="E157">
    <cfRule type="containsText" dxfId="99" priority="19" operator="containsText" text="Protect">
      <formula>NOT(ISERROR(SEARCH("Protect",E157)))</formula>
    </cfRule>
    <cfRule type="containsText" dxfId="98" priority="20" operator="containsText" text="Respond">
      <formula>NOT(ISERROR(SEARCH("Respond",E157)))</formula>
    </cfRule>
    <cfRule type="containsText" dxfId="97" priority="21" operator="containsText" text="Detect">
      <formula>NOT(ISERROR(SEARCH("Detect",E157)))</formula>
    </cfRule>
    <cfRule type="containsText" dxfId="96" priority="22" operator="containsText" text="Identify">
      <formula>NOT(ISERROR(SEARCH("Identify",E157)))</formula>
    </cfRule>
    <cfRule type="containsText" dxfId="95" priority="23" operator="containsText" text="Identity">
      <formula>NOT(ISERROR(SEARCH("Identity",E157)))</formula>
    </cfRule>
  </conditionalFormatting>
  <conditionalFormatting sqref="E136 E121 E116 E111:E113 E97 E94 E82:E83 E76:E80 E73 E38 E21">
    <cfRule type="containsText" dxfId="94" priority="49" operator="containsText" text="Protect">
      <formula>NOT(ISERROR(SEARCH("Protect",E21)))</formula>
    </cfRule>
    <cfRule type="containsText" dxfId="93" priority="50" operator="containsText" text="Respond">
      <formula>NOT(ISERROR(SEARCH("Respond",E21)))</formula>
    </cfRule>
    <cfRule type="containsText" dxfId="92" priority="51" operator="containsText" text="Detect">
      <formula>NOT(ISERROR(SEARCH("Detect",E21)))</formula>
    </cfRule>
    <cfRule type="containsText" dxfId="91" priority="52" operator="containsText" text="Identify">
      <formula>NOT(ISERROR(SEARCH("Identify",E21)))</formula>
    </cfRule>
    <cfRule type="containsText" dxfId="90" priority="53" operator="containsText" text="Identity">
      <formula>NOT(ISERROR(SEARCH("Identity",E21)))</formula>
    </cfRule>
  </conditionalFormatting>
  <conditionalFormatting sqref="E165 E161:E162 E135 E131:E133 E106 E69:E70 E62 E55 E51 E31:E32 E25:E26 E18:E19">
    <cfRule type="containsText" dxfId="89" priority="44" operator="containsText" text="Protect">
      <formula>NOT(ISERROR(SEARCH("Protect",E18)))</formula>
    </cfRule>
    <cfRule type="containsText" dxfId="88" priority="45" operator="containsText" text="Respond">
      <formula>NOT(ISERROR(SEARCH("Respond",E18)))</formula>
    </cfRule>
    <cfRule type="containsText" dxfId="87" priority="46" operator="containsText" text="Detect">
      <formula>NOT(ISERROR(SEARCH("Detect",E18)))</formula>
    </cfRule>
    <cfRule type="containsText" dxfId="86" priority="47" operator="containsText" text="Identify">
      <formula>NOT(ISERROR(SEARCH("Identify",E18)))</formula>
    </cfRule>
    <cfRule type="containsText" dxfId="85" priority="48" operator="containsText" text="Identity">
      <formula>NOT(ISERROR(SEARCH("Identity",E18)))</formula>
    </cfRule>
  </conditionalFormatting>
  <conditionalFormatting sqref="E71 E66 E53 E48 E20">
    <cfRule type="containsText" dxfId="84" priority="39" operator="containsText" text="Protect">
      <formula>NOT(ISERROR(SEARCH("Protect",E20)))</formula>
    </cfRule>
    <cfRule type="containsText" dxfId="83" priority="40" operator="containsText" text="Respond">
      <formula>NOT(ISERROR(SEARCH("Respond",E20)))</formula>
    </cfRule>
    <cfRule type="containsText" dxfId="82" priority="41" operator="containsText" text="Detect">
      <formula>NOT(ISERROR(SEARCH("Detect",E20)))</formula>
    </cfRule>
    <cfRule type="containsText" dxfId="81" priority="42" operator="containsText" text="Identify">
      <formula>NOT(ISERROR(SEARCH("Identify",E20)))</formula>
    </cfRule>
    <cfRule type="containsText" dxfId="80" priority="43" operator="containsText" text="Identity">
      <formula>NOT(ISERROR(SEARCH("Identity",E20)))</formula>
    </cfRule>
  </conditionalFormatting>
  <conditionalFormatting sqref="E163:E164 E137:E151 E134 E122:E130 E117:E120 E114:E115 E107:E110 E103:E105 E100 E95:E96 E84:E93 E81 E74:E75 E72 E67:E68 E63:E65 E56:E61 E54 E52 E49:E50 E39:E47 E33:E37 E27:E30 E22:E24">
    <cfRule type="containsText" dxfId="79" priority="34" operator="containsText" text="Protect">
      <formula>NOT(ISERROR(SEARCH("Protect",E22)))</formula>
    </cfRule>
    <cfRule type="containsText" dxfId="78" priority="35" operator="containsText" text="Respond">
      <formula>NOT(ISERROR(SEARCH("Respond",E22)))</formula>
    </cfRule>
    <cfRule type="containsText" dxfId="77" priority="36" operator="containsText" text="Detect">
      <formula>NOT(ISERROR(SEARCH("Detect",E22)))</formula>
    </cfRule>
    <cfRule type="containsText" dxfId="76" priority="37" operator="containsText" text="Identify">
      <formula>NOT(ISERROR(SEARCH("Identify",E22)))</formula>
    </cfRule>
    <cfRule type="containsText" dxfId="75" priority="38" operator="containsText" text="Identity">
      <formula>NOT(ISERROR(SEARCH("Identity",E22)))</formula>
    </cfRule>
  </conditionalFormatting>
  <conditionalFormatting sqref="E158:E160 E101:E102 E98:E99">
    <cfRule type="containsText" dxfId="74" priority="29" operator="containsText" text="Protect">
      <formula>NOT(ISERROR(SEARCH("Protect",E98)))</formula>
    </cfRule>
    <cfRule type="containsText" dxfId="73" priority="30" operator="containsText" text="Respond">
      <formula>NOT(ISERROR(SEARCH("Respond",E98)))</formula>
    </cfRule>
    <cfRule type="containsText" dxfId="72" priority="31" operator="containsText" text="Detect">
      <formula>NOT(ISERROR(SEARCH("Detect",E98)))</formula>
    </cfRule>
    <cfRule type="containsText" dxfId="71" priority="32" operator="containsText" text="Identify">
      <formula>NOT(ISERROR(SEARCH("Identify",E98)))</formula>
    </cfRule>
    <cfRule type="containsText" dxfId="70" priority="33" operator="containsText" text="Identity">
      <formula>NOT(ISERROR(SEARCH("Identity",E98)))</formula>
    </cfRule>
  </conditionalFormatting>
  <conditionalFormatting sqref="E152:E156">
    <cfRule type="containsText" dxfId="69" priority="24" operator="containsText" text="Protect">
      <formula>NOT(ISERROR(SEARCH("Protect",E152)))</formula>
    </cfRule>
    <cfRule type="containsText" dxfId="68" priority="25" operator="containsText" text="Respond">
      <formula>NOT(ISERROR(SEARCH("Respond",E152)))</formula>
    </cfRule>
    <cfRule type="containsText" dxfId="67" priority="26" operator="containsText" text="Detect">
      <formula>NOT(ISERROR(SEARCH("Detect",E152)))</formula>
    </cfRule>
    <cfRule type="containsText" dxfId="66" priority="27" operator="containsText" text="Identify">
      <formula>NOT(ISERROR(SEARCH("Identify",E152)))</formula>
    </cfRule>
    <cfRule type="containsText" dxfId="65" priority="28" operator="containsText" text="Identity">
      <formula>NOT(ISERROR(SEARCH("Identity",E152)))</formula>
    </cfRule>
  </conditionalFormatting>
  <conditionalFormatting sqref="AB13:AB165">
    <cfRule type="iconSet" priority="77">
      <iconSet showValue="0" reverse="1">
        <cfvo type="percent" val="0"/>
        <cfvo type="num" val="&quot;AcceptableRisk1&quot;"/>
        <cfvo type="num" val="0"/>
      </iconSet>
    </cfRule>
    <cfRule type="iconSet" priority="78">
      <iconSet showValue="0" reverse="1">
        <cfvo type="percent" val="0"/>
        <cfvo type="num" val="&quot;AcceptableRisk&quot;"/>
        <cfvo type="num" val="15"/>
      </iconSet>
    </cfRule>
    <cfRule type="iconSet" priority="79">
      <iconSet showValue="0" reverse="1">
        <cfvo type="percent" val="0"/>
        <cfvo type="num" val="9"/>
        <cfvo type="num" val="15"/>
      </iconSet>
    </cfRule>
    <cfRule type="iconSet" priority="80">
      <iconSet showValue="0" reverse="1">
        <cfvo type="percent" val="0"/>
        <cfvo type="num" val="AcceptableRisk"/>
        <cfvo type="num" val="15"/>
      </iconSet>
    </cfRule>
  </conditionalFormatting>
  <conditionalFormatting sqref="E17 E15">
    <cfRule type="containsText" dxfId="64" priority="11" operator="containsText" text="Protect">
      <formula>NOT(ISERROR(SEARCH("Protect",E15)))</formula>
    </cfRule>
    <cfRule type="containsText" dxfId="63" priority="12" operator="containsText" text="Respond">
      <formula>NOT(ISERROR(SEARCH("Respond",E15)))</formula>
    </cfRule>
    <cfRule type="containsText" dxfId="62" priority="13" operator="containsText" text="Detect">
      <formula>NOT(ISERROR(SEARCH("Detect",E15)))</formula>
    </cfRule>
    <cfRule type="containsText" dxfId="61" priority="14" operator="containsText" text="Identify">
      <formula>NOT(ISERROR(SEARCH("Identify",E15)))</formula>
    </cfRule>
    <cfRule type="containsText" dxfId="60" priority="15" operator="containsText" text="Identity">
      <formula>NOT(ISERROR(SEARCH("Identity",E15)))</formula>
    </cfRule>
  </conditionalFormatting>
  <conditionalFormatting sqref="E16 E13">
    <cfRule type="containsText" dxfId="59" priority="6" operator="containsText" text="Protect">
      <formula>NOT(ISERROR(SEARCH("Protect",E13)))</formula>
    </cfRule>
    <cfRule type="containsText" dxfId="58" priority="7" operator="containsText" text="Respond">
      <formula>NOT(ISERROR(SEARCH("Respond",E13)))</formula>
    </cfRule>
    <cfRule type="containsText" dxfId="57" priority="8" operator="containsText" text="Detect">
      <formula>NOT(ISERROR(SEARCH("Detect",E13)))</formula>
    </cfRule>
    <cfRule type="containsText" dxfId="56" priority="9" operator="containsText" text="Identify">
      <formula>NOT(ISERROR(SEARCH("Identify",E13)))</formula>
    </cfRule>
    <cfRule type="containsText" dxfId="55" priority="10" operator="containsText" text="Identity">
      <formula>NOT(ISERROR(SEARCH("Identity",E13)))</formula>
    </cfRule>
  </conditionalFormatting>
  <conditionalFormatting sqref="E14">
    <cfRule type="containsText" dxfId="54" priority="1" operator="containsText" text="Protect">
      <formula>NOT(ISERROR(SEARCH("Protect",E14)))</formula>
    </cfRule>
    <cfRule type="containsText" dxfId="53" priority="2" operator="containsText" text="Respond">
      <formula>NOT(ISERROR(SEARCH("Respond",E14)))</formula>
    </cfRule>
    <cfRule type="containsText" dxfId="52" priority="3" operator="containsText" text="Detect">
      <formula>NOT(ISERROR(SEARCH("Detect",E14)))</formula>
    </cfRule>
    <cfRule type="containsText" dxfId="51" priority="4" operator="containsText" text="Identify">
      <formula>NOT(ISERROR(SEARCH("Identify",E14)))</formula>
    </cfRule>
    <cfRule type="containsText" dxfId="50" priority="5" operator="containsText" text="Identity">
      <formula>NOT(ISERROR(SEARCH("Identity",E14)))</formula>
    </cfRule>
  </conditionalFormatting>
  <dataValidations count="6">
    <dataValidation type="list" allowBlank="1" showInputMessage="1" showErrorMessage="1" sqref="W77:Z165 AJ73:AM75 AJ77:AM165 AJ18:AM71 W18:Z71 W13" xr:uid="{70797D1E-2F3B-4F5C-88CE-ABD569A33579}">
      <formula1>"1,2,3,4,5"</formula1>
    </dataValidation>
    <dataValidation type="list" allowBlank="1" showInputMessage="1" showErrorMessage="1" sqref="AH13:AH165 T13:T165" xr:uid="{B971BCAA-0812-450B-8C06-CBD9D74AFC7E}">
      <formula1>Maturity_Score</formula1>
    </dataValidation>
    <dataValidation type="list" allowBlank="1" showInputMessage="1" showErrorMessage="1" sqref="AR13:AR165" xr:uid="{3089D1E7-9717-4834-A2B4-92E849976D14}">
      <formula1>"2021,2022,2023,2024,2025,2026,2027,2028,2029,2030,2031"</formula1>
    </dataValidation>
    <dataValidation type="list" allowBlank="1" showInputMessage="1" showErrorMessage="1" sqref="D13:D165" xr:uid="{12FBA362-518C-4AF2-BE76-088F87F2BF55}">
      <formula1>Asset_Classes</formula1>
    </dataValidation>
    <dataValidation type="list" allowBlank="1" showInputMessage="1" showErrorMessage="1" sqref="AQ13:AQ165" xr:uid="{39FC165F-5456-40EF-90E6-9BAE7FB089D6}">
      <formula1>"Q1, Q2, Q3, Q4"</formula1>
    </dataValidation>
    <dataValidation type="list" allowBlank="1" showInputMessage="1" showErrorMessage="1" sqref="AC13:AC165" xr:uid="{1ECDCB96-6670-42CF-B0AA-E917741F1D2C}">
      <formula1>"Accept,Reduce"</formula1>
    </dataValidation>
  </dataValidations>
  <pageMargins left="0.7" right="0.7" top="0.75" bottom="0.75" header="0.3" footer="0.3"/>
  <pageSetup orientation="portrait" r:id="rId1"/>
  <ignoredErrors>
    <ignoredError sqref="O13:O165" calculatedColumn="1"/>
  </ignoredErrors>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069DB-6FA6-4534-AD31-764B2792500F}">
  <sheetPr>
    <tabColor rgb="FFFF0000"/>
  </sheetPr>
  <dimension ref="B1:N157"/>
  <sheetViews>
    <sheetView showGridLines="0" workbookViewId="0">
      <selection activeCell="B1" sqref="B1:E1"/>
    </sheetView>
  </sheetViews>
  <sheetFormatPr defaultColWidth="9.140625" defaultRowHeight="12.75" x14ac:dyDescent="0.2"/>
  <cols>
    <col min="1" max="1" width="5.28515625" style="40" customWidth="1"/>
    <col min="2" max="3" width="15.7109375" style="44" customWidth="1"/>
    <col min="4" max="4" width="16.7109375" style="44" customWidth="1"/>
    <col min="5" max="6" width="9.140625" style="40"/>
    <col min="7" max="7" width="17.140625" style="40" customWidth="1"/>
    <col min="8" max="8" width="72.42578125" style="40" customWidth="1"/>
    <col min="9" max="16384" width="9.140625" style="40"/>
  </cols>
  <sheetData>
    <row r="1" spans="2:14" ht="65.25" customHeight="1" thickBot="1" x14ac:dyDescent="0.4">
      <c r="B1" s="358" t="s">
        <v>275</v>
      </c>
      <c r="C1" s="359"/>
      <c r="D1" s="359"/>
      <c r="E1" s="360"/>
      <c r="F1" s="42"/>
      <c r="G1" s="371" t="s">
        <v>684</v>
      </c>
      <c r="H1" s="371"/>
      <c r="I1" s="252"/>
      <c r="J1" s="252"/>
      <c r="K1" s="252"/>
      <c r="L1" s="252"/>
      <c r="M1" s="252"/>
      <c r="N1" s="42"/>
    </row>
    <row r="2" spans="2:14" ht="13.5" customHeight="1" thickBot="1" x14ac:dyDescent="0.25">
      <c r="G2" s="371"/>
      <c r="H2" s="371"/>
      <c r="I2" s="252"/>
      <c r="J2" s="252"/>
      <c r="K2" s="252"/>
      <c r="L2" s="252"/>
      <c r="M2" s="252"/>
    </row>
    <row r="3" spans="2:14" ht="26.25" customHeight="1" thickBot="1" x14ac:dyDescent="0.25">
      <c r="B3" s="355" t="s">
        <v>278</v>
      </c>
      <c r="C3" s="356"/>
      <c r="D3" s="356"/>
      <c r="E3" s="357"/>
      <c r="F3" s="252"/>
      <c r="G3" s="252"/>
      <c r="H3" s="252"/>
      <c r="I3" s="252"/>
    </row>
    <row r="4" spans="2:14" ht="25.5" customHeight="1" thickTop="1" thickBot="1" x14ac:dyDescent="0.25">
      <c r="B4" s="47" t="s">
        <v>522</v>
      </c>
      <c r="C4" s="48" t="s">
        <v>279</v>
      </c>
      <c r="D4" s="48" t="s">
        <v>280</v>
      </c>
      <c r="E4" s="49" t="s">
        <v>281</v>
      </c>
      <c r="F4" s="252"/>
      <c r="G4" s="252"/>
      <c r="H4" s="252"/>
      <c r="I4" s="252"/>
      <c r="J4" s="43"/>
    </row>
    <row r="5" spans="2:14" s="50" customFormat="1" ht="13.5" customHeight="1" thickTop="1" x14ac:dyDescent="0.2">
      <c r="B5" s="82">
        <v>1.1000000000000001</v>
      </c>
      <c r="C5" s="53" t="s">
        <v>325</v>
      </c>
      <c r="D5" s="53" t="str">
        <f>LEFT($C5, 1)</f>
        <v>5</v>
      </c>
      <c r="E5" s="57" t="str">
        <f>D5</f>
        <v>5</v>
      </c>
      <c r="F5" s="252"/>
      <c r="G5" s="252"/>
      <c r="H5" s="252"/>
      <c r="I5" s="252"/>
      <c r="J5" s="43"/>
    </row>
    <row r="6" spans="2:14" ht="12.75" customHeight="1" x14ac:dyDescent="0.2">
      <c r="B6" s="83">
        <v>1.2</v>
      </c>
      <c r="C6" s="55" t="s">
        <v>326</v>
      </c>
      <c r="D6" s="55" t="str">
        <f t="shared" ref="D6:D69" si="0">LEFT($C6, 1)</f>
        <v>3</v>
      </c>
      <c r="E6" s="56" t="str">
        <f t="shared" ref="E6:E69" si="1">D6</f>
        <v>3</v>
      </c>
      <c r="F6" s="252"/>
      <c r="G6" s="252"/>
      <c r="H6" s="252"/>
      <c r="I6" s="252"/>
      <c r="J6" s="43"/>
    </row>
    <row r="7" spans="2:14" ht="12.75" customHeight="1" x14ac:dyDescent="0.2">
      <c r="B7" s="82">
        <v>1.3</v>
      </c>
      <c r="C7" s="53" t="s">
        <v>327</v>
      </c>
      <c r="D7" s="53" t="str">
        <f t="shared" si="0"/>
        <v>4</v>
      </c>
      <c r="E7" s="57" t="str">
        <f t="shared" si="1"/>
        <v>4</v>
      </c>
      <c r="F7" s="252"/>
      <c r="G7" s="252"/>
      <c r="H7" s="252"/>
      <c r="I7" s="252"/>
      <c r="J7" s="43"/>
    </row>
    <row r="8" spans="2:14" x14ac:dyDescent="0.2">
      <c r="B8" s="83">
        <v>1.4</v>
      </c>
      <c r="C8" s="55" t="s">
        <v>326</v>
      </c>
      <c r="D8" s="55" t="str">
        <f t="shared" si="0"/>
        <v>3</v>
      </c>
      <c r="E8" s="56" t="str">
        <f t="shared" si="1"/>
        <v>3</v>
      </c>
      <c r="F8" s="43"/>
      <c r="G8" s="43"/>
      <c r="H8" s="43"/>
      <c r="I8" s="43"/>
      <c r="J8" s="43"/>
    </row>
    <row r="9" spans="2:14" x14ac:dyDescent="0.2">
      <c r="B9" s="82">
        <v>1.5</v>
      </c>
      <c r="C9" s="53" t="s">
        <v>328</v>
      </c>
      <c r="D9" s="53" t="str">
        <f t="shared" si="0"/>
        <v>2</v>
      </c>
      <c r="E9" s="57" t="str">
        <f t="shared" si="1"/>
        <v>2</v>
      </c>
      <c r="F9" s="43"/>
      <c r="G9" s="43"/>
      <c r="H9" s="43"/>
      <c r="I9" s="43"/>
      <c r="J9" s="43"/>
    </row>
    <row r="10" spans="2:14" x14ac:dyDescent="0.2">
      <c r="B10" s="83">
        <v>2.1</v>
      </c>
      <c r="C10" s="55" t="s">
        <v>327</v>
      </c>
      <c r="D10" s="55" t="str">
        <f t="shared" si="0"/>
        <v>4</v>
      </c>
      <c r="E10" s="56" t="str">
        <f t="shared" si="1"/>
        <v>4</v>
      </c>
      <c r="F10" s="43"/>
      <c r="G10" s="43"/>
      <c r="H10" s="43"/>
      <c r="I10" s="43"/>
      <c r="J10" s="43"/>
    </row>
    <row r="11" spans="2:14" x14ac:dyDescent="0.2">
      <c r="B11" s="82">
        <v>2.2000000000000002</v>
      </c>
      <c r="C11" s="53" t="s">
        <v>327</v>
      </c>
      <c r="D11" s="53" t="str">
        <f t="shared" si="0"/>
        <v>4</v>
      </c>
      <c r="E11" s="57" t="str">
        <f t="shared" si="1"/>
        <v>4</v>
      </c>
      <c r="F11" s="43"/>
      <c r="G11" s="43"/>
      <c r="H11" s="43"/>
      <c r="I11" s="43"/>
      <c r="J11" s="43"/>
    </row>
    <row r="12" spans="2:14" x14ac:dyDescent="0.2">
      <c r="B12" s="83">
        <v>2.2999999999999998</v>
      </c>
      <c r="C12" s="55" t="s">
        <v>328</v>
      </c>
      <c r="D12" s="55" t="str">
        <f t="shared" si="0"/>
        <v>2</v>
      </c>
      <c r="E12" s="56" t="str">
        <f t="shared" si="1"/>
        <v>2</v>
      </c>
      <c r="F12" s="43"/>
      <c r="G12" s="43"/>
      <c r="H12" s="43"/>
      <c r="I12" s="43"/>
      <c r="J12" s="43"/>
    </row>
    <row r="13" spans="2:14" x14ac:dyDescent="0.2">
      <c r="B13" s="82">
        <v>2.4</v>
      </c>
      <c r="C13" s="53" t="s">
        <v>328</v>
      </c>
      <c r="D13" s="53" t="str">
        <f t="shared" si="0"/>
        <v>2</v>
      </c>
      <c r="E13" s="57" t="str">
        <f t="shared" si="1"/>
        <v>2</v>
      </c>
      <c r="F13" s="43"/>
      <c r="G13" s="43"/>
      <c r="H13" s="43"/>
      <c r="I13" s="43"/>
      <c r="J13" s="43"/>
    </row>
    <row r="14" spans="2:14" x14ac:dyDescent="0.2">
      <c r="B14" s="83">
        <v>2.5</v>
      </c>
      <c r="C14" s="55" t="s">
        <v>325</v>
      </c>
      <c r="D14" s="55" t="str">
        <f t="shared" si="0"/>
        <v>5</v>
      </c>
      <c r="E14" s="56" t="str">
        <f t="shared" si="1"/>
        <v>5</v>
      </c>
      <c r="F14" s="43"/>
      <c r="G14" s="43"/>
      <c r="H14" s="43"/>
      <c r="I14" s="43"/>
      <c r="J14" s="43"/>
    </row>
    <row r="15" spans="2:14" x14ac:dyDescent="0.2">
      <c r="B15" s="82">
        <v>2.6</v>
      </c>
      <c r="C15" s="53" t="s">
        <v>328</v>
      </c>
      <c r="D15" s="53" t="str">
        <f t="shared" si="0"/>
        <v>2</v>
      </c>
      <c r="E15" s="57" t="str">
        <f t="shared" si="1"/>
        <v>2</v>
      </c>
      <c r="F15" s="43"/>
      <c r="G15" s="43"/>
      <c r="H15" s="43"/>
      <c r="I15" s="43"/>
      <c r="J15" s="43"/>
    </row>
    <row r="16" spans="2:14" x14ac:dyDescent="0.2">
      <c r="B16" s="83">
        <v>2.7</v>
      </c>
      <c r="C16" s="55"/>
      <c r="D16" s="55" t="str">
        <f t="shared" si="0"/>
        <v/>
      </c>
      <c r="E16" s="56" t="str">
        <f t="shared" si="1"/>
        <v/>
      </c>
      <c r="F16" s="43"/>
      <c r="G16" s="43"/>
      <c r="H16" s="43"/>
      <c r="I16" s="43"/>
      <c r="J16" s="43"/>
    </row>
    <row r="17" spans="2:10" x14ac:dyDescent="0.2">
      <c r="B17" s="82">
        <v>3.1</v>
      </c>
      <c r="C17" s="53" t="s">
        <v>313</v>
      </c>
      <c r="D17" s="53" t="str">
        <f t="shared" si="0"/>
        <v>N</v>
      </c>
      <c r="E17" s="57" t="str">
        <f t="shared" si="1"/>
        <v>N</v>
      </c>
      <c r="F17" s="43"/>
      <c r="G17" s="43"/>
      <c r="H17" s="43"/>
      <c r="I17" s="43"/>
      <c r="J17" s="43"/>
    </row>
    <row r="18" spans="2:10" x14ac:dyDescent="0.2">
      <c r="B18" s="83">
        <v>3.2</v>
      </c>
      <c r="C18" s="55"/>
      <c r="D18" s="55" t="str">
        <f t="shared" si="0"/>
        <v/>
      </c>
      <c r="E18" s="56" t="str">
        <f t="shared" si="1"/>
        <v/>
      </c>
      <c r="F18" s="43"/>
      <c r="G18" s="43"/>
      <c r="H18" s="43"/>
      <c r="I18" s="43"/>
      <c r="J18" s="43"/>
    </row>
    <row r="19" spans="2:10" x14ac:dyDescent="0.2">
      <c r="B19" s="82">
        <v>3.3</v>
      </c>
      <c r="C19" s="53" t="s">
        <v>329</v>
      </c>
      <c r="D19" s="53" t="str">
        <f t="shared" si="0"/>
        <v>N</v>
      </c>
      <c r="E19" s="57" t="str">
        <f t="shared" si="1"/>
        <v>N</v>
      </c>
      <c r="F19" s="43"/>
      <c r="G19" s="43"/>
      <c r="H19" s="43"/>
      <c r="I19" s="43"/>
      <c r="J19" s="43"/>
    </row>
    <row r="20" spans="2:10" x14ac:dyDescent="0.2">
      <c r="B20" s="83">
        <v>3.4</v>
      </c>
      <c r="C20" s="55"/>
      <c r="D20" s="55" t="str">
        <f t="shared" si="0"/>
        <v/>
      </c>
      <c r="E20" s="56" t="str">
        <f t="shared" si="1"/>
        <v/>
      </c>
      <c r="F20" s="43"/>
      <c r="G20" s="43"/>
      <c r="H20" s="43"/>
      <c r="I20" s="43"/>
      <c r="J20" s="43"/>
    </row>
    <row r="21" spans="2:10" x14ac:dyDescent="0.2">
      <c r="B21" s="82">
        <v>3.5</v>
      </c>
      <c r="C21" s="53"/>
      <c r="D21" s="53" t="str">
        <f t="shared" si="0"/>
        <v/>
      </c>
      <c r="E21" s="57" t="str">
        <f t="shared" si="1"/>
        <v/>
      </c>
      <c r="F21" s="58"/>
      <c r="G21" s="58"/>
      <c r="H21" s="58"/>
      <c r="I21" s="58"/>
      <c r="J21" s="58"/>
    </row>
    <row r="22" spans="2:10" x14ac:dyDescent="0.2">
      <c r="B22" s="83">
        <v>3.6</v>
      </c>
      <c r="C22" s="55"/>
      <c r="D22" s="55" t="str">
        <f t="shared" si="0"/>
        <v/>
      </c>
      <c r="E22" s="56" t="str">
        <f t="shared" si="1"/>
        <v/>
      </c>
      <c r="F22" s="58"/>
      <c r="G22" s="58"/>
      <c r="H22" s="58"/>
      <c r="I22" s="58"/>
      <c r="J22" s="58"/>
    </row>
    <row r="23" spans="2:10" x14ac:dyDescent="0.2">
      <c r="B23" s="82">
        <v>3.7</v>
      </c>
      <c r="C23" s="53"/>
      <c r="D23" s="53" t="str">
        <f t="shared" si="0"/>
        <v/>
      </c>
      <c r="E23" s="57" t="str">
        <f t="shared" si="1"/>
        <v/>
      </c>
      <c r="F23" s="58"/>
      <c r="G23" s="58"/>
      <c r="H23" s="58"/>
      <c r="I23" s="58"/>
      <c r="J23" s="58"/>
    </row>
    <row r="24" spans="2:10" x14ac:dyDescent="0.2">
      <c r="B24" s="83">
        <v>3.8</v>
      </c>
      <c r="C24" s="55"/>
      <c r="D24" s="55" t="str">
        <f t="shared" si="0"/>
        <v/>
      </c>
      <c r="E24" s="56" t="str">
        <f t="shared" si="1"/>
        <v/>
      </c>
      <c r="F24" s="58"/>
      <c r="G24" s="58"/>
      <c r="H24" s="58"/>
      <c r="I24" s="58"/>
      <c r="J24" s="58"/>
    </row>
    <row r="25" spans="2:10" x14ac:dyDescent="0.2">
      <c r="B25" s="82">
        <v>3.9</v>
      </c>
      <c r="C25" s="53"/>
      <c r="D25" s="53" t="str">
        <f t="shared" si="0"/>
        <v/>
      </c>
      <c r="E25" s="57" t="str">
        <f t="shared" si="1"/>
        <v/>
      </c>
      <c r="F25" s="58"/>
      <c r="G25" s="58"/>
      <c r="H25" s="58"/>
      <c r="I25" s="58"/>
      <c r="J25" s="58"/>
    </row>
    <row r="26" spans="2:10" x14ac:dyDescent="0.2">
      <c r="B26" s="83" t="s">
        <v>528</v>
      </c>
      <c r="C26" s="55"/>
      <c r="D26" s="55" t="str">
        <f t="shared" si="0"/>
        <v/>
      </c>
      <c r="E26" s="56" t="str">
        <f t="shared" si="1"/>
        <v/>
      </c>
      <c r="F26" s="58"/>
      <c r="G26" s="58"/>
      <c r="H26" s="58"/>
      <c r="I26" s="58"/>
      <c r="J26" s="58"/>
    </row>
    <row r="27" spans="2:10" x14ac:dyDescent="0.2">
      <c r="B27" s="82">
        <v>3.11</v>
      </c>
      <c r="C27" s="53"/>
      <c r="D27" s="53" t="str">
        <f t="shared" si="0"/>
        <v/>
      </c>
      <c r="E27" s="57" t="str">
        <f t="shared" si="1"/>
        <v/>
      </c>
      <c r="F27" s="58"/>
      <c r="G27" s="58"/>
      <c r="H27" s="58"/>
      <c r="I27" s="58"/>
      <c r="J27" s="58"/>
    </row>
    <row r="28" spans="2:10" x14ac:dyDescent="0.2">
      <c r="B28" s="83">
        <v>3.12</v>
      </c>
      <c r="C28" s="55"/>
      <c r="D28" s="55" t="str">
        <f t="shared" si="0"/>
        <v/>
      </c>
      <c r="E28" s="56" t="str">
        <f t="shared" si="1"/>
        <v/>
      </c>
      <c r="F28" s="58"/>
      <c r="G28" s="58"/>
      <c r="H28" s="58"/>
      <c r="I28" s="58"/>
      <c r="J28" s="58"/>
    </row>
    <row r="29" spans="2:10" x14ac:dyDescent="0.2">
      <c r="B29" s="82">
        <v>3.13</v>
      </c>
      <c r="C29" s="53"/>
      <c r="D29" s="53" t="str">
        <f t="shared" si="0"/>
        <v/>
      </c>
      <c r="E29" s="57" t="str">
        <f t="shared" si="1"/>
        <v/>
      </c>
      <c r="F29" s="58"/>
      <c r="G29" s="58"/>
      <c r="H29" s="58"/>
      <c r="I29" s="58"/>
      <c r="J29" s="58"/>
    </row>
    <row r="30" spans="2:10" x14ac:dyDescent="0.2">
      <c r="B30" s="83">
        <v>3.14</v>
      </c>
      <c r="C30" s="55"/>
      <c r="D30" s="55" t="str">
        <f t="shared" si="0"/>
        <v/>
      </c>
      <c r="E30" s="56" t="str">
        <f t="shared" si="1"/>
        <v/>
      </c>
      <c r="F30" s="58"/>
      <c r="G30" s="58"/>
      <c r="H30" s="58"/>
      <c r="I30" s="58"/>
      <c r="J30" s="58"/>
    </row>
    <row r="31" spans="2:10" x14ac:dyDescent="0.2">
      <c r="B31" s="82">
        <v>4.0999999999999996</v>
      </c>
      <c r="C31" s="53"/>
      <c r="D31" s="53" t="str">
        <f t="shared" si="0"/>
        <v/>
      </c>
      <c r="E31" s="57" t="str">
        <f t="shared" si="1"/>
        <v/>
      </c>
      <c r="F31" s="58"/>
      <c r="G31" s="58"/>
      <c r="H31" s="58"/>
      <c r="I31" s="58"/>
      <c r="J31" s="58"/>
    </row>
    <row r="32" spans="2:10" x14ac:dyDescent="0.2">
      <c r="B32" s="83">
        <v>4.2</v>
      </c>
      <c r="C32" s="55"/>
      <c r="D32" s="55" t="str">
        <f t="shared" si="0"/>
        <v/>
      </c>
      <c r="E32" s="56" t="str">
        <f t="shared" si="1"/>
        <v/>
      </c>
      <c r="F32" s="58"/>
      <c r="G32" s="58"/>
      <c r="H32" s="58"/>
      <c r="I32" s="58"/>
      <c r="J32" s="58"/>
    </row>
    <row r="33" spans="2:10" x14ac:dyDescent="0.2">
      <c r="B33" s="82">
        <v>4.3</v>
      </c>
      <c r="C33" s="53"/>
      <c r="D33" s="53" t="str">
        <f t="shared" si="0"/>
        <v/>
      </c>
      <c r="E33" s="57" t="str">
        <f t="shared" si="1"/>
        <v/>
      </c>
      <c r="F33" s="58"/>
      <c r="G33" s="58"/>
      <c r="H33" s="58"/>
      <c r="I33" s="58"/>
      <c r="J33" s="58"/>
    </row>
    <row r="34" spans="2:10" x14ac:dyDescent="0.2">
      <c r="B34" s="83">
        <v>4.4000000000000004</v>
      </c>
      <c r="C34" s="55"/>
      <c r="D34" s="55" t="str">
        <f t="shared" si="0"/>
        <v/>
      </c>
      <c r="E34" s="56" t="str">
        <f t="shared" si="1"/>
        <v/>
      </c>
      <c r="F34" s="58"/>
      <c r="G34" s="58"/>
      <c r="H34" s="58"/>
      <c r="I34" s="58"/>
      <c r="J34" s="58"/>
    </row>
    <row r="35" spans="2:10" x14ac:dyDescent="0.2">
      <c r="B35" s="82">
        <v>4.5</v>
      </c>
      <c r="C35" s="53"/>
      <c r="D35" s="53" t="str">
        <f t="shared" si="0"/>
        <v/>
      </c>
      <c r="E35" s="57" t="str">
        <f t="shared" si="1"/>
        <v/>
      </c>
      <c r="F35" s="58"/>
      <c r="G35" s="58"/>
      <c r="H35" s="58"/>
      <c r="I35" s="58"/>
      <c r="J35" s="58"/>
    </row>
    <row r="36" spans="2:10" x14ac:dyDescent="0.2">
      <c r="B36" s="83">
        <v>4.5999999999999996</v>
      </c>
      <c r="C36" s="55"/>
      <c r="D36" s="55" t="str">
        <f t="shared" si="0"/>
        <v/>
      </c>
      <c r="E36" s="56" t="str">
        <f t="shared" si="1"/>
        <v/>
      </c>
      <c r="F36" s="58"/>
      <c r="G36" s="58"/>
      <c r="H36" s="58"/>
      <c r="I36" s="58"/>
      <c r="J36" s="58"/>
    </row>
    <row r="37" spans="2:10" x14ac:dyDescent="0.2">
      <c r="B37" s="82">
        <v>4.7</v>
      </c>
      <c r="C37" s="53"/>
      <c r="D37" s="53" t="str">
        <f t="shared" si="0"/>
        <v/>
      </c>
      <c r="E37" s="57" t="str">
        <f t="shared" si="1"/>
        <v/>
      </c>
      <c r="F37" s="58"/>
      <c r="G37" s="58"/>
      <c r="H37" s="58"/>
      <c r="I37" s="58"/>
      <c r="J37" s="58"/>
    </row>
    <row r="38" spans="2:10" x14ac:dyDescent="0.2">
      <c r="B38" s="83">
        <v>4.8</v>
      </c>
      <c r="C38" s="55"/>
      <c r="D38" s="55" t="str">
        <f t="shared" si="0"/>
        <v/>
      </c>
      <c r="E38" s="56" t="str">
        <f t="shared" si="1"/>
        <v/>
      </c>
      <c r="F38" s="58"/>
      <c r="G38" s="58"/>
      <c r="H38" s="58"/>
      <c r="I38" s="58"/>
      <c r="J38" s="58"/>
    </row>
    <row r="39" spans="2:10" x14ac:dyDescent="0.2">
      <c r="B39" s="82">
        <v>4.9000000000000004</v>
      </c>
      <c r="C39" s="53" t="s">
        <v>325</v>
      </c>
      <c r="D39" s="53" t="str">
        <f t="shared" si="0"/>
        <v>5</v>
      </c>
      <c r="E39" s="57" t="str">
        <f t="shared" si="1"/>
        <v>5</v>
      </c>
      <c r="F39" s="58"/>
      <c r="G39" s="58"/>
      <c r="H39" s="58"/>
      <c r="I39" s="58"/>
      <c r="J39" s="58"/>
    </row>
    <row r="40" spans="2:10" x14ac:dyDescent="0.2">
      <c r="B40" s="83" t="s">
        <v>527</v>
      </c>
      <c r="C40" s="55"/>
      <c r="D40" s="55" t="str">
        <f t="shared" si="0"/>
        <v/>
      </c>
      <c r="E40" s="56" t="str">
        <f t="shared" si="1"/>
        <v/>
      </c>
      <c r="F40" s="58"/>
      <c r="G40" s="58"/>
      <c r="H40" s="58"/>
      <c r="I40" s="58"/>
      <c r="J40" s="58"/>
    </row>
    <row r="41" spans="2:10" x14ac:dyDescent="0.2">
      <c r="B41" s="82">
        <v>4.1100000000000003</v>
      </c>
      <c r="C41" s="53"/>
      <c r="D41" s="53" t="str">
        <f t="shared" si="0"/>
        <v/>
      </c>
      <c r="E41" s="57" t="str">
        <f t="shared" si="1"/>
        <v/>
      </c>
      <c r="F41" s="58"/>
      <c r="G41" s="58"/>
      <c r="H41" s="58"/>
      <c r="I41" s="58"/>
      <c r="J41" s="58"/>
    </row>
    <row r="42" spans="2:10" x14ac:dyDescent="0.2">
      <c r="B42" s="83">
        <v>4.12</v>
      </c>
      <c r="C42" s="55"/>
      <c r="D42" s="55" t="str">
        <f t="shared" si="0"/>
        <v/>
      </c>
      <c r="E42" s="56" t="str">
        <f t="shared" si="1"/>
        <v/>
      </c>
      <c r="F42" s="58"/>
      <c r="G42" s="58"/>
      <c r="H42" s="58"/>
      <c r="I42" s="58"/>
      <c r="J42" s="58"/>
    </row>
    <row r="43" spans="2:10" x14ac:dyDescent="0.2">
      <c r="B43" s="82">
        <v>5.0999999999999996</v>
      </c>
      <c r="C43" s="53"/>
      <c r="D43" s="53" t="str">
        <f t="shared" si="0"/>
        <v/>
      </c>
      <c r="E43" s="57" t="str">
        <f t="shared" si="1"/>
        <v/>
      </c>
      <c r="F43" s="58"/>
      <c r="G43" s="58"/>
      <c r="H43" s="58"/>
      <c r="I43" s="58"/>
      <c r="J43" s="58"/>
    </row>
    <row r="44" spans="2:10" x14ac:dyDescent="0.2">
      <c r="B44" s="83">
        <v>5.2</v>
      </c>
      <c r="C44" s="55" t="s">
        <v>325</v>
      </c>
      <c r="D44" s="55" t="str">
        <f t="shared" si="0"/>
        <v>5</v>
      </c>
      <c r="E44" s="56" t="str">
        <f t="shared" si="1"/>
        <v>5</v>
      </c>
      <c r="F44" s="58"/>
      <c r="G44" s="58"/>
      <c r="H44" s="58"/>
      <c r="I44" s="58"/>
      <c r="J44" s="58"/>
    </row>
    <row r="45" spans="2:10" x14ac:dyDescent="0.2">
      <c r="B45" s="82">
        <v>5.3</v>
      </c>
      <c r="C45" s="53"/>
      <c r="D45" s="53" t="str">
        <f t="shared" si="0"/>
        <v/>
      </c>
      <c r="E45" s="57" t="str">
        <f t="shared" si="1"/>
        <v/>
      </c>
      <c r="F45" s="58"/>
      <c r="G45" s="58"/>
      <c r="H45" s="58"/>
      <c r="I45" s="58"/>
      <c r="J45" s="58"/>
    </row>
    <row r="46" spans="2:10" x14ac:dyDescent="0.2">
      <c r="B46" s="83">
        <v>5.4</v>
      </c>
      <c r="C46" s="55" t="s">
        <v>326</v>
      </c>
      <c r="D46" s="55" t="str">
        <f t="shared" si="0"/>
        <v>3</v>
      </c>
      <c r="E46" s="56" t="str">
        <f t="shared" si="1"/>
        <v>3</v>
      </c>
      <c r="F46" s="58"/>
      <c r="G46" s="58"/>
      <c r="H46" s="58"/>
      <c r="I46" s="58"/>
      <c r="J46" s="58"/>
    </row>
    <row r="47" spans="2:10" x14ac:dyDescent="0.2">
      <c r="B47" s="82">
        <v>5.5</v>
      </c>
      <c r="C47" s="55" t="s">
        <v>326</v>
      </c>
      <c r="D47" s="55" t="str">
        <f t="shared" si="0"/>
        <v>3</v>
      </c>
      <c r="E47" s="57" t="str">
        <f t="shared" si="1"/>
        <v>3</v>
      </c>
      <c r="F47" s="58"/>
      <c r="G47" s="58"/>
      <c r="H47" s="58"/>
      <c r="I47" s="58"/>
      <c r="J47" s="58"/>
    </row>
    <row r="48" spans="2:10" x14ac:dyDescent="0.2">
      <c r="B48" s="83">
        <v>5.6</v>
      </c>
      <c r="C48" s="53" t="s">
        <v>328</v>
      </c>
      <c r="D48" s="53" t="str">
        <f t="shared" si="0"/>
        <v>2</v>
      </c>
      <c r="E48" s="56" t="str">
        <f t="shared" si="1"/>
        <v>2</v>
      </c>
      <c r="F48" s="58"/>
      <c r="G48" s="58"/>
      <c r="H48" s="58"/>
      <c r="I48" s="58"/>
      <c r="J48" s="58"/>
    </row>
    <row r="49" spans="2:10" x14ac:dyDescent="0.2">
      <c r="B49" s="82">
        <v>6.1</v>
      </c>
      <c r="C49" s="55" t="s">
        <v>327</v>
      </c>
      <c r="D49" s="55" t="str">
        <f t="shared" si="0"/>
        <v>4</v>
      </c>
      <c r="E49" s="57" t="str">
        <f t="shared" si="1"/>
        <v>4</v>
      </c>
      <c r="F49" s="58"/>
      <c r="G49" s="58"/>
      <c r="H49" s="58"/>
      <c r="I49" s="58"/>
      <c r="J49" s="58"/>
    </row>
    <row r="50" spans="2:10" x14ac:dyDescent="0.2">
      <c r="B50" s="83">
        <v>6.2</v>
      </c>
      <c r="C50" s="53" t="s">
        <v>327</v>
      </c>
      <c r="D50" s="53" t="str">
        <f t="shared" si="0"/>
        <v>4</v>
      </c>
      <c r="E50" s="56" t="str">
        <f t="shared" si="1"/>
        <v>4</v>
      </c>
      <c r="F50" s="58"/>
      <c r="G50" s="58"/>
      <c r="H50" s="58"/>
      <c r="I50" s="58"/>
      <c r="J50" s="58"/>
    </row>
    <row r="51" spans="2:10" x14ac:dyDescent="0.2">
      <c r="B51" s="82">
        <v>6.3</v>
      </c>
      <c r="C51" s="55" t="s">
        <v>328</v>
      </c>
      <c r="D51" s="55" t="str">
        <f t="shared" si="0"/>
        <v>2</v>
      </c>
      <c r="E51" s="57" t="str">
        <f t="shared" si="1"/>
        <v>2</v>
      </c>
      <c r="F51" s="58"/>
      <c r="G51" s="58"/>
      <c r="H51" s="58"/>
      <c r="I51" s="58"/>
      <c r="J51" s="58"/>
    </row>
    <row r="52" spans="2:10" x14ac:dyDescent="0.2">
      <c r="B52" s="83">
        <v>6.4</v>
      </c>
      <c r="C52" s="53" t="s">
        <v>328</v>
      </c>
      <c r="D52" s="53" t="str">
        <f t="shared" si="0"/>
        <v>2</v>
      </c>
      <c r="E52" s="56" t="str">
        <f t="shared" si="1"/>
        <v>2</v>
      </c>
    </row>
    <row r="53" spans="2:10" x14ac:dyDescent="0.2">
      <c r="B53" s="82">
        <v>6.5</v>
      </c>
      <c r="C53" s="55" t="s">
        <v>325</v>
      </c>
      <c r="D53" s="55" t="str">
        <f t="shared" si="0"/>
        <v>5</v>
      </c>
      <c r="E53" s="57" t="str">
        <f t="shared" si="1"/>
        <v>5</v>
      </c>
    </row>
    <row r="54" spans="2:10" x14ac:dyDescent="0.2">
      <c r="B54" s="83">
        <v>6.6</v>
      </c>
      <c r="C54" s="53" t="s">
        <v>327</v>
      </c>
      <c r="D54" s="53" t="str">
        <f t="shared" si="0"/>
        <v>4</v>
      </c>
      <c r="E54" s="56" t="str">
        <f t="shared" si="1"/>
        <v>4</v>
      </c>
    </row>
    <row r="55" spans="2:10" x14ac:dyDescent="0.2">
      <c r="B55" s="82">
        <v>6.7</v>
      </c>
      <c r="C55" s="55" t="s">
        <v>328</v>
      </c>
      <c r="D55" s="55" t="str">
        <f t="shared" si="0"/>
        <v>2</v>
      </c>
      <c r="E55" s="57" t="str">
        <f t="shared" si="1"/>
        <v>2</v>
      </c>
    </row>
    <row r="56" spans="2:10" x14ac:dyDescent="0.2">
      <c r="B56" s="83">
        <v>6.8</v>
      </c>
      <c r="C56" s="53" t="s">
        <v>328</v>
      </c>
      <c r="D56" s="53" t="str">
        <f t="shared" si="0"/>
        <v>2</v>
      </c>
      <c r="E56" s="56" t="str">
        <f t="shared" si="1"/>
        <v>2</v>
      </c>
    </row>
    <row r="57" spans="2:10" x14ac:dyDescent="0.2">
      <c r="B57" s="82">
        <v>7.1</v>
      </c>
      <c r="C57" s="55" t="s">
        <v>325</v>
      </c>
      <c r="D57" s="55" t="str">
        <f t="shared" si="0"/>
        <v>5</v>
      </c>
      <c r="E57" s="57" t="str">
        <f t="shared" si="1"/>
        <v>5</v>
      </c>
    </row>
    <row r="58" spans="2:10" x14ac:dyDescent="0.2">
      <c r="B58" s="83">
        <v>7.2</v>
      </c>
      <c r="C58" s="54"/>
      <c r="D58" s="54" t="str">
        <f t="shared" si="0"/>
        <v/>
      </c>
      <c r="E58" s="56" t="str">
        <f t="shared" si="1"/>
        <v/>
      </c>
    </row>
    <row r="59" spans="2:10" x14ac:dyDescent="0.2">
      <c r="B59" s="82">
        <v>7.3</v>
      </c>
      <c r="C59" s="52"/>
      <c r="D59" s="52" t="str">
        <f t="shared" si="0"/>
        <v/>
      </c>
      <c r="E59" s="57" t="str">
        <f t="shared" si="1"/>
        <v/>
      </c>
    </row>
    <row r="60" spans="2:10" x14ac:dyDescent="0.2">
      <c r="B60" s="83">
        <v>7.4</v>
      </c>
      <c r="C60" s="54"/>
      <c r="D60" s="54" t="str">
        <f t="shared" si="0"/>
        <v/>
      </c>
      <c r="E60" s="56" t="str">
        <f t="shared" si="1"/>
        <v/>
      </c>
    </row>
    <row r="61" spans="2:10" x14ac:dyDescent="0.2">
      <c r="B61" s="82">
        <v>7.5</v>
      </c>
      <c r="C61" s="52"/>
      <c r="D61" s="52" t="str">
        <f t="shared" si="0"/>
        <v/>
      </c>
      <c r="E61" s="57" t="str">
        <f t="shared" si="1"/>
        <v/>
      </c>
    </row>
    <row r="62" spans="2:10" x14ac:dyDescent="0.2">
      <c r="B62" s="83">
        <v>7.6</v>
      </c>
      <c r="C62" s="54"/>
      <c r="D62" s="54" t="str">
        <f t="shared" si="0"/>
        <v/>
      </c>
      <c r="E62" s="56" t="str">
        <f t="shared" si="1"/>
        <v/>
      </c>
    </row>
    <row r="63" spans="2:10" x14ac:dyDescent="0.2">
      <c r="B63" s="82">
        <v>7.7</v>
      </c>
      <c r="C63" s="52"/>
      <c r="D63" s="52" t="str">
        <f t="shared" si="0"/>
        <v/>
      </c>
      <c r="E63" s="57" t="str">
        <f t="shared" si="1"/>
        <v/>
      </c>
    </row>
    <row r="64" spans="2:10" x14ac:dyDescent="0.2">
      <c r="B64" s="83">
        <v>8.1</v>
      </c>
      <c r="C64" s="54"/>
      <c r="D64" s="54" t="str">
        <f t="shared" si="0"/>
        <v/>
      </c>
      <c r="E64" s="56" t="str">
        <f t="shared" si="1"/>
        <v/>
      </c>
    </row>
    <row r="65" spans="2:5" x14ac:dyDescent="0.2">
      <c r="B65" s="82">
        <v>8.1999999999999993</v>
      </c>
      <c r="C65" s="52"/>
      <c r="D65" s="52" t="str">
        <f t="shared" si="0"/>
        <v/>
      </c>
      <c r="E65" s="57" t="str">
        <f t="shared" si="1"/>
        <v/>
      </c>
    </row>
    <row r="66" spans="2:5" x14ac:dyDescent="0.2">
      <c r="B66" s="83">
        <v>8.3000000000000007</v>
      </c>
      <c r="C66" s="54"/>
      <c r="D66" s="54" t="str">
        <f t="shared" si="0"/>
        <v/>
      </c>
      <c r="E66" s="56" t="str">
        <f t="shared" si="1"/>
        <v/>
      </c>
    </row>
    <row r="67" spans="2:5" x14ac:dyDescent="0.2">
      <c r="B67" s="82">
        <v>8.4</v>
      </c>
      <c r="C67" s="52"/>
      <c r="D67" s="52" t="str">
        <f t="shared" si="0"/>
        <v/>
      </c>
      <c r="E67" s="57" t="str">
        <f t="shared" si="1"/>
        <v/>
      </c>
    </row>
    <row r="68" spans="2:5" x14ac:dyDescent="0.2">
      <c r="B68" s="83">
        <v>8.5</v>
      </c>
      <c r="C68" s="54"/>
      <c r="D68" s="54" t="str">
        <f t="shared" si="0"/>
        <v/>
      </c>
      <c r="E68" s="56" t="str">
        <f t="shared" si="1"/>
        <v/>
      </c>
    </row>
    <row r="69" spans="2:5" x14ac:dyDescent="0.2">
      <c r="B69" s="82">
        <v>8.6</v>
      </c>
      <c r="C69" s="52"/>
      <c r="D69" s="52" t="str">
        <f t="shared" si="0"/>
        <v/>
      </c>
      <c r="E69" s="57" t="str">
        <f t="shared" si="1"/>
        <v/>
      </c>
    </row>
    <row r="70" spans="2:5" x14ac:dyDescent="0.2">
      <c r="B70" s="83">
        <v>8.6999999999999993</v>
      </c>
      <c r="C70" s="54"/>
      <c r="D70" s="54" t="str">
        <f t="shared" ref="D70:D133" si="2">LEFT($C70, 1)</f>
        <v/>
      </c>
      <c r="E70" s="56" t="str">
        <f t="shared" ref="E70:E133" si="3">D70</f>
        <v/>
      </c>
    </row>
    <row r="71" spans="2:5" x14ac:dyDescent="0.2">
      <c r="B71" s="82">
        <v>8.8000000000000007</v>
      </c>
      <c r="C71" s="52"/>
      <c r="D71" s="52" t="str">
        <f t="shared" si="2"/>
        <v/>
      </c>
      <c r="E71" s="57" t="str">
        <f t="shared" si="3"/>
        <v/>
      </c>
    </row>
    <row r="72" spans="2:5" x14ac:dyDescent="0.2">
      <c r="B72" s="83">
        <v>8.9</v>
      </c>
      <c r="C72" s="54"/>
      <c r="D72" s="54" t="str">
        <f t="shared" si="2"/>
        <v/>
      </c>
      <c r="E72" s="56" t="str">
        <f t="shared" si="3"/>
        <v/>
      </c>
    </row>
    <row r="73" spans="2:5" x14ac:dyDescent="0.2">
      <c r="B73" s="82" t="s">
        <v>530</v>
      </c>
      <c r="C73" s="52"/>
      <c r="D73" s="52" t="str">
        <f t="shared" si="2"/>
        <v/>
      </c>
      <c r="E73" s="57" t="str">
        <f t="shared" si="3"/>
        <v/>
      </c>
    </row>
    <row r="74" spans="2:5" x14ac:dyDescent="0.2">
      <c r="B74" s="83">
        <v>8.11</v>
      </c>
      <c r="C74" s="54"/>
      <c r="D74" s="54" t="str">
        <f t="shared" si="2"/>
        <v/>
      </c>
      <c r="E74" s="56" t="str">
        <f t="shared" si="3"/>
        <v/>
      </c>
    </row>
    <row r="75" spans="2:5" x14ac:dyDescent="0.2">
      <c r="B75" s="82">
        <v>8.1199999999999992</v>
      </c>
      <c r="C75" s="52"/>
      <c r="D75" s="52" t="str">
        <f t="shared" si="2"/>
        <v/>
      </c>
      <c r="E75" s="57" t="str">
        <f t="shared" si="3"/>
        <v/>
      </c>
    </row>
    <row r="76" spans="2:5" x14ac:dyDescent="0.2">
      <c r="B76" s="83">
        <v>9.1</v>
      </c>
      <c r="C76" s="54"/>
      <c r="D76" s="54" t="str">
        <f t="shared" si="2"/>
        <v/>
      </c>
      <c r="E76" s="56" t="str">
        <f t="shared" si="3"/>
        <v/>
      </c>
    </row>
    <row r="77" spans="2:5" x14ac:dyDescent="0.2">
      <c r="B77" s="82">
        <v>9.1999999999999993</v>
      </c>
      <c r="C77" s="52"/>
      <c r="D77" s="52" t="str">
        <f t="shared" si="2"/>
        <v/>
      </c>
      <c r="E77" s="57" t="str">
        <f t="shared" si="3"/>
        <v/>
      </c>
    </row>
    <row r="78" spans="2:5" x14ac:dyDescent="0.2">
      <c r="B78" s="83">
        <v>9.3000000000000007</v>
      </c>
      <c r="C78" s="54"/>
      <c r="D78" s="54" t="str">
        <f t="shared" si="2"/>
        <v/>
      </c>
      <c r="E78" s="56" t="str">
        <f t="shared" si="3"/>
        <v/>
      </c>
    </row>
    <row r="79" spans="2:5" x14ac:dyDescent="0.2">
      <c r="B79" s="82">
        <v>9.4</v>
      </c>
      <c r="C79" s="52"/>
      <c r="D79" s="52" t="str">
        <f t="shared" si="2"/>
        <v/>
      </c>
      <c r="E79" s="57" t="str">
        <f t="shared" si="3"/>
        <v/>
      </c>
    </row>
    <row r="80" spans="2:5" x14ac:dyDescent="0.2">
      <c r="B80" s="83">
        <v>9.5</v>
      </c>
      <c r="C80" s="54"/>
      <c r="D80" s="54" t="str">
        <f t="shared" si="2"/>
        <v/>
      </c>
      <c r="E80" s="56" t="str">
        <f t="shared" si="3"/>
        <v/>
      </c>
    </row>
    <row r="81" spans="2:5" x14ac:dyDescent="0.2">
      <c r="B81" s="82">
        <v>9.6</v>
      </c>
      <c r="C81" s="52"/>
      <c r="D81" s="52" t="str">
        <f t="shared" si="2"/>
        <v/>
      </c>
      <c r="E81" s="57" t="str">
        <f t="shared" si="3"/>
        <v/>
      </c>
    </row>
    <row r="82" spans="2:5" x14ac:dyDescent="0.2">
      <c r="B82" s="83">
        <v>9.6999999999999993</v>
      </c>
      <c r="C82" s="54"/>
      <c r="D82" s="54" t="str">
        <f t="shared" si="2"/>
        <v/>
      </c>
      <c r="E82" s="56" t="str">
        <f t="shared" si="3"/>
        <v/>
      </c>
    </row>
    <row r="83" spans="2:5" x14ac:dyDescent="0.2">
      <c r="B83" s="82">
        <v>10.1</v>
      </c>
      <c r="C83" s="52"/>
      <c r="D83" s="52" t="str">
        <f t="shared" si="2"/>
        <v/>
      </c>
      <c r="E83" s="57" t="str">
        <f t="shared" si="3"/>
        <v/>
      </c>
    </row>
    <row r="84" spans="2:5" x14ac:dyDescent="0.2">
      <c r="B84" s="83">
        <v>10.199999999999999</v>
      </c>
      <c r="C84" s="54"/>
      <c r="D84" s="54" t="str">
        <f t="shared" si="2"/>
        <v/>
      </c>
      <c r="E84" s="56" t="str">
        <f t="shared" si="3"/>
        <v/>
      </c>
    </row>
    <row r="85" spans="2:5" x14ac:dyDescent="0.2">
      <c r="B85" s="82">
        <v>10.3</v>
      </c>
      <c r="C85" s="52"/>
      <c r="D85" s="52" t="str">
        <f t="shared" si="2"/>
        <v/>
      </c>
      <c r="E85" s="57" t="str">
        <f t="shared" si="3"/>
        <v/>
      </c>
    </row>
    <row r="86" spans="2:5" x14ac:dyDescent="0.2">
      <c r="B86" s="83">
        <v>10.4</v>
      </c>
      <c r="C86" s="54"/>
      <c r="D86" s="54" t="str">
        <f t="shared" si="2"/>
        <v/>
      </c>
      <c r="E86" s="56" t="str">
        <f t="shared" si="3"/>
        <v/>
      </c>
    </row>
    <row r="87" spans="2:5" x14ac:dyDescent="0.2">
      <c r="B87" s="82">
        <v>10.5</v>
      </c>
      <c r="C87" s="52"/>
      <c r="D87" s="52" t="str">
        <f t="shared" si="2"/>
        <v/>
      </c>
      <c r="E87" s="57" t="str">
        <f t="shared" si="3"/>
        <v/>
      </c>
    </row>
    <row r="88" spans="2:5" x14ac:dyDescent="0.2">
      <c r="B88" s="83">
        <v>10.6</v>
      </c>
      <c r="C88" s="54"/>
      <c r="D88" s="54" t="str">
        <f t="shared" si="2"/>
        <v/>
      </c>
      <c r="E88" s="56" t="str">
        <f t="shared" si="3"/>
        <v/>
      </c>
    </row>
    <row r="89" spans="2:5" x14ac:dyDescent="0.2">
      <c r="B89" s="82">
        <v>10.7</v>
      </c>
      <c r="C89" s="52"/>
      <c r="D89" s="52" t="str">
        <f t="shared" si="2"/>
        <v/>
      </c>
      <c r="E89" s="57" t="str">
        <f t="shared" si="3"/>
        <v/>
      </c>
    </row>
    <row r="90" spans="2:5" x14ac:dyDescent="0.2">
      <c r="B90" s="83">
        <v>11.1</v>
      </c>
      <c r="C90" s="54"/>
      <c r="D90" s="54" t="str">
        <f t="shared" si="2"/>
        <v/>
      </c>
      <c r="E90" s="56" t="str">
        <f t="shared" si="3"/>
        <v/>
      </c>
    </row>
    <row r="91" spans="2:5" x14ac:dyDescent="0.2">
      <c r="B91" s="82">
        <v>11.2</v>
      </c>
      <c r="C91" s="52"/>
      <c r="D91" s="52" t="str">
        <f t="shared" si="2"/>
        <v/>
      </c>
      <c r="E91" s="57" t="str">
        <f t="shared" si="3"/>
        <v/>
      </c>
    </row>
    <row r="92" spans="2:5" x14ac:dyDescent="0.2">
      <c r="B92" s="83">
        <v>11.3</v>
      </c>
      <c r="C92" s="54"/>
      <c r="D92" s="54" t="str">
        <f t="shared" si="2"/>
        <v/>
      </c>
      <c r="E92" s="56" t="str">
        <f t="shared" si="3"/>
        <v/>
      </c>
    </row>
    <row r="93" spans="2:5" x14ac:dyDescent="0.2">
      <c r="B93" s="82">
        <v>11.4</v>
      </c>
      <c r="C93" s="52"/>
      <c r="D93" s="52" t="str">
        <f t="shared" si="2"/>
        <v/>
      </c>
      <c r="E93" s="57" t="str">
        <f t="shared" si="3"/>
        <v/>
      </c>
    </row>
    <row r="94" spans="2:5" x14ac:dyDescent="0.2">
      <c r="B94" s="83">
        <v>11.5</v>
      </c>
      <c r="C94" s="54"/>
      <c r="D94" s="54" t="str">
        <f t="shared" si="2"/>
        <v/>
      </c>
      <c r="E94" s="56" t="str">
        <f t="shared" si="3"/>
        <v/>
      </c>
    </row>
    <row r="95" spans="2:5" x14ac:dyDescent="0.2">
      <c r="B95" s="82">
        <v>12.1</v>
      </c>
      <c r="C95" s="52"/>
      <c r="D95" s="52" t="str">
        <f t="shared" si="2"/>
        <v/>
      </c>
      <c r="E95" s="57" t="str">
        <f t="shared" si="3"/>
        <v/>
      </c>
    </row>
    <row r="96" spans="2:5" x14ac:dyDescent="0.2">
      <c r="B96" s="83">
        <v>12.2</v>
      </c>
      <c r="C96" s="54"/>
      <c r="D96" s="54" t="str">
        <f t="shared" si="2"/>
        <v/>
      </c>
      <c r="E96" s="56" t="str">
        <f t="shared" si="3"/>
        <v/>
      </c>
    </row>
    <row r="97" spans="2:5" x14ac:dyDescent="0.2">
      <c r="B97" s="82">
        <v>12.3</v>
      </c>
      <c r="C97" s="52"/>
      <c r="D97" s="52" t="str">
        <f t="shared" si="2"/>
        <v/>
      </c>
      <c r="E97" s="57" t="str">
        <f t="shared" si="3"/>
        <v/>
      </c>
    </row>
    <row r="98" spans="2:5" x14ac:dyDescent="0.2">
      <c r="B98" s="83">
        <v>12.4</v>
      </c>
      <c r="C98" s="54"/>
      <c r="D98" s="54" t="str">
        <f t="shared" si="2"/>
        <v/>
      </c>
      <c r="E98" s="56" t="str">
        <f t="shared" si="3"/>
        <v/>
      </c>
    </row>
    <row r="99" spans="2:5" x14ac:dyDescent="0.2">
      <c r="B99" s="82">
        <v>12.5</v>
      </c>
      <c r="C99" s="52"/>
      <c r="D99" s="52" t="str">
        <f t="shared" si="2"/>
        <v/>
      </c>
      <c r="E99" s="57" t="str">
        <f t="shared" si="3"/>
        <v/>
      </c>
    </row>
    <row r="100" spans="2:5" x14ac:dyDescent="0.2">
      <c r="B100" s="83">
        <v>12.6</v>
      </c>
      <c r="C100" s="54"/>
      <c r="D100" s="54" t="str">
        <f t="shared" si="2"/>
        <v/>
      </c>
      <c r="E100" s="56" t="str">
        <f t="shared" si="3"/>
        <v/>
      </c>
    </row>
    <row r="101" spans="2:5" x14ac:dyDescent="0.2">
      <c r="B101" s="82">
        <v>12.7</v>
      </c>
      <c r="C101" s="52"/>
      <c r="D101" s="52" t="str">
        <f t="shared" si="2"/>
        <v/>
      </c>
      <c r="E101" s="57" t="str">
        <f t="shared" si="3"/>
        <v/>
      </c>
    </row>
    <row r="102" spans="2:5" x14ac:dyDescent="0.2">
      <c r="B102" s="83">
        <v>12.8</v>
      </c>
      <c r="C102" s="54"/>
      <c r="D102" s="54" t="str">
        <f t="shared" si="2"/>
        <v/>
      </c>
      <c r="E102" s="56" t="str">
        <f t="shared" si="3"/>
        <v/>
      </c>
    </row>
    <row r="103" spans="2:5" x14ac:dyDescent="0.2">
      <c r="B103" s="82">
        <v>13.1</v>
      </c>
      <c r="C103" s="52"/>
      <c r="D103" s="52" t="str">
        <f t="shared" si="2"/>
        <v/>
      </c>
      <c r="E103" s="57" t="str">
        <f t="shared" si="3"/>
        <v/>
      </c>
    </row>
    <row r="104" spans="2:5" x14ac:dyDescent="0.2">
      <c r="B104" s="83">
        <v>13.2</v>
      </c>
      <c r="C104" s="54"/>
      <c r="D104" s="54" t="str">
        <f t="shared" si="2"/>
        <v/>
      </c>
      <c r="E104" s="56" t="str">
        <f t="shared" si="3"/>
        <v/>
      </c>
    </row>
    <row r="105" spans="2:5" x14ac:dyDescent="0.2">
      <c r="B105" s="82">
        <v>13.3</v>
      </c>
      <c r="C105" s="52"/>
      <c r="D105" s="52" t="str">
        <f t="shared" si="2"/>
        <v/>
      </c>
      <c r="E105" s="57" t="str">
        <f t="shared" si="3"/>
        <v/>
      </c>
    </row>
    <row r="106" spans="2:5" x14ac:dyDescent="0.2">
      <c r="B106" s="83">
        <v>13.4</v>
      </c>
      <c r="C106" s="54"/>
      <c r="D106" s="54" t="str">
        <f t="shared" si="2"/>
        <v/>
      </c>
      <c r="E106" s="56" t="str">
        <f t="shared" si="3"/>
        <v/>
      </c>
    </row>
    <row r="107" spans="2:5" x14ac:dyDescent="0.2">
      <c r="B107" s="82">
        <v>13.5</v>
      </c>
      <c r="C107" s="52"/>
      <c r="D107" s="52" t="str">
        <f t="shared" si="2"/>
        <v/>
      </c>
      <c r="E107" s="57" t="str">
        <f t="shared" si="3"/>
        <v/>
      </c>
    </row>
    <row r="108" spans="2:5" x14ac:dyDescent="0.2">
      <c r="B108" s="83">
        <v>13.6</v>
      </c>
      <c r="C108" s="54"/>
      <c r="D108" s="54" t="str">
        <f t="shared" si="2"/>
        <v/>
      </c>
      <c r="E108" s="56" t="str">
        <f t="shared" si="3"/>
        <v/>
      </c>
    </row>
    <row r="109" spans="2:5" x14ac:dyDescent="0.2">
      <c r="B109" s="82">
        <v>13.7</v>
      </c>
      <c r="C109" s="52"/>
      <c r="D109" s="52" t="str">
        <f t="shared" si="2"/>
        <v/>
      </c>
      <c r="E109" s="57" t="str">
        <f t="shared" si="3"/>
        <v/>
      </c>
    </row>
    <row r="110" spans="2:5" x14ac:dyDescent="0.2">
      <c r="B110" s="83">
        <v>13.8</v>
      </c>
      <c r="C110" s="54"/>
      <c r="D110" s="54" t="str">
        <f t="shared" si="2"/>
        <v/>
      </c>
      <c r="E110" s="56" t="str">
        <f t="shared" si="3"/>
        <v/>
      </c>
    </row>
    <row r="111" spans="2:5" x14ac:dyDescent="0.2">
      <c r="B111" s="82">
        <v>13.9</v>
      </c>
      <c r="C111" s="52"/>
      <c r="D111" s="52" t="str">
        <f t="shared" si="2"/>
        <v/>
      </c>
      <c r="E111" s="57" t="str">
        <f t="shared" si="3"/>
        <v/>
      </c>
    </row>
    <row r="112" spans="2:5" x14ac:dyDescent="0.2">
      <c r="B112" s="83" t="s">
        <v>534</v>
      </c>
      <c r="C112" s="54"/>
      <c r="D112" s="54" t="str">
        <f t="shared" si="2"/>
        <v/>
      </c>
      <c r="E112" s="56" t="str">
        <f t="shared" si="3"/>
        <v/>
      </c>
    </row>
    <row r="113" spans="2:5" x14ac:dyDescent="0.2">
      <c r="B113" s="82">
        <v>13.11</v>
      </c>
      <c r="C113" s="52"/>
      <c r="D113" s="52" t="str">
        <f t="shared" si="2"/>
        <v/>
      </c>
      <c r="E113" s="57" t="str">
        <f t="shared" si="3"/>
        <v/>
      </c>
    </row>
    <row r="114" spans="2:5" x14ac:dyDescent="0.2">
      <c r="B114" s="83">
        <v>14.1</v>
      </c>
      <c r="C114" s="54"/>
      <c r="D114" s="54" t="str">
        <f t="shared" si="2"/>
        <v/>
      </c>
      <c r="E114" s="56" t="str">
        <f t="shared" si="3"/>
        <v/>
      </c>
    </row>
    <row r="115" spans="2:5" x14ac:dyDescent="0.2">
      <c r="B115" s="82">
        <v>14.2</v>
      </c>
      <c r="C115" s="52"/>
      <c r="D115" s="52" t="str">
        <f t="shared" si="2"/>
        <v/>
      </c>
      <c r="E115" s="57" t="str">
        <f t="shared" si="3"/>
        <v/>
      </c>
    </row>
    <row r="116" spans="2:5" x14ac:dyDescent="0.2">
      <c r="B116" s="83">
        <v>14.3</v>
      </c>
      <c r="C116" s="54"/>
      <c r="D116" s="54" t="str">
        <f t="shared" si="2"/>
        <v/>
      </c>
      <c r="E116" s="56" t="str">
        <f t="shared" si="3"/>
        <v/>
      </c>
    </row>
    <row r="117" spans="2:5" x14ac:dyDescent="0.2">
      <c r="B117" s="82">
        <v>14.4</v>
      </c>
      <c r="C117" s="52"/>
      <c r="D117" s="52" t="str">
        <f t="shared" si="2"/>
        <v/>
      </c>
      <c r="E117" s="57" t="str">
        <f t="shared" si="3"/>
        <v/>
      </c>
    </row>
    <row r="118" spans="2:5" x14ac:dyDescent="0.2">
      <c r="B118" s="83">
        <v>14.5</v>
      </c>
      <c r="C118" s="54"/>
      <c r="D118" s="54" t="str">
        <f t="shared" si="2"/>
        <v/>
      </c>
      <c r="E118" s="56" t="str">
        <f t="shared" si="3"/>
        <v/>
      </c>
    </row>
    <row r="119" spans="2:5" x14ac:dyDescent="0.2">
      <c r="B119" s="82">
        <v>14.6</v>
      </c>
      <c r="C119" s="52"/>
      <c r="D119" s="52" t="str">
        <f t="shared" si="2"/>
        <v/>
      </c>
      <c r="E119" s="57" t="str">
        <f t="shared" si="3"/>
        <v/>
      </c>
    </row>
    <row r="120" spans="2:5" x14ac:dyDescent="0.2">
      <c r="B120" s="83">
        <v>14.7</v>
      </c>
      <c r="C120" s="54"/>
      <c r="D120" s="54" t="str">
        <f t="shared" si="2"/>
        <v/>
      </c>
      <c r="E120" s="56" t="str">
        <f t="shared" si="3"/>
        <v/>
      </c>
    </row>
    <row r="121" spans="2:5" x14ac:dyDescent="0.2">
      <c r="B121" s="82">
        <v>14.8</v>
      </c>
      <c r="C121" s="52"/>
      <c r="D121" s="52" t="str">
        <f t="shared" si="2"/>
        <v/>
      </c>
      <c r="E121" s="57" t="str">
        <f t="shared" si="3"/>
        <v/>
      </c>
    </row>
    <row r="122" spans="2:5" x14ac:dyDescent="0.2">
      <c r="B122" s="83">
        <v>14.9</v>
      </c>
      <c r="C122" s="54"/>
      <c r="D122" s="54" t="str">
        <f t="shared" si="2"/>
        <v/>
      </c>
      <c r="E122" s="56" t="str">
        <f t="shared" si="3"/>
        <v/>
      </c>
    </row>
    <row r="123" spans="2:5" x14ac:dyDescent="0.2">
      <c r="B123" s="82">
        <v>15.1</v>
      </c>
      <c r="C123" s="52"/>
      <c r="D123" s="52" t="str">
        <f t="shared" si="2"/>
        <v/>
      </c>
      <c r="E123" s="57" t="str">
        <f t="shared" si="3"/>
        <v/>
      </c>
    </row>
    <row r="124" spans="2:5" x14ac:dyDescent="0.2">
      <c r="B124" s="83">
        <v>15.2</v>
      </c>
      <c r="C124" s="54"/>
      <c r="D124" s="54" t="str">
        <f t="shared" si="2"/>
        <v/>
      </c>
      <c r="E124" s="56" t="str">
        <f t="shared" si="3"/>
        <v/>
      </c>
    </row>
    <row r="125" spans="2:5" x14ac:dyDescent="0.2">
      <c r="B125" s="82">
        <v>15.3</v>
      </c>
      <c r="C125" s="52"/>
      <c r="D125" s="52" t="str">
        <f t="shared" si="2"/>
        <v/>
      </c>
      <c r="E125" s="57" t="str">
        <f t="shared" si="3"/>
        <v/>
      </c>
    </row>
    <row r="126" spans="2:5" x14ac:dyDescent="0.2">
      <c r="B126" s="83">
        <v>15.4</v>
      </c>
      <c r="C126" s="54"/>
      <c r="D126" s="54" t="str">
        <f t="shared" si="2"/>
        <v/>
      </c>
      <c r="E126" s="56" t="str">
        <f t="shared" si="3"/>
        <v/>
      </c>
    </row>
    <row r="127" spans="2:5" x14ac:dyDescent="0.2">
      <c r="B127" s="82">
        <v>15.5</v>
      </c>
      <c r="C127" s="52"/>
      <c r="D127" s="52" t="str">
        <f t="shared" si="2"/>
        <v/>
      </c>
      <c r="E127" s="57" t="str">
        <f t="shared" si="3"/>
        <v/>
      </c>
    </row>
    <row r="128" spans="2:5" x14ac:dyDescent="0.2">
      <c r="B128" s="83">
        <v>15.6</v>
      </c>
      <c r="C128" s="54"/>
      <c r="D128" s="54" t="str">
        <f t="shared" si="2"/>
        <v/>
      </c>
      <c r="E128" s="56" t="str">
        <f t="shared" si="3"/>
        <v/>
      </c>
    </row>
    <row r="129" spans="2:5" x14ac:dyDescent="0.2">
      <c r="B129" s="82">
        <v>15.7</v>
      </c>
      <c r="C129" s="52"/>
      <c r="D129" s="52" t="str">
        <f t="shared" si="2"/>
        <v/>
      </c>
      <c r="E129" s="57" t="str">
        <f t="shared" si="3"/>
        <v/>
      </c>
    </row>
    <row r="130" spans="2:5" x14ac:dyDescent="0.2">
      <c r="B130" s="83">
        <v>16.100000000000001</v>
      </c>
      <c r="C130" s="54"/>
      <c r="D130" s="54" t="str">
        <f t="shared" si="2"/>
        <v/>
      </c>
      <c r="E130" s="56" t="str">
        <f t="shared" si="3"/>
        <v/>
      </c>
    </row>
    <row r="131" spans="2:5" x14ac:dyDescent="0.2">
      <c r="B131" s="82">
        <v>16.2</v>
      </c>
      <c r="C131" s="52"/>
      <c r="D131" s="52" t="str">
        <f t="shared" si="2"/>
        <v/>
      </c>
      <c r="E131" s="57" t="str">
        <f t="shared" si="3"/>
        <v/>
      </c>
    </row>
    <row r="132" spans="2:5" x14ac:dyDescent="0.2">
      <c r="B132" s="83">
        <v>16.3</v>
      </c>
      <c r="C132" s="54"/>
      <c r="D132" s="54" t="str">
        <f t="shared" si="2"/>
        <v/>
      </c>
      <c r="E132" s="56" t="str">
        <f t="shared" si="3"/>
        <v/>
      </c>
    </row>
    <row r="133" spans="2:5" x14ac:dyDescent="0.2">
      <c r="B133" s="82">
        <v>16.399999999999999</v>
      </c>
      <c r="C133" s="52"/>
      <c r="D133" s="52" t="str">
        <f t="shared" si="2"/>
        <v/>
      </c>
      <c r="E133" s="57" t="str">
        <f t="shared" si="3"/>
        <v/>
      </c>
    </row>
    <row r="134" spans="2:5" x14ac:dyDescent="0.2">
      <c r="B134" s="240">
        <v>16.5</v>
      </c>
      <c r="C134" s="241"/>
      <c r="D134" s="241" t="str">
        <f t="shared" ref="D134:D157" si="4">LEFT($C134, 1)</f>
        <v/>
      </c>
      <c r="E134" s="242" t="str">
        <f t="shared" ref="E134:E157" si="5">D134</f>
        <v/>
      </c>
    </row>
    <row r="135" spans="2:5" x14ac:dyDescent="0.2">
      <c r="B135" s="243">
        <v>16.600000000000001</v>
      </c>
      <c r="C135" s="181"/>
      <c r="D135" s="181" t="str">
        <f t="shared" si="4"/>
        <v/>
      </c>
      <c r="E135" s="182" t="str">
        <f t="shared" si="5"/>
        <v/>
      </c>
    </row>
    <row r="136" spans="2:5" x14ac:dyDescent="0.2">
      <c r="B136" s="83">
        <v>16.7</v>
      </c>
      <c r="C136" s="54"/>
      <c r="D136" s="54" t="str">
        <f t="shared" si="4"/>
        <v/>
      </c>
      <c r="E136" s="56" t="str">
        <f t="shared" si="5"/>
        <v/>
      </c>
    </row>
    <row r="137" spans="2:5" x14ac:dyDescent="0.2">
      <c r="B137" s="82">
        <v>16.8</v>
      </c>
      <c r="C137" s="52"/>
      <c r="D137" s="52" t="str">
        <f t="shared" si="4"/>
        <v/>
      </c>
      <c r="E137" s="57" t="str">
        <f t="shared" si="5"/>
        <v/>
      </c>
    </row>
    <row r="138" spans="2:5" x14ac:dyDescent="0.2">
      <c r="B138" s="83">
        <v>16.899999999999999</v>
      </c>
      <c r="C138" s="54"/>
      <c r="D138" s="54" t="str">
        <f t="shared" si="4"/>
        <v/>
      </c>
      <c r="E138" s="56" t="str">
        <f t="shared" si="5"/>
        <v/>
      </c>
    </row>
    <row r="139" spans="2:5" x14ac:dyDescent="0.2">
      <c r="B139" s="82" t="s">
        <v>460</v>
      </c>
      <c r="C139" s="52"/>
      <c r="D139" s="52" t="str">
        <f t="shared" si="4"/>
        <v/>
      </c>
      <c r="E139" s="57" t="str">
        <f t="shared" si="5"/>
        <v/>
      </c>
    </row>
    <row r="140" spans="2:5" x14ac:dyDescent="0.2">
      <c r="B140" s="83">
        <v>16.11</v>
      </c>
      <c r="C140" s="54"/>
      <c r="D140" s="54" t="str">
        <f t="shared" si="4"/>
        <v/>
      </c>
      <c r="E140" s="56" t="str">
        <f t="shared" si="5"/>
        <v/>
      </c>
    </row>
    <row r="141" spans="2:5" x14ac:dyDescent="0.2">
      <c r="B141" s="82">
        <v>16.12</v>
      </c>
      <c r="C141" s="52"/>
      <c r="D141" s="52" t="str">
        <f t="shared" si="4"/>
        <v/>
      </c>
      <c r="E141" s="57" t="str">
        <f t="shared" si="5"/>
        <v/>
      </c>
    </row>
    <row r="142" spans="2:5" x14ac:dyDescent="0.2">
      <c r="B142" s="83">
        <v>16.13</v>
      </c>
      <c r="C142" s="54"/>
      <c r="D142" s="54" t="str">
        <f t="shared" si="4"/>
        <v/>
      </c>
      <c r="E142" s="56" t="str">
        <f t="shared" si="5"/>
        <v/>
      </c>
    </row>
    <row r="143" spans="2:5" x14ac:dyDescent="0.2">
      <c r="B143" s="82">
        <v>16.14</v>
      </c>
      <c r="C143" s="52"/>
      <c r="D143" s="52" t="str">
        <f t="shared" si="4"/>
        <v/>
      </c>
      <c r="E143" s="57" t="str">
        <f t="shared" si="5"/>
        <v/>
      </c>
    </row>
    <row r="144" spans="2:5" x14ac:dyDescent="0.2">
      <c r="B144" s="83">
        <v>17.100000000000001</v>
      </c>
      <c r="C144" s="54"/>
      <c r="D144" s="54" t="str">
        <f t="shared" si="4"/>
        <v/>
      </c>
      <c r="E144" s="56" t="str">
        <f t="shared" si="5"/>
        <v/>
      </c>
    </row>
    <row r="145" spans="2:5" x14ac:dyDescent="0.2">
      <c r="B145" s="82">
        <v>17.2</v>
      </c>
      <c r="C145" s="52"/>
      <c r="D145" s="52" t="str">
        <f t="shared" si="4"/>
        <v/>
      </c>
      <c r="E145" s="57" t="str">
        <f t="shared" si="5"/>
        <v/>
      </c>
    </row>
    <row r="146" spans="2:5" x14ac:dyDescent="0.2">
      <c r="B146" s="83">
        <v>17.3</v>
      </c>
      <c r="C146" s="54"/>
      <c r="D146" s="54" t="str">
        <f t="shared" si="4"/>
        <v/>
      </c>
      <c r="E146" s="56" t="str">
        <f t="shared" si="5"/>
        <v/>
      </c>
    </row>
    <row r="147" spans="2:5" x14ac:dyDescent="0.2">
      <c r="B147" s="82">
        <v>17.399999999999999</v>
      </c>
      <c r="C147" s="52"/>
      <c r="D147" s="52" t="str">
        <f t="shared" si="4"/>
        <v/>
      </c>
      <c r="E147" s="57" t="str">
        <f t="shared" si="5"/>
        <v/>
      </c>
    </row>
    <row r="148" spans="2:5" x14ac:dyDescent="0.2">
      <c r="B148" s="83">
        <v>17.5</v>
      </c>
      <c r="C148" s="54"/>
      <c r="D148" s="54" t="str">
        <f t="shared" si="4"/>
        <v/>
      </c>
      <c r="E148" s="56" t="str">
        <f t="shared" si="5"/>
        <v/>
      </c>
    </row>
    <row r="149" spans="2:5" x14ac:dyDescent="0.2">
      <c r="B149" s="82">
        <v>17.600000000000001</v>
      </c>
      <c r="C149" s="52"/>
      <c r="D149" s="52" t="str">
        <f t="shared" si="4"/>
        <v/>
      </c>
      <c r="E149" s="57" t="str">
        <f t="shared" si="5"/>
        <v/>
      </c>
    </row>
    <row r="150" spans="2:5" x14ac:dyDescent="0.2">
      <c r="B150" s="83">
        <v>17.7</v>
      </c>
      <c r="C150" s="54"/>
      <c r="D150" s="54" t="str">
        <f t="shared" si="4"/>
        <v/>
      </c>
      <c r="E150" s="56" t="str">
        <f t="shared" si="5"/>
        <v/>
      </c>
    </row>
    <row r="151" spans="2:5" x14ac:dyDescent="0.2">
      <c r="B151" s="82">
        <v>17.8</v>
      </c>
      <c r="C151" s="52"/>
      <c r="D151" s="52" t="str">
        <f t="shared" si="4"/>
        <v/>
      </c>
      <c r="E151" s="57" t="str">
        <f t="shared" si="5"/>
        <v/>
      </c>
    </row>
    <row r="152" spans="2:5" x14ac:dyDescent="0.2">
      <c r="B152" s="83">
        <v>17.899999999999999</v>
      </c>
      <c r="C152" s="54"/>
      <c r="D152" s="54" t="str">
        <f t="shared" si="4"/>
        <v/>
      </c>
      <c r="E152" s="56" t="str">
        <f t="shared" si="5"/>
        <v/>
      </c>
    </row>
    <row r="153" spans="2:5" x14ac:dyDescent="0.2">
      <c r="B153" s="82">
        <v>18.100000000000001</v>
      </c>
      <c r="C153" s="52"/>
      <c r="D153" s="52" t="str">
        <f t="shared" si="4"/>
        <v/>
      </c>
      <c r="E153" s="57" t="str">
        <f t="shared" si="5"/>
        <v/>
      </c>
    </row>
    <row r="154" spans="2:5" x14ac:dyDescent="0.2">
      <c r="B154" s="83">
        <v>18.2</v>
      </c>
      <c r="C154" s="54"/>
      <c r="D154" s="54" t="str">
        <f t="shared" si="4"/>
        <v/>
      </c>
      <c r="E154" s="56" t="str">
        <f t="shared" si="5"/>
        <v/>
      </c>
    </row>
    <row r="155" spans="2:5" x14ac:dyDescent="0.2">
      <c r="B155" s="82">
        <v>18.3</v>
      </c>
      <c r="C155" s="52"/>
      <c r="D155" s="52" t="str">
        <f t="shared" si="4"/>
        <v/>
      </c>
      <c r="E155" s="57" t="str">
        <f t="shared" si="5"/>
        <v/>
      </c>
    </row>
    <row r="156" spans="2:5" x14ac:dyDescent="0.2">
      <c r="B156" s="83">
        <v>18.399999999999999</v>
      </c>
      <c r="C156" s="54"/>
      <c r="D156" s="54" t="str">
        <f t="shared" si="4"/>
        <v/>
      </c>
      <c r="E156" s="56" t="str">
        <f t="shared" si="5"/>
        <v/>
      </c>
    </row>
    <row r="157" spans="2:5" ht="13.5" thickBot="1" x14ac:dyDescent="0.25">
      <c r="B157" s="238">
        <v>18.5</v>
      </c>
      <c r="C157" s="239"/>
      <c r="D157" s="239" t="str">
        <f t="shared" si="4"/>
        <v/>
      </c>
      <c r="E157" s="59" t="str">
        <f t="shared" si="5"/>
        <v/>
      </c>
    </row>
  </sheetData>
  <sheetProtection sheet="1" objects="1" scenarios="1"/>
  <mergeCells count="3">
    <mergeCell ref="B3:E3"/>
    <mergeCell ref="B1:E1"/>
    <mergeCell ref="G1:H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E48F3-FE2A-4E40-B58F-2B8C8C076662}">
  <sheetPr>
    <tabColor rgb="FFFF0000"/>
  </sheetPr>
  <dimension ref="B1:L166"/>
  <sheetViews>
    <sheetView showGridLines="0" workbookViewId="0">
      <selection activeCell="B1" sqref="B1:L1"/>
    </sheetView>
  </sheetViews>
  <sheetFormatPr defaultColWidth="9.140625" defaultRowHeight="12.75" x14ac:dyDescent="0.2"/>
  <cols>
    <col min="1" max="1" width="9.140625" style="40"/>
    <col min="2" max="2" width="19" style="43" customWidth="1"/>
    <col min="3" max="3" width="21.140625" style="40" bestFit="1" customWidth="1"/>
    <col min="4" max="4" width="28.140625" style="40" bestFit="1" customWidth="1"/>
    <col min="5" max="5" width="26.5703125" style="40" customWidth="1"/>
    <col min="6" max="6" width="24.85546875" style="40" bestFit="1" customWidth="1"/>
    <col min="7" max="7" width="18.140625" style="40" customWidth="1"/>
    <col min="8" max="8" width="20.42578125" style="40" bestFit="1" customWidth="1"/>
    <col min="9" max="9" width="18.28515625" style="40" bestFit="1" customWidth="1"/>
    <col min="10" max="10" width="16.42578125" style="40" bestFit="1" customWidth="1"/>
    <col min="11" max="11" width="22" style="40" bestFit="1" customWidth="1"/>
    <col min="12" max="12" width="22" style="40" customWidth="1"/>
    <col min="13" max="16384" width="9.140625" style="40"/>
  </cols>
  <sheetData>
    <row r="1" spans="2:12" ht="67.5" customHeight="1" thickBot="1" x14ac:dyDescent="0.25">
      <c r="B1" s="365" t="s">
        <v>282</v>
      </c>
      <c r="C1" s="366"/>
      <c r="D1" s="366"/>
      <c r="E1" s="366"/>
      <c r="F1" s="366"/>
      <c r="G1" s="366"/>
      <c r="H1" s="366"/>
      <c r="I1" s="366"/>
      <c r="J1" s="366"/>
      <c r="K1" s="366"/>
      <c r="L1" s="366"/>
    </row>
    <row r="2" spans="2:12" ht="13.5" thickBot="1" x14ac:dyDescent="0.25"/>
    <row r="3" spans="2:12" ht="27" customHeight="1" thickTop="1" thickBot="1" x14ac:dyDescent="0.25">
      <c r="B3" s="60" t="s">
        <v>285</v>
      </c>
      <c r="C3" s="61" t="s">
        <v>286</v>
      </c>
      <c r="D3" s="61" t="s">
        <v>287</v>
      </c>
      <c r="E3" s="61" t="s">
        <v>288</v>
      </c>
      <c r="F3" s="62" t="s">
        <v>289</v>
      </c>
      <c r="G3" s="63" t="s">
        <v>285</v>
      </c>
      <c r="I3" s="372" t="s">
        <v>684</v>
      </c>
      <c r="J3" s="372"/>
      <c r="K3" s="372"/>
      <c r="L3" s="372"/>
    </row>
    <row r="4" spans="2:12" ht="12.75" customHeight="1" x14ac:dyDescent="0.2">
      <c r="B4" s="64">
        <v>1</v>
      </c>
      <c r="C4" s="65" t="s">
        <v>290</v>
      </c>
      <c r="D4" s="65" t="s">
        <v>291</v>
      </c>
      <c r="E4" s="65" t="s">
        <v>292</v>
      </c>
      <c r="F4" s="66" t="s">
        <v>293</v>
      </c>
      <c r="G4" s="67">
        <v>1</v>
      </c>
      <c r="I4" s="372"/>
      <c r="J4" s="372"/>
      <c r="K4" s="372"/>
      <c r="L4" s="372"/>
    </row>
    <row r="5" spans="2:12" ht="12.75" customHeight="1" x14ac:dyDescent="0.2">
      <c r="B5" s="68">
        <v>2</v>
      </c>
      <c r="C5" s="69" t="s">
        <v>294</v>
      </c>
      <c r="D5" s="69" t="s">
        <v>295</v>
      </c>
      <c r="E5" s="69" t="s">
        <v>296</v>
      </c>
      <c r="F5" s="70" t="s">
        <v>297</v>
      </c>
      <c r="G5" s="71">
        <v>2</v>
      </c>
      <c r="I5" s="372"/>
      <c r="J5" s="372"/>
      <c r="K5" s="372"/>
      <c r="L5" s="372"/>
    </row>
    <row r="6" spans="2:12" ht="12.75" customHeight="1" x14ac:dyDescent="0.2">
      <c r="B6" s="68">
        <v>3</v>
      </c>
      <c r="C6" s="69" t="s">
        <v>298</v>
      </c>
      <c r="D6" s="69" t="s">
        <v>299</v>
      </c>
      <c r="E6" s="69" t="s">
        <v>300</v>
      </c>
      <c r="F6" s="70" t="s">
        <v>301</v>
      </c>
      <c r="G6" s="71">
        <v>3</v>
      </c>
      <c r="I6" s="372"/>
      <c r="J6" s="372"/>
      <c r="K6" s="372"/>
      <c r="L6" s="372"/>
    </row>
    <row r="7" spans="2:12" ht="12.75" customHeight="1" x14ac:dyDescent="0.2">
      <c r="B7" s="68">
        <v>4</v>
      </c>
      <c r="C7" s="69" t="s">
        <v>302</v>
      </c>
      <c r="D7" s="69" t="s">
        <v>303</v>
      </c>
      <c r="E7" s="69" t="s">
        <v>304</v>
      </c>
      <c r="F7" s="70" t="s">
        <v>305</v>
      </c>
      <c r="G7" s="71">
        <v>4</v>
      </c>
      <c r="I7" s="372"/>
      <c r="J7" s="372"/>
      <c r="K7" s="372"/>
      <c r="L7" s="372"/>
    </row>
    <row r="8" spans="2:12" ht="12.75" customHeight="1" x14ac:dyDescent="0.2">
      <c r="B8" s="68">
        <v>5</v>
      </c>
      <c r="C8" s="69" t="s">
        <v>306</v>
      </c>
      <c r="D8" s="69" t="s">
        <v>307</v>
      </c>
      <c r="E8" s="69" t="s">
        <v>308</v>
      </c>
      <c r="F8" s="70" t="s">
        <v>309</v>
      </c>
      <c r="G8" s="71">
        <v>5</v>
      </c>
      <c r="I8" s="372"/>
      <c r="J8" s="372"/>
      <c r="K8" s="372"/>
      <c r="L8" s="372"/>
    </row>
    <row r="9" spans="2:12" ht="25.5" customHeight="1" x14ac:dyDescent="0.2">
      <c r="B9" s="68" t="s">
        <v>310</v>
      </c>
      <c r="C9" s="69" t="s">
        <v>311</v>
      </c>
      <c r="D9" s="69" t="s">
        <v>311</v>
      </c>
      <c r="E9" s="69" t="s">
        <v>311</v>
      </c>
      <c r="F9" s="70" t="s">
        <v>311</v>
      </c>
      <c r="G9" s="71" t="s">
        <v>310</v>
      </c>
      <c r="I9" s="372"/>
      <c r="J9" s="372"/>
      <c r="K9" s="372"/>
      <c r="L9" s="372"/>
    </row>
    <row r="10" spans="2:12" ht="13.5" customHeight="1" thickBot="1" x14ac:dyDescent="0.25">
      <c r="B10" s="72" t="s">
        <v>312</v>
      </c>
      <c r="C10" s="73" t="s">
        <v>313</v>
      </c>
      <c r="D10" s="73" t="s">
        <v>313</v>
      </c>
      <c r="E10" s="73" t="s">
        <v>313</v>
      </c>
      <c r="F10" s="74" t="s">
        <v>313</v>
      </c>
      <c r="G10" s="75" t="s">
        <v>312</v>
      </c>
    </row>
    <row r="11" spans="2:12" ht="14.25" thickTop="1" thickBot="1" x14ac:dyDescent="0.25"/>
    <row r="12" spans="2:12" s="76" customFormat="1" ht="39" customHeight="1" x14ac:dyDescent="0.25">
      <c r="B12" s="244" t="s">
        <v>317</v>
      </c>
      <c r="C12" s="363" t="s">
        <v>314</v>
      </c>
      <c r="D12" s="363"/>
      <c r="E12" s="363"/>
      <c r="F12" s="363"/>
      <c r="G12" s="363" t="s">
        <v>315</v>
      </c>
      <c r="H12" s="363"/>
      <c r="I12" s="363"/>
      <c r="J12" s="363"/>
      <c r="K12" s="363" t="s">
        <v>316</v>
      </c>
      <c r="L12" s="363" t="s">
        <v>281</v>
      </c>
    </row>
    <row r="13" spans="2:12" s="50" customFormat="1" ht="26.25" thickBot="1" x14ac:dyDescent="0.3">
      <c r="B13" s="245" t="s">
        <v>522</v>
      </c>
      <c r="C13" s="245" t="s">
        <v>286</v>
      </c>
      <c r="D13" s="245" t="s">
        <v>287</v>
      </c>
      <c r="E13" s="245" t="s">
        <v>288</v>
      </c>
      <c r="F13" s="245" t="s">
        <v>289</v>
      </c>
      <c r="G13" s="245" t="s">
        <v>286</v>
      </c>
      <c r="H13" s="245" t="s">
        <v>287</v>
      </c>
      <c r="I13" s="245" t="s">
        <v>288</v>
      </c>
      <c r="J13" s="245" t="s">
        <v>289</v>
      </c>
      <c r="K13" s="364"/>
      <c r="L13" s="364"/>
    </row>
    <row r="14" spans="2:12" ht="13.5" thickTop="1" x14ac:dyDescent="0.2">
      <c r="B14" s="246">
        <v>1.1000000000000001</v>
      </c>
      <c r="C14" s="77" t="s">
        <v>306</v>
      </c>
      <c r="D14" s="77" t="s">
        <v>303</v>
      </c>
      <c r="E14" s="77" t="s">
        <v>308</v>
      </c>
      <c r="F14" s="77" t="s">
        <v>301</v>
      </c>
      <c r="G14" s="81">
        <f t="shared" ref="G14:G45" si="0">VLOOKUP(C14,$C$4:$G$10,5,FALSE)</f>
        <v>5</v>
      </c>
      <c r="H14" s="81">
        <f t="shared" ref="H14:H45" si="1">VLOOKUP(D14,$D$4:$G$10,4,FALSE)</f>
        <v>4</v>
      </c>
      <c r="I14" s="81">
        <f t="shared" ref="I14:I45" si="2">VLOOKUP(E14,$E$4:$G$10,3,FALSE)</f>
        <v>5</v>
      </c>
      <c r="J14" s="81">
        <f t="shared" ref="J14:J45" si="3">VLOOKUP(F14,$F$4:$G$10,2,FALSE)</f>
        <v>3</v>
      </c>
      <c r="K14" s="81">
        <f>ROUND(AVERAGE(G14:J14),0)</f>
        <v>4</v>
      </c>
      <c r="L14" s="81">
        <f>K14</f>
        <v>4</v>
      </c>
    </row>
    <row r="15" spans="2:12" x14ac:dyDescent="0.2">
      <c r="B15" s="247">
        <v>1.2</v>
      </c>
      <c r="C15" s="54" t="s">
        <v>298</v>
      </c>
      <c r="D15" s="54" t="s">
        <v>299</v>
      </c>
      <c r="E15" s="54" t="s">
        <v>300</v>
      </c>
      <c r="F15" s="54" t="s">
        <v>305</v>
      </c>
      <c r="G15" s="80">
        <f t="shared" si="0"/>
        <v>3</v>
      </c>
      <c r="H15" s="80">
        <f t="shared" si="1"/>
        <v>3</v>
      </c>
      <c r="I15" s="80">
        <f t="shared" si="2"/>
        <v>3</v>
      </c>
      <c r="J15" s="80">
        <f t="shared" si="3"/>
        <v>4</v>
      </c>
      <c r="K15" s="80">
        <f t="shared" ref="K15:K78" si="4">ROUND(AVERAGE(G15:J15),0)</f>
        <v>3</v>
      </c>
      <c r="L15" s="80">
        <f t="shared" ref="L15:L78" si="5">K15</f>
        <v>3</v>
      </c>
    </row>
    <row r="16" spans="2:12" x14ac:dyDescent="0.2">
      <c r="B16" s="246">
        <v>1.3</v>
      </c>
      <c r="C16" s="52" t="s">
        <v>306</v>
      </c>
      <c r="D16" s="52" t="s">
        <v>307</v>
      </c>
      <c r="E16" s="52" t="s">
        <v>308</v>
      </c>
      <c r="F16" s="52" t="s">
        <v>309</v>
      </c>
      <c r="G16" s="81">
        <f t="shared" si="0"/>
        <v>5</v>
      </c>
      <c r="H16" s="81">
        <f t="shared" si="1"/>
        <v>5</v>
      </c>
      <c r="I16" s="81">
        <f t="shared" si="2"/>
        <v>5</v>
      </c>
      <c r="J16" s="81">
        <f t="shared" si="3"/>
        <v>5</v>
      </c>
      <c r="K16" s="81">
        <f t="shared" si="4"/>
        <v>5</v>
      </c>
      <c r="L16" s="81">
        <f t="shared" si="5"/>
        <v>5</v>
      </c>
    </row>
    <row r="17" spans="2:12" x14ac:dyDescent="0.2">
      <c r="B17" s="247">
        <v>1.4</v>
      </c>
      <c r="C17" s="54" t="s">
        <v>298</v>
      </c>
      <c r="D17" s="54" t="s">
        <v>299</v>
      </c>
      <c r="E17" s="54" t="s">
        <v>304</v>
      </c>
      <c r="F17" s="54" t="s">
        <v>309</v>
      </c>
      <c r="G17" s="80">
        <f t="shared" si="0"/>
        <v>3</v>
      </c>
      <c r="H17" s="80">
        <f t="shared" si="1"/>
        <v>3</v>
      </c>
      <c r="I17" s="80">
        <f t="shared" si="2"/>
        <v>4</v>
      </c>
      <c r="J17" s="80">
        <f t="shared" si="3"/>
        <v>5</v>
      </c>
      <c r="K17" s="80">
        <f t="shared" si="4"/>
        <v>4</v>
      </c>
      <c r="L17" s="80">
        <f t="shared" si="5"/>
        <v>4</v>
      </c>
    </row>
    <row r="18" spans="2:12" x14ac:dyDescent="0.2">
      <c r="B18" s="246">
        <v>1.5</v>
      </c>
      <c r="C18" s="52" t="s">
        <v>294</v>
      </c>
      <c r="D18" s="52" t="s">
        <v>295</v>
      </c>
      <c r="E18" s="52" t="s">
        <v>296</v>
      </c>
      <c r="F18" s="52" t="s">
        <v>301</v>
      </c>
      <c r="G18" s="81">
        <f t="shared" si="0"/>
        <v>2</v>
      </c>
      <c r="H18" s="81">
        <f t="shared" si="1"/>
        <v>2</v>
      </c>
      <c r="I18" s="81">
        <f t="shared" si="2"/>
        <v>2</v>
      </c>
      <c r="J18" s="81">
        <f t="shared" si="3"/>
        <v>3</v>
      </c>
      <c r="K18" s="81">
        <f t="shared" si="4"/>
        <v>2</v>
      </c>
      <c r="L18" s="81">
        <f t="shared" si="5"/>
        <v>2</v>
      </c>
    </row>
    <row r="19" spans="2:12" x14ac:dyDescent="0.2">
      <c r="B19" s="247">
        <v>2.1</v>
      </c>
      <c r="C19" s="54" t="s">
        <v>298</v>
      </c>
      <c r="D19" s="54" t="s">
        <v>299</v>
      </c>
      <c r="E19" s="54" t="s">
        <v>300</v>
      </c>
      <c r="F19" s="54" t="s">
        <v>305</v>
      </c>
      <c r="G19" s="80">
        <f t="shared" si="0"/>
        <v>3</v>
      </c>
      <c r="H19" s="80">
        <f t="shared" si="1"/>
        <v>3</v>
      </c>
      <c r="I19" s="80">
        <f t="shared" si="2"/>
        <v>3</v>
      </c>
      <c r="J19" s="80">
        <f t="shared" si="3"/>
        <v>4</v>
      </c>
      <c r="K19" s="80">
        <f t="shared" si="4"/>
        <v>3</v>
      </c>
      <c r="L19" s="80">
        <f t="shared" si="5"/>
        <v>3</v>
      </c>
    </row>
    <row r="20" spans="2:12" x14ac:dyDescent="0.2">
      <c r="B20" s="246">
        <v>2.2000000000000002</v>
      </c>
      <c r="C20" s="52" t="s">
        <v>298</v>
      </c>
      <c r="D20" s="52" t="s">
        <v>299</v>
      </c>
      <c r="E20" s="52" t="s">
        <v>300</v>
      </c>
      <c r="F20" s="52" t="s">
        <v>301</v>
      </c>
      <c r="G20" s="81">
        <f t="shared" si="0"/>
        <v>3</v>
      </c>
      <c r="H20" s="81">
        <f t="shared" si="1"/>
        <v>3</v>
      </c>
      <c r="I20" s="81">
        <f t="shared" si="2"/>
        <v>3</v>
      </c>
      <c r="J20" s="81">
        <f t="shared" si="3"/>
        <v>3</v>
      </c>
      <c r="K20" s="81">
        <f t="shared" si="4"/>
        <v>3</v>
      </c>
      <c r="L20" s="81">
        <f t="shared" si="5"/>
        <v>3</v>
      </c>
    </row>
    <row r="21" spans="2:12" x14ac:dyDescent="0.2">
      <c r="B21" s="247">
        <v>2.2999999999999998</v>
      </c>
      <c r="C21" s="54" t="s">
        <v>298</v>
      </c>
      <c r="D21" s="54" t="s">
        <v>307</v>
      </c>
      <c r="E21" s="54" t="s">
        <v>300</v>
      </c>
      <c r="F21" s="54" t="s">
        <v>305</v>
      </c>
      <c r="G21" s="80">
        <f t="shared" si="0"/>
        <v>3</v>
      </c>
      <c r="H21" s="80">
        <f t="shared" si="1"/>
        <v>5</v>
      </c>
      <c r="I21" s="80">
        <f t="shared" si="2"/>
        <v>3</v>
      </c>
      <c r="J21" s="80">
        <f t="shared" si="3"/>
        <v>4</v>
      </c>
      <c r="K21" s="80">
        <f t="shared" si="4"/>
        <v>4</v>
      </c>
      <c r="L21" s="80">
        <f t="shared" si="5"/>
        <v>4</v>
      </c>
    </row>
    <row r="22" spans="2:12" x14ac:dyDescent="0.2">
      <c r="B22" s="246">
        <v>2.4</v>
      </c>
      <c r="C22" s="52" t="s">
        <v>306</v>
      </c>
      <c r="D22" s="52" t="s">
        <v>307</v>
      </c>
      <c r="E22" s="52" t="s">
        <v>308</v>
      </c>
      <c r="F22" s="52" t="s">
        <v>309</v>
      </c>
      <c r="G22" s="81">
        <f t="shared" si="0"/>
        <v>5</v>
      </c>
      <c r="H22" s="81">
        <f t="shared" si="1"/>
        <v>5</v>
      </c>
      <c r="I22" s="81">
        <f t="shared" si="2"/>
        <v>5</v>
      </c>
      <c r="J22" s="81">
        <f t="shared" si="3"/>
        <v>5</v>
      </c>
      <c r="K22" s="81">
        <f t="shared" si="4"/>
        <v>5</v>
      </c>
      <c r="L22" s="81">
        <f t="shared" si="5"/>
        <v>5</v>
      </c>
    </row>
    <row r="23" spans="2:12" x14ac:dyDescent="0.2">
      <c r="B23" s="247">
        <v>2.5</v>
      </c>
      <c r="C23" s="54" t="s">
        <v>306</v>
      </c>
      <c r="D23" s="54" t="s">
        <v>299</v>
      </c>
      <c r="E23" s="54" t="s">
        <v>304</v>
      </c>
      <c r="F23" s="54" t="s">
        <v>309</v>
      </c>
      <c r="G23" s="80">
        <f t="shared" si="0"/>
        <v>5</v>
      </c>
      <c r="H23" s="80">
        <f t="shared" si="1"/>
        <v>3</v>
      </c>
      <c r="I23" s="80">
        <f t="shared" si="2"/>
        <v>4</v>
      </c>
      <c r="J23" s="80">
        <f t="shared" si="3"/>
        <v>5</v>
      </c>
      <c r="K23" s="80">
        <f t="shared" si="4"/>
        <v>4</v>
      </c>
      <c r="L23" s="80">
        <f t="shared" si="5"/>
        <v>4</v>
      </c>
    </row>
    <row r="24" spans="2:12" x14ac:dyDescent="0.2">
      <c r="B24" s="246">
        <v>2.6</v>
      </c>
      <c r="C24" s="52" t="s">
        <v>306</v>
      </c>
      <c r="D24" s="52" t="s">
        <v>303</v>
      </c>
      <c r="E24" s="52" t="s">
        <v>304</v>
      </c>
      <c r="F24" s="52" t="s">
        <v>309</v>
      </c>
      <c r="G24" s="81">
        <f t="shared" si="0"/>
        <v>5</v>
      </c>
      <c r="H24" s="81">
        <f t="shared" si="1"/>
        <v>4</v>
      </c>
      <c r="I24" s="81">
        <f t="shared" si="2"/>
        <v>4</v>
      </c>
      <c r="J24" s="81">
        <f t="shared" si="3"/>
        <v>5</v>
      </c>
      <c r="K24" s="81">
        <f t="shared" si="4"/>
        <v>5</v>
      </c>
      <c r="L24" s="81">
        <f t="shared" si="5"/>
        <v>5</v>
      </c>
    </row>
    <row r="25" spans="2:12" x14ac:dyDescent="0.2">
      <c r="B25" s="247">
        <v>2.7</v>
      </c>
      <c r="C25" s="54" t="s">
        <v>298</v>
      </c>
      <c r="D25" s="54" t="s">
        <v>303</v>
      </c>
      <c r="E25" s="54" t="s">
        <v>308</v>
      </c>
      <c r="F25" s="54" t="s">
        <v>305</v>
      </c>
      <c r="G25" s="80">
        <f t="shared" si="0"/>
        <v>3</v>
      </c>
      <c r="H25" s="80">
        <f t="shared" si="1"/>
        <v>4</v>
      </c>
      <c r="I25" s="80">
        <f t="shared" si="2"/>
        <v>5</v>
      </c>
      <c r="J25" s="80">
        <f t="shared" si="3"/>
        <v>4</v>
      </c>
      <c r="K25" s="80">
        <f t="shared" si="4"/>
        <v>4</v>
      </c>
      <c r="L25" s="80">
        <f t="shared" si="5"/>
        <v>4</v>
      </c>
    </row>
    <row r="26" spans="2:12" x14ac:dyDescent="0.2">
      <c r="B26" s="246">
        <v>3.1</v>
      </c>
      <c r="C26" s="52" t="s">
        <v>298</v>
      </c>
      <c r="D26" s="52" t="s">
        <v>303</v>
      </c>
      <c r="E26" s="52" t="s">
        <v>304</v>
      </c>
      <c r="F26" s="52" t="s">
        <v>305</v>
      </c>
      <c r="G26" s="81">
        <f t="shared" si="0"/>
        <v>3</v>
      </c>
      <c r="H26" s="81">
        <f t="shared" si="1"/>
        <v>4</v>
      </c>
      <c r="I26" s="81">
        <f t="shared" si="2"/>
        <v>4</v>
      </c>
      <c r="J26" s="81">
        <f t="shared" si="3"/>
        <v>4</v>
      </c>
      <c r="K26" s="81">
        <f t="shared" si="4"/>
        <v>4</v>
      </c>
      <c r="L26" s="81">
        <f t="shared" si="5"/>
        <v>4</v>
      </c>
    </row>
    <row r="27" spans="2:12" x14ac:dyDescent="0.2">
      <c r="B27" s="247">
        <v>3.2</v>
      </c>
      <c r="C27" s="54" t="s">
        <v>290</v>
      </c>
      <c r="D27" s="54" t="s">
        <v>291</v>
      </c>
      <c r="E27" s="54" t="s">
        <v>296</v>
      </c>
      <c r="F27" s="54" t="s">
        <v>293</v>
      </c>
      <c r="G27" s="80">
        <f t="shared" si="0"/>
        <v>1</v>
      </c>
      <c r="H27" s="80">
        <f t="shared" si="1"/>
        <v>1</v>
      </c>
      <c r="I27" s="80">
        <f t="shared" si="2"/>
        <v>2</v>
      </c>
      <c r="J27" s="80">
        <f t="shared" si="3"/>
        <v>1</v>
      </c>
      <c r="K27" s="80">
        <f t="shared" si="4"/>
        <v>1</v>
      </c>
      <c r="L27" s="80">
        <f t="shared" si="5"/>
        <v>1</v>
      </c>
    </row>
    <row r="28" spans="2:12" x14ac:dyDescent="0.2">
      <c r="B28" s="246">
        <v>3.3</v>
      </c>
      <c r="C28" s="52" t="s">
        <v>290</v>
      </c>
      <c r="D28" s="52" t="s">
        <v>291</v>
      </c>
      <c r="E28" s="52" t="s">
        <v>296</v>
      </c>
      <c r="F28" s="52" t="s">
        <v>293</v>
      </c>
      <c r="G28" s="81">
        <f t="shared" si="0"/>
        <v>1</v>
      </c>
      <c r="H28" s="81">
        <f t="shared" si="1"/>
        <v>1</v>
      </c>
      <c r="I28" s="81">
        <f t="shared" si="2"/>
        <v>2</v>
      </c>
      <c r="J28" s="81">
        <f t="shared" si="3"/>
        <v>1</v>
      </c>
      <c r="K28" s="81">
        <f t="shared" si="4"/>
        <v>1</v>
      </c>
      <c r="L28" s="81">
        <f t="shared" si="5"/>
        <v>1</v>
      </c>
    </row>
    <row r="29" spans="2:12" x14ac:dyDescent="0.2">
      <c r="B29" s="247">
        <v>3.4</v>
      </c>
      <c r="C29" s="54" t="s">
        <v>290</v>
      </c>
      <c r="D29" s="54" t="s">
        <v>291</v>
      </c>
      <c r="E29" s="54" t="s">
        <v>292</v>
      </c>
      <c r="F29" s="54" t="s">
        <v>293</v>
      </c>
      <c r="G29" s="80">
        <f t="shared" si="0"/>
        <v>1</v>
      </c>
      <c r="H29" s="80">
        <f t="shared" si="1"/>
        <v>1</v>
      </c>
      <c r="I29" s="80">
        <f t="shared" si="2"/>
        <v>1</v>
      </c>
      <c r="J29" s="80">
        <f t="shared" si="3"/>
        <v>1</v>
      </c>
      <c r="K29" s="80">
        <f t="shared" si="4"/>
        <v>1</v>
      </c>
      <c r="L29" s="80">
        <f t="shared" si="5"/>
        <v>1</v>
      </c>
    </row>
    <row r="30" spans="2:12" x14ac:dyDescent="0.2">
      <c r="B30" s="246">
        <v>3.5</v>
      </c>
      <c r="C30" s="52" t="s">
        <v>306</v>
      </c>
      <c r="D30" s="52" t="s">
        <v>303</v>
      </c>
      <c r="E30" s="52" t="s">
        <v>304</v>
      </c>
      <c r="F30" s="52" t="s">
        <v>305</v>
      </c>
      <c r="G30" s="81">
        <f t="shared" si="0"/>
        <v>5</v>
      </c>
      <c r="H30" s="81">
        <f t="shared" si="1"/>
        <v>4</v>
      </c>
      <c r="I30" s="81">
        <f t="shared" si="2"/>
        <v>4</v>
      </c>
      <c r="J30" s="81">
        <f t="shared" si="3"/>
        <v>4</v>
      </c>
      <c r="K30" s="81">
        <f t="shared" si="4"/>
        <v>4</v>
      </c>
      <c r="L30" s="81">
        <f t="shared" si="5"/>
        <v>4</v>
      </c>
    </row>
    <row r="31" spans="2:12" x14ac:dyDescent="0.2">
      <c r="B31" s="247">
        <v>3.6</v>
      </c>
      <c r="C31" s="54" t="s">
        <v>302</v>
      </c>
      <c r="D31" s="54" t="s">
        <v>303</v>
      </c>
      <c r="E31" s="54" t="s">
        <v>308</v>
      </c>
      <c r="F31" s="54" t="s">
        <v>301</v>
      </c>
      <c r="G31" s="80">
        <f t="shared" si="0"/>
        <v>4</v>
      </c>
      <c r="H31" s="80">
        <f t="shared" si="1"/>
        <v>4</v>
      </c>
      <c r="I31" s="80">
        <f t="shared" si="2"/>
        <v>5</v>
      </c>
      <c r="J31" s="80">
        <f t="shared" si="3"/>
        <v>3</v>
      </c>
      <c r="K31" s="80">
        <f t="shared" si="4"/>
        <v>4</v>
      </c>
      <c r="L31" s="80">
        <f t="shared" si="5"/>
        <v>4</v>
      </c>
    </row>
    <row r="32" spans="2:12" x14ac:dyDescent="0.2">
      <c r="B32" s="246">
        <v>3.7</v>
      </c>
      <c r="C32" s="52" t="s">
        <v>298</v>
      </c>
      <c r="D32" s="52" t="s">
        <v>303</v>
      </c>
      <c r="E32" s="52" t="s">
        <v>304</v>
      </c>
      <c r="F32" s="52" t="s">
        <v>309</v>
      </c>
      <c r="G32" s="81">
        <f t="shared" si="0"/>
        <v>3</v>
      </c>
      <c r="H32" s="81">
        <f t="shared" si="1"/>
        <v>4</v>
      </c>
      <c r="I32" s="81">
        <f t="shared" si="2"/>
        <v>4</v>
      </c>
      <c r="J32" s="81">
        <f t="shared" si="3"/>
        <v>5</v>
      </c>
      <c r="K32" s="81">
        <f t="shared" si="4"/>
        <v>4</v>
      </c>
      <c r="L32" s="81">
        <f t="shared" si="5"/>
        <v>4</v>
      </c>
    </row>
    <row r="33" spans="2:12" x14ac:dyDescent="0.2">
      <c r="B33" s="247">
        <v>3.8</v>
      </c>
      <c r="C33" s="54" t="s">
        <v>302</v>
      </c>
      <c r="D33" s="54" t="s">
        <v>307</v>
      </c>
      <c r="E33" s="54" t="s">
        <v>304</v>
      </c>
      <c r="F33" s="54" t="s">
        <v>309</v>
      </c>
      <c r="G33" s="80">
        <f t="shared" si="0"/>
        <v>4</v>
      </c>
      <c r="H33" s="80">
        <f t="shared" si="1"/>
        <v>5</v>
      </c>
      <c r="I33" s="80">
        <f t="shared" si="2"/>
        <v>4</v>
      </c>
      <c r="J33" s="80">
        <f t="shared" si="3"/>
        <v>5</v>
      </c>
      <c r="K33" s="80">
        <f t="shared" si="4"/>
        <v>5</v>
      </c>
      <c r="L33" s="80">
        <f t="shared" si="5"/>
        <v>5</v>
      </c>
    </row>
    <row r="34" spans="2:12" x14ac:dyDescent="0.2">
      <c r="B34" s="246">
        <v>3.9</v>
      </c>
      <c r="C34" s="52" t="s">
        <v>302</v>
      </c>
      <c r="D34" s="52" t="s">
        <v>307</v>
      </c>
      <c r="E34" s="52" t="s">
        <v>308</v>
      </c>
      <c r="F34" s="52" t="s">
        <v>309</v>
      </c>
      <c r="G34" s="81">
        <f t="shared" si="0"/>
        <v>4</v>
      </c>
      <c r="H34" s="81">
        <f t="shared" si="1"/>
        <v>5</v>
      </c>
      <c r="I34" s="81">
        <f t="shared" si="2"/>
        <v>5</v>
      </c>
      <c r="J34" s="81">
        <f t="shared" si="3"/>
        <v>5</v>
      </c>
      <c r="K34" s="81">
        <f t="shared" si="4"/>
        <v>5</v>
      </c>
      <c r="L34" s="81">
        <f t="shared" si="5"/>
        <v>5</v>
      </c>
    </row>
    <row r="35" spans="2:12" x14ac:dyDescent="0.2">
      <c r="B35" s="247" t="s">
        <v>528</v>
      </c>
      <c r="C35" s="54" t="s">
        <v>306</v>
      </c>
      <c r="D35" s="54" t="s">
        <v>303</v>
      </c>
      <c r="E35" s="54" t="s">
        <v>308</v>
      </c>
      <c r="F35" s="54" t="s">
        <v>305</v>
      </c>
      <c r="G35" s="80">
        <f t="shared" si="0"/>
        <v>5</v>
      </c>
      <c r="H35" s="80">
        <f t="shared" si="1"/>
        <v>4</v>
      </c>
      <c r="I35" s="80">
        <f t="shared" si="2"/>
        <v>5</v>
      </c>
      <c r="J35" s="80">
        <f t="shared" si="3"/>
        <v>4</v>
      </c>
      <c r="K35" s="80">
        <f t="shared" si="4"/>
        <v>5</v>
      </c>
      <c r="L35" s="80">
        <f t="shared" si="5"/>
        <v>5</v>
      </c>
    </row>
    <row r="36" spans="2:12" ht="25.5" x14ac:dyDescent="0.2">
      <c r="B36" s="246">
        <v>3.11</v>
      </c>
      <c r="C36" s="52" t="s">
        <v>311</v>
      </c>
      <c r="D36" s="52" t="s">
        <v>311</v>
      </c>
      <c r="E36" s="52" t="s">
        <v>311</v>
      </c>
      <c r="F36" s="52" t="s">
        <v>311</v>
      </c>
      <c r="G36" s="81" t="str">
        <f t="shared" si="0"/>
        <v>Unknown - Unscored</v>
      </c>
      <c r="H36" s="81" t="str">
        <f t="shared" si="1"/>
        <v>Unknown - Unscored</v>
      </c>
      <c r="I36" s="81" t="str">
        <f t="shared" si="2"/>
        <v>Unknown - Unscored</v>
      </c>
      <c r="J36" s="81" t="str">
        <f t="shared" si="3"/>
        <v>Unknown - Unscored</v>
      </c>
      <c r="K36" s="81" t="e">
        <f t="shared" si="4"/>
        <v>#DIV/0!</v>
      </c>
      <c r="L36" s="81" t="e">
        <f t="shared" si="5"/>
        <v>#DIV/0!</v>
      </c>
    </row>
    <row r="37" spans="2:12" ht="25.5" x14ac:dyDescent="0.2">
      <c r="B37" s="247">
        <v>3.12</v>
      </c>
      <c r="C37" s="54" t="s">
        <v>311</v>
      </c>
      <c r="D37" s="54" t="s">
        <v>311</v>
      </c>
      <c r="E37" s="54" t="s">
        <v>311</v>
      </c>
      <c r="F37" s="54" t="s">
        <v>311</v>
      </c>
      <c r="G37" s="80" t="str">
        <f t="shared" si="0"/>
        <v>Unknown - Unscored</v>
      </c>
      <c r="H37" s="80" t="str">
        <f t="shared" si="1"/>
        <v>Unknown - Unscored</v>
      </c>
      <c r="I37" s="80" t="str">
        <f t="shared" si="2"/>
        <v>Unknown - Unscored</v>
      </c>
      <c r="J37" s="80" t="str">
        <f t="shared" si="3"/>
        <v>Unknown - Unscored</v>
      </c>
      <c r="K37" s="80" t="e">
        <f t="shared" si="4"/>
        <v>#DIV/0!</v>
      </c>
      <c r="L37" s="80" t="e">
        <f t="shared" si="5"/>
        <v>#DIV/0!</v>
      </c>
    </row>
    <row r="38" spans="2:12" ht="25.5" x14ac:dyDescent="0.2">
      <c r="B38" s="246">
        <v>3.13</v>
      </c>
      <c r="C38" s="52" t="s">
        <v>311</v>
      </c>
      <c r="D38" s="52" t="s">
        <v>311</v>
      </c>
      <c r="E38" s="52" t="s">
        <v>311</v>
      </c>
      <c r="F38" s="52" t="s">
        <v>311</v>
      </c>
      <c r="G38" s="81" t="str">
        <f t="shared" si="0"/>
        <v>Unknown - Unscored</v>
      </c>
      <c r="H38" s="81" t="str">
        <f t="shared" si="1"/>
        <v>Unknown - Unscored</v>
      </c>
      <c r="I38" s="81" t="str">
        <f t="shared" si="2"/>
        <v>Unknown - Unscored</v>
      </c>
      <c r="J38" s="81" t="str">
        <f t="shared" si="3"/>
        <v>Unknown - Unscored</v>
      </c>
      <c r="K38" s="81" t="e">
        <f t="shared" si="4"/>
        <v>#DIV/0!</v>
      </c>
      <c r="L38" s="81" t="e">
        <f t="shared" si="5"/>
        <v>#DIV/0!</v>
      </c>
    </row>
    <row r="39" spans="2:12" ht="25.5" x14ac:dyDescent="0.2">
      <c r="B39" s="247">
        <v>3.14</v>
      </c>
      <c r="C39" s="54" t="s">
        <v>311</v>
      </c>
      <c r="D39" s="54" t="s">
        <v>311</v>
      </c>
      <c r="E39" s="54" t="s">
        <v>311</v>
      </c>
      <c r="F39" s="54" t="s">
        <v>311</v>
      </c>
      <c r="G39" s="80" t="str">
        <f t="shared" si="0"/>
        <v>Unknown - Unscored</v>
      </c>
      <c r="H39" s="80" t="str">
        <f t="shared" si="1"/>
        <v>Unknown - Unscored</v>
      </c>
      <c r="I39" s="80" t="str">
        <f t="shared" si="2"/>
        <v>Unknown - Unscored</v>
      </c>
      <c r="J39" s="80" t="str">
        <f t="shared" si="3"/>
        <v>Unknown - Unscored</v>
      </c>
      <c r="K39" s="80" t="e">
        <f t="shared" si="4"/>
        <v>#DIV/0!</v>
      </c>
      <c r="L39" s="80" t="e">
        <f t="shared" si="5"/>
        <v>#DIV/0!</v>
      </c>
    </row>
    <row r="40" spans="2:12" ht="25.5" x14ac:dyDescent="0.2">
      <c r="B40" s="246">
        <v>4.0999999999999996</v>
      </c>
      <c r="C40" s="52" t="s">
        <v>311</v>
      </c>
      <c r="D40" s="52" t="s">
        <v>311</v>
      </c>
      <c r="E40" s="52" t="s">
        <v>311</v>
      </c>
      <c r="F40" s="52" t="s">
        <v>311</v>
      </c>
      <c r="G40" s="81" t="str">
        <f t="shared" si="0"/>
        <v>Unknown - Unscored</v>
      </c>
      <c r="H40" s="81" t="str">
        <f t="shared" si="1"/>
        <v>Unknown - Unscored</v>
      </c>
      <c r="I40" s="81" t="str">
        <f t="shared" si="2"/>
        <v>Unknown - Unscored</v>
      </c>
      <c r="J40" s="81" t="str">
        <f t="shared" si="3"/>
        <v>Unknown - Unscored</v>
      </c>
      <c r="K40" s="81" t="e">
        <f t="shared" si="4"/>
        <v>#DIV/0!</v>
      </c>
      <c r="L40" s="81" t="e">
        <f t="shared" si="5"/>
        <v>#DIV/0!</v>
      </c>
    </row>
    <row r="41" spans="2:12" x14ac:dyDescent="0.2">
      <c r="B41" s="247">
        <v>4.2</v>
      </c>
      <c r="C41" s="54" t="s">
        <v>306</v>
      </c>
      <c r="D41" s="54" t="s">
        <v>307</v>
      </c>
      <c r="E41" s="54" t="s">
        <v>308</v>
      </c>
      <c r="F41" s="54" t="s">
        <v>309</v>
      </c>
      <c r="G41" s="80">
        <f t="shared" si="0"/>
        <v>5</v>
      </c>
      <c r="H41" s="80">
        <f t="shared" si="1"/>
        <v>5</v>
      </c>
      <c r="I41" s="80">
        <f t="shared" si="2"/>
        <v>5</v>
      </c>
      <c r="J41" s="80">
        <f t="shared" si="3"/>
        <v>5</v>
      </c>
      <c r="K41" s="80">
        <f t="shared" si="4"/>
        <v>5</v>
      </c>
      <c r="L41" s="80">
        <f t="shared" si="5"/>
        <v>5</v>
      </c>
    </row>
    <row r="42" spans="2:12" x14ac:dyDescent="0.2">
      <c r="B42" s="246">
        <v>4.3</v>
      </c>
      <c r="C42" s="52" t="s">
        <v>306</v>
      </c>
      <c r="D42" s="52" t="s">
        <v>307</v>
      </c>
      <c r="E42" s="52" t="s">
        <v>308</v>
      </c>
      <c r="F42" s="52" t="s">
        <v>309</v>
      </c>
      <c r="G42" s="81">
        <f t="shared" si="0"/>
        <v>5</v>
      </c>
      <c r="H42" s="81">
        <f t="shared" si="1"/>
        <v>5</v>
      </c>
      <c r="I42" s="81">
        <f t="shared" si="2"/>
        <v>5</v>
      </c>
      <c r="J42" s="81">
        <f t="shared" si="3"/>
        <v>5</v>
      </c>
      <c r="K42" s="81">
        <f t="shared" si="4"/>
        <v>5</v>
      </c>
      <c r="L42" s="81">
        <f t="shared" si="5"/>
        <v>5</v>
      </c>
    </row>
    <row r="43" spans="2:12" x14ac:dyDescent="0.2">
      <c r="B43" s="247">
        <v>4.4000000000000004</v>
      </c>
      <c r="C43" s="54" t="s">
        <v>306</v>
      </c>
      <c r="D43" s="54" t="s">
        <v>307</v>
      </c>
      <c r="E43" s="54" t="s">
        <v>308</v>
      </c>
      <c r="F43" s="54" t="s">
        <v>309</v>
      </c>
      <c r="G43" s="80">
        <f t="shared" si="0"/>
        <v>5</v>
      </c>
      <c r="H43" s="80">
        <f t="shared" si="1"/>
        <v>5</v>
      </c>
      <c r="I43" s="80">
        <f t="shared" si="2"/>
        <v>5</v>
      </c>
      <c r="J43" s="80">
        <f t="shared" si="3"/>
        <v>5</v>
      </c>
      <c r="K43" s="80">
        <f t="shared" si="4"/>
        <v>5</v>
      </c>
      <c r="L43" s="80">
        <f t="shared" si="5"/>
        <v>5</v>
      </c>
    </row>
    <row r="44" spans="2:12" ht="25.5" x14ac:dyDescent="0.2">
      <c r="B44" s="246">
        <v>4.5</v>
      </c>
      <c r="C44" s="52" t="s">
        <v>311</v>
      </c>
      <c r="D44" s="52" t="s">
        <v>311</v>
      </c>
      <c r="E44" s="52" t="s">
        <v>311</v>
      </c>
      <c r="F44" s="52" t="s">
        <v>311</v>
      </c>
      <c r="G44" s="81" t="str">
        <f t="shared" si="0"/>
        <v>Unknown - Unscored</v>
      </c>
      <c r="H44" s="81" t="str">
        <f t="shared" si="1"/>
        <v>Unknown - Unscored</v>
      </c>
      <c r="I44" s="81" t="str">
        <f t="shared" si="2"/>
        <v>Unknown - Unscored</v>
      </c>
      <c r="J44" s="81" t="str">
        <f t="shared" si="3"/>
        <v>Unknown - Unscored</v>
      </c>
      <c r="K44" s="81" t="e">
        <f t="shared" si="4"/>
        <v>#DIV/0!</v>
      </c>
      <c r="L44" s="81" t="e">
        <f t="shared" si="5"/>
        <v>#DIV/0!</v>
      </c>
    </row>
    <row r="45" spans="2:12" ht="25.5" x14ac:dyDescent="0.2">
      <c r="B45" s="247">
        <v>4.5999999999999996</v>
      </c>
      <c r="C45" s="54" t="s">
        <v>311</v>
      </c>
      <c r="D45" s="54" t="s">
        <v>311</v>
      </c>
      <c r="E45" s="54" t="s">
        <v>311</v>
      </c>
      <c r="F45" s="54" t="s">
        <v>311</v>
      </c>
      <c r="G45" s="80" t="str">
        <f t="shared" si="0"/>
        <v>Unknown - Unscored</v>
      </c>
      <c r="H45" s="80" t="str">
        <f t="shared" si="1"/>
        <v>Unknown - Unscored</v>
      </c>
      <c r="I45" s="80" t="str">
        <f t="shared" si="2"/>
        <v>Unknown - Unscored</v>
      </c>
      <c r="J45" s="80" t="str">
        <f t="shared" si="3"/>
        <v>Unknown - Unscored</v>
      </c>
      <c r="K45" s="80" t="e">
        <f t="shared" si="4"/>
        <v>#DIV/0!</v>
      </c>
      <c r="L45" s="80" t="e">
        <f t="shared" si="5"/>
        <v>#DIV/0!</v>
      </c>
    </row>
    <row r="46" spans="2:12" x14ac:dyDescent="0.2">
      <c r="B46" s="246">
        <v>4.7</v>
      </c>
      <c r="C46" s="52" t="s">
        <v>306</v>
      </c>
      <c r="D46" s="52" t="s">
        <v>307</v>
      </c>
      <c r="E46" s="52" t="s">
        <v>308</v>
      </c>
      <c r="F46" s="52" t="s">
        <v>309</v>
      </c>
      <c r="G46" s="81">
        <f t="shared" ref="G46:G77" si="6">VLOOKUP(C46,$C$4:$G$10,5,FALSE)</f>
        <v>5</v>
      </c>
      <c r="H46" s="81">
        <f t="shared" ref="H46:H77" si="7">VLOOKUP(D46,$D$4:$G$10,4,FALSE)</f>
        <v>5</v>
      </c>
      <c r="I46" s="81">
        <f t="shared" ref="I46:I77" si="8">VLOOKUP(E46,$E$4:$G$10,3,FALSE)</f>
        <v>5</v>
      </c>
      <c r="J46" s="81">
        <f t="shared" ref="J46:J77" si="9">VLOOKUP(F46,$F$4:$G$10,2,FALSE)</f>
        <v>5</v>
      </c>
      <c r="K46" s="81">
        <f t="shared" si="4"/>
        <v>5</v>
      </c>
      <c r="L46" s="81">
        <f t="shared" si="5"/>
        <v>5</v>
      </c>
    </row>
    <row r="47" spans="2:12" x14ac:dyDescent="0.2">
      <c r="B47" s="247">
        <v>4.8</v>
      </c>
      <c r="C47" s="54" t="s">
        <v>306</v>
      </c>
      <c r="D47" s="54" t="s">
        <v>307</v>
      </c>
      <c r="E47" s="54" t="s">
        <v>308</v>
      </c>
      <c r="F47" s="54" t="s">
        <v>309</v>
      </c>
      <c r="G47" s="80">
        <f t="shared" si="6"/>
        <v>5</v>
      </c>
      <c r="H47" s="80">
        <f t="shared" si="7"/>
        <v>5</v>
      </c>
      <c r="I47" s="80">
        <f t="shared" si="8"/>
        <v>5</v>
      </c>
      <c r="J47" s="80">
        <f t="shared" si="9"/>
        <v>5</v>
      </c>
      <c r="K47" s="80">
        <f t="shared" si="4"/>
        <v>5</v>
      </c>
      <c r="L47" s="80">
        <f t="shared" si="5"/>
        <v>5</v>
      </c>
    </row>
    <row r="48" spans="2:12" ht="25.5" x14ac:dyDescent="0.2">
      <c r="B48" s="246">
        <v>4.9000000000000004</v>
      </c>
      <c r="C48" s="52" t="s">
        <v>311</v>
      </c>
      <c r="D48" s="52" t="s">
        <v>311</v>
      </c>
      <c r="E48" s="52" t="s">
        <v>311</v>
      </c>
      <c r="F48" s="52" t="s">
        <v>311</v>
      </c>
      <c r="G48" s="81" t="str">
        <f t="shared" si="6"/>
        <v>Unknown - Unscored</v>
      </c>
      <c r="H48" s="81" t="str">
        <f t="shared" si="7"/>
        <v>Unknown - Unscored</v>
      </c>
      <c r="I48" s="81" t="str">
        <f t="shared" si="8"/>
        <v>Unknown - Unscored</v>
      </c>
      <c r="J48" s="81" t="str">
        <f t="shared" si="9"/>
        <v>Unknown - Unscored</v>
      </c>
      <c r="K48" s="81" t="e">
        <f t="shared" si="4"/>
        <v>#DIV/0!</v>
      </c>
      <c r="L48" s="81" t="e">
        <f t="shared" si="5"/>
        <v>#DIV/0!</v>
      </c>
    </row>
    <row r="49" spans="2:12" ht="25.5" x14ac:dyDescent="0.2">
      <c r="B49" s="247" t="s">
        <v>527</v>
      </c>
      <c r="C49" s="54" t="s">
        <v>311</v>
      </c>
      <c r="D49" s="54" t="s">
        <v>311</v>
      </c>
      <c r="E49" s="54" t="s">
        <v>311</v>
      </c>
      <c r="F49" s="54" t="s">
        <v>311</v>
      </c>
      <c r="G49" s="80" t="str">
        <f t="shared" si="6"/>
        <v>Unknown - Unscored</v>
      </c>
      <c r="H49" s="80" t="str">
        <f t="shared" si="7"/>
        <v>Unknown - Unscored</v>
      </c>
      <c r="I49" s="80" t="str">
        <f t="shared" si="8"/>
        <v>Unknown - Unscored</v>
      </c>
      <c r="J49" s="80" t="str">
        <f t="shared" si="9"/>
        <v>Unknown - Unscored</v>
      </c>
      <c r="K49" s="80" t="e">
        <f t="shared" si="4"/>
        <v>#DIV/0!</v>
      </c>
      <c r="L49" s="80" t="e">
        <f t="shared" si="5"/>
        <v>#DIV/0!</v>
      </c>
    </row>
    <row r="50" spans="2:12" ht="25.5" x14ac:dyDescent="0.2">
      <c r="B50" s="246">
        <v>4.1100000000000003</v>
      </c>
      <c r="C50" s="52" t="s">
        <v>311</v>
      </c>
      <c r="D50" s="52" t="s">
        <v>311</v>
      </c>
      <c r="E50" s="52" t="s">
        <v>311</v>
      </c>
      <c r="F50" s="52" t="s">
        <v>311</v>
      </c>
      <c r="G50" s="81" t="str">
        <f t="shared" si="6"/>
        <v>Unknown - Unscored</v>
      </c>
      <c r="H50" s="81" t="str">
        <f t="shared" si="7"/>
        <v>Unknown - Unscored</v>
      </c>
      <c r="I50" s="81" t="str">
        <f t="shared" si="8"/>
        <v>Unknown - Unscored</v>
      </c>
      <c r="J50" s="81" t="str">
        <f t="shared" si="9"/>
        <v>Unknown - Unscored</v>
      </c>
      <c r="K50" s="81" t="e">
        <f t="shared" si="4"/>
        <v>#DIV/0!</v>
      </c>
      <c r="L50" s="81" t="e">
        <f t="shared" si="5"/>
        <v>#DIV/0!</v>
      </c>
    </row>
    <row r="51" spans="2:12" ht="25.5" x14ac:dyDescent="0.2">
      <c r="B51" s="247">
        <v>4.12</v>
      </c>
      <c r="C51" s="54" t="s">
        <v>311</v>
      </c>
      <c r="D51" s="54" t="s">
        <v>311</v>
      </c>
      <c r="E51" s="54" t="s">
        <v>311</v>
      </c>
      <c r="F51" s="54" t="s">
        <v>311</v>
      </c>
      <c r="G51" s="80" t="str">
        <f t="shared" si="6"/>
        <v>Unknown - Unscored</v>
      </c>
      <c r="H51" s="80" t="str">
        <f t="shared" si="7"/>
        <v>Unknown - Unscored</v>
      </c>
      <c r="I51" s="80" t="str">
        <f t="shared" si="8"/>
        <v>Unknown - Unscored</v>
      </c>
      <c r="J51" s="80" t="str">
        <f t="shared" si="9"/>
        <v>Unknown - Unscored</v>
      </c>
      <c r="K51" s="80" t="e">
        <f t="shared" si="4"/>
        <v>#DIV/0!</v>
      </c>
      <c r="L51" s="80" t="e">
        <f t="shared" si="5"/>
        <v>#DIV/0!</v>
      </c>
    </row>
    <row r="52" spans="2:12" ht="25.5" x14ac:dyDescent="0.2">
      <c r="B52" s="246">
        <v>5.0999999999999996</v>
      </c>
      <c r="C52" s="52" t="s">
        <v>311</v>
      </c>
      <c r="D52" s="52" t="s">
        <v>311</v>
      </c>
      <c r="E52" s="52" t="s">
        <v>311</v>
      </c>
      <c r="F52" s="52" t="s">
        <v>311</v>
      </c>
      <c r="G52" s="81" t="str">
        <f t="shared" si="6"/>
        <v>Unknown - Unscored</v>
      </c>
      <c r="H52" s="81" t="str">
        <f t="shared" si="7"/>
        <v>Unknown - Unscored</v>
      </c>
      <c r="I52" s="81" t="str">
        <f t="shared" si="8"/>
        <v>Unknown - Unscored</v>
      </c>
      <c r="J52" s="81" t="str">
        <f t="shared" si="9"/>
        <v>Unknown - Unscored</v>
      </c>
      <c r="K52" s="81" t="e">
        <f t="shared" si="4"/>
        <v>#DIV/0!</v>
      </c>
      <c r="L52" s="81" t="e">
        <f t="shared" si="5"/>
        <v>#DIV/0!</v>
      </c>
    </row>
    <row r="53" spans="2:12" ht="25.5" x14ac:dyDescent="0.2">
      <c r="B53" s="247">
        <v>5.2</v>
      </c>
      <c r="C53" s="54" t="s">
        <v>311</v>
      </c>
      <c r="D53" s="54" t="s">
        <v>311</v>
      </c>
      <c r="E53" s="54" t="s">
        <v>311</v>
      </c>
      <c r="F53" s="54" t="s">
        <v>311</v>
      </c>
      <c r="G53" s="80" t="str">
        <f t="shared" si="6"/>
        <v>Unknown - Unscored</v>
      </c>
      <c r="H53" s="80" t="str">
        <f t="shared" si="7"/>
        <v>Unknown - Unscored</v>
      </c>
      <c r="I53" s="80" t="str">
        <f t="shared" si="8"/>
        <v>Unknown - Unscored</v>
      </c>
      <c r="J53" s="80" t="str">
        <f t="shared" si="9"/>
        <v>Unknown - Unscored</v>
      </c>
      <c r="K53" s="80" t="e">
        <f t="shared" si="4"/>
        <v>#DIV/0!</v>
      </c>
      <c r="L53" s="80" t="e">
        <f t="shared" si="5"/>
        <v>#DIV/0!</v>
      </c>
    </row>
    <row r="54" spans="2:12" x14ac:dyDescent="0.2">
      <c r="B54" s="246">
        <v>5.3</v>
      </c>
      <c r="C54" s="52" t="s">
        <v>306</v>
      </c>
      <c r="D54" s="52" t="s">
        <v>307</v>
      </c>
      <c r="E54" s="52" t="s">
        <v>308</v>
      </c>
      <c r="F54" s="52" t="s">
        <v>313</v>
      </c>
      <c r="G54" s="81">
        <f t="shared" si="6"/>
        <v>5</v>
      </c>
      <c r="H54" s="81">
        <f t="shared" si="7"/>
        <v>5</v>
      </c>
      <c r="I54" s="81">
        <f t="shared" si="8"/>
        <v>5</v>
      </c>
      <c r="J54" s="81" t="str">
        <f t="shared" si="9"/>
        <v>Unknown - N/A</v>
      </c>
      <c r="K54" s="81">
        <f t="shared" si="4"/>
        <v>5</v>
      </c>
      <c r="L54" s="81">
        <f t="shared" si="5"/>
        <v>5</v>
      </c>
    </row>
    <row r="55" spans="2:12" ht="25.5" x14ac:dyDescent="0.2">
      <c r="B55" s="247">
        <v>5.4</v>
      </c>
      <c r="C55" s="54" t="s">
        <v>311</v>
      </c>
      <c r="D55" s="54" t="s">
        <v>311</v>
      </c>
      <c r="E55" s="54" t="s">
        <v>311</v>
      </c>
      <c r="F55" s="54" t="s">
        <v>311</v>
      </c>
      <c r="G55" s="80" t="str">
        <f t="shared" si="6"/>
        <v>Unknown - Unscored</v>
      </c>
      <c r="H55" s="80" t="str">
        <f t="shared" si="7"/>
        <v>Unknown - Unscored</v>
      </c>
      <c r="I55" s="80" t="str">
        <f t="shared" si="8"/>
        <v>Unknown - Unscored</v>
      </c>
      <c r="J55" s="80" t="str">
        <f t="shared" si="9"/>
        <v>Unknown - Unscored</v>
      </c>
      <c r="K55" s="80" t="e">
        <f t="shared" si="4"/>
        <v>#DIV/0!</v>
      </c>
      <c r="L55" s="80" t="e">
        <f t="shared" si="5"/>
        <v>#DIV/0!</v>
      </c>
    </row>
    <row r="56" spans="2:12" ht="25.5" x14ac:dyDescent="0.2">
      <c r="B56" s="246">
        <v>5.5</v>
      </c>
      <c r="C56" s="52" t="s">
        <v>311</v>
      </c>
      <c r="D56" s="52" t="s">
        <v>311</v>
      </c>
      <c r="E56" s="52" t="s">
        <v>311</v>
      </c>
      <c r="F56" s="52" t="s">
        <v>311</v>
      </c>
      <c r="G56" s="81" t="str">
        <f t="shared" si="6"/>
        <v>Unknown - Unscored</v>
      </c>
      <c r="H56" s="81" t="str">
        <f t="shared" si="7"/>
        <v>Unknown - Unscored</v>
      </c>
      <c r="I56" s="81" t="str">
        <f t="shared" si="8"/>
        <v>Unknown - Unscored</v>
      </c>
      <c r="J56" s="81" t="str">
        <f t="shared" si="9"/>
        <v>Unknown - Unscored</v>
      </c>
      <c r="K56" s="81" t="e">
        <f t="shared" si="4"/>
        <v>#DIV/0!</v>
      </c>
      <c r="L56" s="81" t="e">
        <f t="shared" si="5"/>
        <v>#DIV/0!</v>
      </c>
    </row>
    <row r="57" spans="2:12" x14ac:dyDescent="0.2">
      <c r="B57" s="247">
        <v>5.6</v>
      </c>
      <c r="C57" s="54" t="s">
        <v>290</v>
      </c>
      <c r="D57" s="54" t="s">
        <v>291</v>
      </c>
      <c r="E57" s="54" t="s">
        <v>296</v>
      </c>
      <c r="F57" s="54" t="s">
        <v>293</v>
      </c>
      <c r="G57" s="80">
        <f t="shared" si="6"/>
        <v>1</v>
      </c>
      <c r="H57" s="80">
        <f t="shared" si="7"/>
        <v>1</v>
      </c>
      <c r="I57" s="80">
        <f t="shared" si="8"/>
        <v>2</v>
      </c>
      <c r="J57" s="80">
        <f t="shared" si="9"/>
        <v>1</v>
      </c>
      <c r="K57" s="80">
        <f t="shared" si="4"/>
        <v>1</v>
      </c>
      <c r="L57" s="80">
        <f t="shared" si="5"/>
        <v>1</v>
      </c>
    </row>
    <row r="58" spans="2:12" x14ac:dyDescent="0.2">
      <c r="B58" s="246">
        <v>6.1</v>
      </c>
      <c r="C58" s="52" t="s">
        <v>290</v>
      </c>
      <c r="D58" s="52" t="s">
        <v>291</v>
      </c>
      <c r="E58" s="52" t="s">
        <v>292</v>
      </c>
      <c r="F58" s="52" t="s">
        <v>293</v>
      </c>
      <c r="G58" s="81">
        <f t="shared" si="6"/>
        <v>1</v>
      </c>
      <c r="H58" s="81">
        <f t="shared" si="7"/>
        <v>1</v>
      </c>
      <c r="I58" s="81">
        <f t="shared" si="8"/>
        <v>1</v>
      </c>
      <c r="J58" s="81">
        <f t="shared" si="9"/>
        <v>1</v>
      </c>
      <c r="K58" s="81">
        <f t="shared" si="4"/>
        <v>1</v>
      </c>
      <c r="L58" s="81">
        <f t="shared" si="5"/>
        <v>1</v>
      </c>
    </row>
    <row r="59" spans="2:12" x14ac:dyDescent="0.2">
      <c r="B59" s="247">
        <v>6.2</v>
      </c>
      <c r="C59" s="54" t="s">
        <v>306</v>
      </c>
      <c r="D59" s="54" t="s">
        <v>303</v>
      </c>
      <c r="E59" s="54" t="s">
        <v>304</v>
      </c>
      <c r="F59" s="54" t="s">
        <v>305</v>
      </c>
      <c r="G59" s="80">
        <f t="shared" si="6"/>
        <v>5</v>
      </c>
      <c r="H59" s="80">
        <f t="shared" si="7"/>
        <v>4</v>
      </c>
      <c r="I59" s="80">
        <f t="shared" si="8"/>
        <v>4</v>
      </c>
      <c r="J59" s="80">
        <f t="shared" si="9"/>
        <v>4</v>
      </c>
      <c r="K59" s="80">
        <f t="shared" si="4"/>
        <v>4</v>
      </c>
      <c r="L59" s="80">
        <f t="shared" si="5"/>
        <v>4</v>
      </c>
    </row>
    <row r="60" spans="2:12" x14ac:dyDescent="0.2">
      <c r="B60" s="246">
        <v>6.3</v>
      </c>
      <c r="C60" s="52" t="s">
        <v>302</v>
      </c>
      <c r="D60" s="52" t="s">
        <v>303</v>
      </c>
      <c r="E60" s="52" t="s">
        <v>308</v>
      </c>
      <c r="F60" s="52" t="s">
        <v>301</v>
      </c>
      <c r="G60" s="81">
        <f t="shared" si="6"/>
        <v>4</v>
      </c>
      <c r="H60" s="81">
        <f t="shared" si="7"/>
        <v>4</v>
      </c>
      <c r="I60" s="81">
        <f t="shared" si="8"/>
        <v>5</v>
      </c>
      <c r="J60" s="81">
        <f t="shared" si="9"/>
        <v>3</v>
      </c>
      <c r="K60" s="81">
        <f t="shared" si="4"/>
        <v>4</v>
      </c>
      <c r="L60" s="81">
        <f t="shared" si="5"/>
        <v>4</v>
      </c>
    </row>
    <row r="61" spans="2:12" x14ac:dyDescent="0.2">
      <c r="B61" s="247">
        <v>6.4</v>
      </c>
      <c r="C61" s="54" t="s">
        <v>298</v>
      </c>
      <c r="D61" s="54" t="s">
        <v>303</v>
      </c>
      <c r="E61" s="54" t="s">
        <v>304</v>
      </c>
      <c r="F61" s="54" t="s">
        <v>309</v>
      </c>
      <c r="G61" s="80">
        <f t="shared" si="6"/>
        <v>3</v>
      </c>
      <c r="H61" s="80">
        <f t="shared" si="7"/>
        <v>4</v>
      </c>
      <c r="I61" s="80">
        <f t="shared" si="8"/>
        <v>4</v>
      </c>
      <c r="J61" s="80">
        <f t="shared" si="9"/>
        <v>5</v>
      </c>
      <c r="K61" s="80">
        <f t="shared" si="4"/>
        <v>4</v>
      </c>
      <c r="L61" s="80">
        <f t="shared" si="5"/>
        <v>4</v>
      </c>
    </row>
    <row r="62" spans="2:12" x14ac:dyDescent="0.2">
      <c r="B62" s="246">
        <v>6.5</v>
      </c>
      <c r="C62" s="52" t="s">
        <v>302</v>
      </c>
      <c r="D62" s="52" t="s">
        <v>307</v>
      </c>
      <c r="E62" s="52" t="s">
        <v>304</v>
      </c>
      <c r="F62" s="52" t="s">
        <v>309</v>
      </c>
      <c r="G62" s="81">
        <f t="shared" si="6"/>
        <v>4</v>
      </c>
      <c r="H62" s="81">
        <f t="shared" si="7"/>
        <v>5</v>
      </c>
      <c r="I62" s="81">
        <f t="shared" si="8"/>
        <v>4</v>
      </c>
      <c r="J62" s="81">
        <f t="shared" si="9"/>
        <v>5</v>
      </c>
      <c r="K62" s="81">
        <f t="shared" si="4"/>
        <v>5</v>
      </c>
      <c r="L62" s="81">
        <f t="shared" si="5"/>
        <v>5</v>
      </c>
    </row>
    <row r="63" spans="2:12" x14ac:dyDescent="0.2">
      <c r="B63" s="247">
        <v>6.6</v>
      </c>
      <c r="C63" s="54" t="s">
        <v>302</v>
      </c>
      <c r="D63" s="54" t="s">
        <v>307</v>
      </c>
      <c r="E63" s="54" t="s">
        <v>308</v>
      </c>
      <c r="F63" s="54" t="s">
        <v>309</v>
      </c>
      <c r="G63" s="80">
        <f t="shared" si="6"/>
        <v>4</v>
      </c>
      <c r="H63" s="80">
        <f t="shared" si="7"/>
        <v>5</v>
      </c>
      <c r="I63" s="80">
        <f t="shared" si="8"/>
        <v>5</v>
      </c>
      <c r="J63" s="80">
        <f t="shared" si="9"/>
        <v>5</v>
      </c>
      <c r="K63" s="80">
        <f t="shared" si="4"/>
        <v>5</v>
      </c>
      <c r="L63" s="80">
        <f t="shared" si="5"/>
        <v>5</v>
      </c>
    </row>
    <row r="64" spans="2:12" x14ac:dyDescent="0.2">
      <c r="B64" s="246">
        <v>6.7</v>
      </c>
      <c r="C64" s="52" t="s">
        <v>306</v>
      </c>
      <c r="D64" s="52" t="s">
        <v>303</v>
      </c>
      <c r="E64" s="52" t="s">
        <v>308</v>
      </c>
      <c r="F64" s="52" t="s">
        <v>305</v>
      </c>
      <c r="G64" s="81">
        <f t="shared" si="6"/>
        <v>5</v>
      </c>
      <c r="H64" s="81">
        <f t="shared" si="7"/>
        <v>4</v>
      </c>
      <c r="I64" s="81">
        <f t="shared" si="8"/>
        <v>5</v>
      </c>
      <c r="J64" s="81">
        <f t="shared" si="9"/>
        <v>4</v>
      </c>
      <c r="K64" s="81">
        <f t="shared" si="4"/>
        <v>5</v>
      </c>
      <c r="L64" s="81">
        <f t="shared" si="5"/>
        <v>5</v>
      </c>
    </row>
    <row r="65" spans="2:12" x14ac:dyDescent="0.2">
      <c r="B65" s="247">
        <v>6.8</v>
      </c>
      <c r="C65" s="54" t="s">
        <v>298</v>
      </c>
      <c r="D65" s="54" t="s">
        <v>303</v>
      </c>
      <c r="E65" s="54" t="s">
        <v>304</v>
      </c>
      <c r="F65" s="54" t="s">
        <v>309</v>
      </c>
      <c r="G65" s="80">
        <f t="shared" si="6"/>
        <v>3</v>
      </c>
      <c r="H65" s="80">
        <f t="shared" si="7"/>
        <v>4</v>
      </c>
      <c r="I65" s="80">
        <f t="shared" si="8"/>
        <v>4</v>
      </c>
      <c r="J65" s="80">
        <f t="shared" si="9"/>
        <v>5</v>
      </c>
      <c r="K65" s="80">
        <f t="shared" si="4"/>
        <v>4</v>
      </c>
      <c r="L65" s="80">
        <f t="shared" si="5"/>
        <v>4</v>
      </c>
    </row>
    <row r="66" spans="2:12" x14ac:dyDescent="0.2">
      <c r="B66" s="246">
        <v>7.1</v>
      </c>
      <c r="C66" s="52" t="s">
        <v>302</v>
      </c>
      <c r="D66" s="52" t="s">
        <v>307</v>
      </c>
      <c r="E66" s="52" t="s">
        <v>304</v>
      </c>
      <c r="F66" s="52" t="s">
        <v>309</v>
      </c>
      <c r="G66" s="81">
        <f t="shared" si="6"/>
        <v>4</v>
      </c>
      <c r="H66" s="81">
        <f t="shared" si="7"/>
        <v>5</v>
      </c>
      <c r="I66" s="81">
        <f t="shared" si="8"/>
        <v>4</v>
      </c>
      <c r="J66" s="81">
        <f t="shared" si="9"/>
        <v>5</v>
      </c>
      <c r="K66" s="81">
        <f t="shared" si="4"/>
        <v>5</v>
      </c>
      <c r="L66" s="81">
        <f t="shared" si="5"/>
        <v>5</v>
      </c>
    </row>
    <row r="67" spans="2:12" x14ac:dyDescent="0.2">
      <c r="B67" s="247">
        <v>7.2</v>
      </c>
      <c r="C67" s="54" t="s">
        <v>302</v>
      </c>
      <c r="D67" s="54" t="s">
        <v>307</v>
      </c>
      <c r="E67" s="54" t="s">
        <v>308</v>
      </c>
      <c r="F67" s="54" t="s">
        <v>309</v>
      </c>
      <c r="G67" s="80">
        <f t="shared" si="6"/>
        <v>4</v>
      </c>
      <c r="H67" s="80">
        <f t="shared" si="7"/>
        <v>5</v>
      </c>
      <c r="I67" s="80">
        <f t="shared" si="8"/>
        <v>5</v>
      </c>
      <c r="J67" s="80">
        <f t="shared" si="9"/>
        <v>5</v>
      </c>
      <c r="K67" s="80">
        <f t="shared" si="4"/>
        <v>5</v>
      </c>
      <c r="L67" s="80">
        <f t="shared" si="5"/>
        <v>5</v>
      </c>
    </row>
    <row r="68" spans="2:12" x14ac:dyDescent="0.2">
      <c r="B68" s="246">
        <v>7.3</v>
      </c>
      <c r="C68" s="52" t="s">
        <v>290</v>
      </c>
      <c r="D68" s="52" t="s">
        <v>291</v>
      </c>
      <c r="E68" s="52" t="s">
        <v>296</v>
      </c>
      <c r="F68" s="52" t="s">
        <v>293</v>
      </c>
      <c r="G68" s="81">
        <f t="shared" si="6"/>
        <v>1</v>
      </c>
      <c r="H68" s="81">
        <f t="shared" si="7"/>
        <v>1</v>
      </c>
      <c r="I68" s="81">
        <f t="shared" si="8"/>
        <v>2</v>
      </c>
      <c r="J68" s="81">
        <f t="shared" si="9"/>
        <v>1</v>
      </c>
      <c r="K68" s="81">
        <f t="shared" si="4"/>
        <v>1</v>
      </c>
      <c r="L68" s="81">
        <f t="shared" si="5"/>
        <v>1</v>
      </c>
    </row>
    <row r="69" spans="2:12" x14ac:dyDescent="0.2">
      <c r="B69" s="247">
        <v>7.4</v>
      </c>
      <c r="C69" s="54" t="s">
        <v>290</v>
      </c>
      <c r="D69" s="54" t="s">
        <v>291</v>
      </c>
      <c r="E69" s="54" t="s">
        <v>292</v>
      </c>
      <c r="F69" s="54" t="s">
        <v>293</v>
      </c>
      <c r="G69" s="80">
        <f t="shared" si="6"/>
        <v>1</v>
      </c>
      <c r="H69" s="80">
        <f t="shared" si="7"/>
        <v>1</v>
      </c>
      <c r="I69" s="80">
        <f t="shared" si="8"/>
        <v>1</v>
      </c>
      <c r="J69" s="80">
        <f t="shared" si="9"/>
        <v>1</v>
      </c>
      <c r="K69" s="80">
        <f t="shared" si="4"/>
        <v>1</v>
      </c>
      <c r="L69" s="80">
        <f t="shared" si="5"/>
        <v>1</v>
      </c>
    </row>
    <row r="70" spans="2:12" x14ac:dyDescent="0.2">
      <c r="B70" s="246">
        <v>7.5</v>
      </c>
      <c r="C70" s="57"/>
      <c r="D70" s="57"/>
      <c r="E70" s="57"/>
      <c r="F70" s="57"/>
      <c r="G70" s="81" t="e">
        <f t="shared" si="6"/>
        <v>#N/A</v>
      </c>
      <c r="H70" s="81" t="e">
        <f t="shared" si="7"/>
        <v>#N/A</v>
      </c>
      <c r="I70" s="81" t="e">
        <f t="shared" si="8"/>
        <v>#N/A</v>
      </c>
      <c r="J70" s="81" t="e">
        <f t="shared" si="9"/>
        <v>#N/A</v>
      </c>
      <c r="K70" s="81" t="e">
        <f t="shared" si="4"/>
        <v>#N/A</v>
      </c>
      <c r="L70" s="81" t="e">
        <f t="shared" si="5"/>
        <v>#N/A</v>
      </c>
    </row>
    <row r="71" spans="2:12" x14ac:dyDescent="0.2">
      <c r="B71" s="247">
        <v>7.6</v>
      </c>
      <c r="C71" s="56"/>
      <c r="D71" s="56"/>
      <c r="E71" s="56"/>
      <c r="F71" s="56"/>
      <c r="G71" s="80" t="e">
        <f t="shared" si="6"/>
        <v>#N/A</v>
      </c>
      <c r="H71" s="80" t="e">
        <f t="shared" si="7"/>
        <v>#N/A</v>
      </c>
      <c r="I71" s="80" t="e">
        <f t="shared" si="8"/>
        <v>#N/A</v>
      </c>
      <c r="J71" s="80" t="e">
        <f t="shared" si="9"/>
        <v>#N/A</v>
      </c>
      <c r="K71" s="80" t="e">
        <f t="shared" si="4"/>
        <v>#N/A</v>
      </c>
      <c r="L71" s="80" t="e">
        <f t="shared" si="5"/>
        <v>#N/A</v>
      </c>
    </row>
    <row r="72" spans="2:12" x14ac:dyDescent="0.2">
      <c r="B72" s="246">
        <v>7.7</v>
      </c>
      <c r="C72" s="57"/>
      <c r="D72" s="57"/>
      <c r="E72" s="57"/>
      <c r="F72" s="57"/>
      <c r="G72" s="81" t="e">
        <f t="shared" si="6"/>
        <v>#N/A</v>
      </c>
      <c r="H72" s="81" t="e">
        <f t="shared" si="7"/>
        <v>#N/A</v>
      </c>
      <c r="I72" s="81" t="e">
        <f t="shared" si="8"/>
        <v>#N/A</v>
      </c>
      <c r="J72" s="81" t="e">
        <f t="shared" si="9"/>
        <v>#N/A</v>
      </c>
      <c r="K72" s="81" t="e">
        <f t="shared" si="4"/>
        <v>#N/A</v>
      </c>
      <c r="L72" s="81" t="e">
        <f t="shared" si="5"/>
        <v>#N/A</v>
      </c>
    </row>
    <row r="73" spans="2:12" x14ac:dyDescent="0.2">
      <c r="B73" s="247">
        <v>8.1</v>
      </c>
      <c r="C73" s="56"/>
      <c r="D73" s="56"/>
      <c r="E73" s="56"/>
      <c r="F73" s="56"/>
      <c r="G73" s="80" t="e">
        <f t="shared" si="6"/>
        <v>#N/A</v>
      </c>
      <c r="H73" s="80" t="e">
        <f t="shared" si="7"/>
        <v>#N/A</v>
      </c>
      <c r="I73" s="80" t="e">
        <f t="shared" si="8"/>
        <v>#N/A</v>
      </c>
      <c r="J73" s="80" t="e">
        <f t="shared" si="9"/>
        <v>#N/A</v>
      </c>
      <c r="K73" s="80" t="e">
        <f t="shared" si="4"/>
        <v>#N/A</v>
      </c>
      <c r="L73" s="80" t="e">
        <f t="shared" si="5"/>
        <v>#N/A</v>
      </c>
    </row>
    <row r="74" spans="2:12" x14ac:dyDescent="0.2">
      <c r="B74" s="246">
        <v>8.1999999999999993</v>
      </c>
      <c r="C74" s="57"/>
      <c r="D74" s="57"/>
      <c r="E74" s="57"/>
      <c r="F74" s="57"/>
      <c r="G74" s="81" t="e">
        <f t="shared" si="6"/>
        <v>#N/A</v>
      </c>
      <c r="H74" s="81" t="e">
        <f t="shared" si="7"/>
        <v>#N/A</v>
      </c>
      <c r="I74" s="81" t="e">
        <f t="shared" si="8"/>
        <v>#N/A</v>
      </c>
      <c r="J74" s="81" t="e">
        <f t="shared" si="9"/>
        <v>#N/A</v>
      </c>
      <c r="K74" s="81" t="e">
        <f t="shared" si="4"/>
        <v>#N/A</v>
      </c>
      <c r="L74" s="81" t="e">
        <f t="shared" si="5"/>
        <v>#N/A</v>
      </c>
    </row>
    <row r="75" spans="2:12" x14ac:dyDescent="0.2">
      <c r="B75" s="247">
        <v>8.3000000000000007</v>
      </c>
      <c r="C75" s="56"/>
      <c r="D75" s="56"/>
      <c r="E75" s="56"/>
      <c r="F75" s="56"/>
      <c r="G75" s="80" t="e">
        <f t="shared" si="6"/>
        <v>#N/A</v>
      </c>
      <c r="H75" s="80" t="e">
        <f t="shared" si="7"/>
        <v>#N/A</v>
      </c>
      <c r="I75" s="80" t="e">
        <f t="shared" si="8"/>
        <v>#N/A</v>
      </c>
      <c r="J75" s="80" t="e">
        <f t="shared" si="9"/>
        <v>#N/A</v>
      </c>
      <c r="K75" s="80" t="e">
        <f t="shared" si="4"/>
        <v>#N/A</v>
      </c>
      <c r="L75" s="80" t="e">
        <f t="shared" si="5"/>
        <v>#N/A</v>
      </c>
    </row>
    <row r="76" spans="2:12" x14ac:dyDescent="0.2">
      <c r="B76" s="246">
        <v>8.4</v>
      </c>
      <c r="C76" s="57"/>
      <c r="D76" s="57"/>
      <c r="E76" s="57"/>
      <c r="F76" s="57"/>
      <c r="G76" s="81" t="e">
        <f t="shared" si="6"/>
        <v>#N/A</v>
      </c>
      <c r="H76" s="81" t="e">
        <f t="shared" si="7"/>
        <v>#N/A</v>
      </c>
      <c r="I76" s="81" t="e">
        <f t="shared" si="8"/>
        <v>#N/A</v>
      </c>
      <c r="J76" s="81" t="e">
        <f t="shared" si="9"/>
        <v>#N/A</v>
      </c>
      <c r="K76" s="81" t="e">
        <f t="shared" si="4"/>
        <v>#N/A</v>
      </c>
      <c r="L76" s="81" t="e">
        <f t="shared" si="5"/>
        <v>#N/A</v>
      </c>
    </row>
    <row r="77" spans="2:12" x14ac:dyDescent="0.2">
      <c r="B77" s="247">
        <v>8.5</v>
      </c>
      <c r="C77" s="56"/>
      <c r="D77" s="56"/>
      <c r="E77" s="56"/>
      <c r="F77" s="56"/>
      <c r="G77" s="80" t="e">
        <f t="shared" si="6"/>
        <v>#N/A</v>
      </c>
      <c r="H77" s="80" t="e">
        <f t="shared" si="7"/>
        <v>#N/A</v>
      </c>
      <c r="I77" s="80" t="e">
        <f t="shared" si="8"/>
        <v>#N/A</v>
      </c>
      <c r="J77" s="80" t="e">
        <f t="shared" si="9"/>
        <v>#N/A</v>
      </c>
      <c r="K77" s="80" t="e">
        <f t="shared" si="4"/>
        <v>#N/A</v>
      </c>
      <c r="L77" s="80" t="e">
        <f t="shared" si="5"/>
        <v>#N/A</v>
      </c>
    </row>
    <row r="78" spans="2:12" x14ac:dyDescent="0.2">
      <c r="B78" s="246">
        <v>8.6</v>
      </c>
      <c r="C78" s="57"/>
      <c r="D78" s="57"/>
      <c r="E78" s="57"/>
      <c r="F78" s="57"/>
      <c r="G78" s="81" t="e">
        <f t="shared" ref="G78:G109" si="10">VLOOKUP(C78,$C$4:$G$10,5,FALSE)</f>
        <v>#N/A</v>
      </c>
      <c r="H78" s="81" t="e">
        <f t="shared" ref="H78:H109" si="11">VLOOKUP(D78,$D$4:$G$10,4,FALSE)</f>
        <v>#N/A</v>
      </c>
      <c r="I78" s="81" t="e">
        <f t="shared" ref="I78:I109" si="12">VLOOKUP(E78,$E$4:$G$10,3,FALSE)</f>
        <v>#N/A</v>
      </c>
      <c r="J78" s="81" t="e">
        <f t="shared" ref="J78:J109" si="13">VLOOKUP(F78,$F$4:$G$10,2,FALSE)</f>
        <v>#N/A</v>
      </c>
      <c r="K78" s="81" t="e">
        <f t="shared" si="4"/>
        <v>#N/A</v>
      </c>
      <c r="L78" s="81" t="e">
        <f t="shared" si="5"/>
        <v>#N/A</v>
      </c>
    </row>
    <row r="79" spans="2:12" x14ac:dyDescent="0.2">
      <c r="B79" s="247">
        <v>8.6999999999999993</v>
      </c>
      <c r="C79" s="56"/>
      <c r="D79" s="56"/>
      <c r="E79" s="56"/>
      <c r="F79" s="56"/>
      <c r="G79" s="80" t="e">
        <f t="shared" si="10"/>
        <v>#N/A</v>
      </c>
      <c r="H79" s="80" t="e">
        <f t="shared" si="11"/>
        <v>#N/A</v>
      </c>
      <c r="I79" s="80" t="e">
        <f t="shared" si="12"/>
        <v>#N/A</v>
      </c>
      <c r="J79" s="80" t="e">
        <f t="shared" si="13"/>
        <v>#N/A</v>
      </c>
      <c r="K79" s="80" t="e">
        <f t="shared" ref="K79:K142" si="14">ROUND(AVERAGE(G79:J79),0)</f>
        <v>#N/A</v>
      </c>
      <c r="L79" s="80" t="e">
        <f t="shared" ref="L79:L142" si="15">K79</f>
        <v>#N/A</v>
      </c>
    </row>
    <row r="80" spans="2:12" x14ac:dyDescent="0.2">
      <c r="B80" s="246">
        <v>8.8000000000000007</v>
      </c>
      <c r="C80" s="57"/>
      <c r="D80" s="57"/>
      <c r="E80" s="57"/>
      <c r="F80" s="57"/>
      <c r="G80" s="81" t="e">
        <f t="shared" si="10"/>
        <v>#N/A</v>
      </c>
      <c r="H80" s="81" t="e">
        <f t="shared" si="11"/>
        <v>#N/A</v>
      </c>
      <c r="I80" s="81" t="e">
        <f t="shared" si="12"/>
        <v>#N/A</v>
      </c>
      <c r="J80" s="81" t="e">
        <f t="shared" si="13"/>
        <v>#N/A</v>
      </c>
      <c r="K80" s="81" t="e">
        <f t="shared" si="14"/>
        <v>#N/A</v>
      </c>
      <c r="L80" s="81" t="e">
        <f t="shared" si="15"/>
        <v>#N/A</v>
      </c>
    </row>
    <row r="81" spans="2:12" x14ac:dyDescent="0.2">
      <c r="B81" s="247">
        <v>8.9</v>
      </c>
      <c r="C81" s="56"/>
      <c r="D81" s="56"/>
      <c r="E81" s="56"/>
      <c r="F81" s="56"/>
      <c r="G81" s="80" t="e">
        <f t="shared" si="10"/>
        <v>#N/A</v>
      </c>
      <c r="H81" s="80" t="e">
        <f t="shared" si="11"/>
        <v>#N/A</v>
      </c>
      <c r="I81" s="80" t="e">
        <f t="shared" si="12"/>
        <v>#N/A</v>
      </c>
      <c r="J81" s="80" t="e">
        <f t="shared" si="13"/>
        <v>#N/A</v>
      </c>
      <c r="K81" s="80" t="e">
        <f t="shared" si="14"/>
        <v>#N/A</v>
      </c>
      <c r="L81" s="80" t="e">
        <f t="shared" si="15"/>
        <v>#N/A</v>
      </c>
    </row>
    <row r="82" spans="2:12" x14ac:dyDescent="0.2">
      <c r="B82" s="246" t="s">
        <v>530</v>
      </c>
      <c r="C82" s="57"/>
      <c r="D82" s="57"/>
      <c r="E82" s="57"/>
      <c r="F82" s="57"/>
      <c r="G82" s="81" t="e">
        <f t="shared" si="10"/>
        <v>#N/A</v>
      </c>
      <c r="H82" s="81" t="e">
        <f t="shared" si="11"/>
        <v>#N/A</v>
      </c>
      <c r="I82" s="81" t="e">
        <f t="shared" si="12"/>
        <v>#N/A</v>
      </c>
      <c r="J82" s="81" t="e">
        <f t="shared" si="13"/>
        <v>#N/A</v>
      </c>
      <c r="K82" s="81" t="e">
        <f t="shared" si="14"/>
        <v>#N/A</v>
      </c>
      <c r="L82" s="81" t="e">
        <f t="shared" si="15"/>
        <v>#N/A</v>
      </c>
    </row>
    <row r="83" spans="2:12" x14ac:dyDescent="0.2">
      <c r="B83" s="247">
        <v>8.11</v>
      </c>
      <c r="C83" s="56"/>
      <c r="D83" s="56"/>
      <c r="E83" s="56"/>
      <c r="F83" s="56"/>
      <c r="G83" s="80" t="e">
        <f t="shared" si="10"/>
        <v>#N/A</v>
      </c>
      <c r="H83" s="80" t="e">
        <f t="shared" si="11"/>
        <v>#N/A</v>
      </c>
      <c r="I83" s="80" t="e">
        <f t="shared" si="12"/>
        <v>#N/A</v>
      </c>
      <c r="J83" s="80" t="e">
        <f t="shared" si="13"/>
        <v>#N/A</v>
      </c>
      <c r="K83" s="80" t="e">
        <f t="shared" si="14"/>
        <v>#N/A</v>
      </c>
      <c r="L83" s="80" t="e">
        <f t="shared" si="15"/>
        <v>#N/A</v>
      </c>
    </row>
    <row r="84" spans="2:12" x14ac:dyDescent="0.2">
      <c r="B84" s="246">
        <v>8.1199999999999992</v>
      </c>
      <c r="C84" s="57"/>
      <c r="D84" s="57"/>
      <c r="E84" s="57"/>
      <c r="F84" s="57"/>
      <c r="G84" s="81" t="e">
        <f t="shared" si="10"/>
        <v>#N/A</v>
      </c>
      <c r="H84" s="81" t="e">
        <f t="shared" si="11"/>
        <v>#N/A</v>
      </c>
      <c r="I84" s="81" t="e">
        <f t="shared" si="12"/>
        <v>#N/A</v>
      </c>
      <c r="J84" s="81" t="e">
        <f t="shared" si="13"/>
        <v>#N/A</v>
      </c>
      <c r="K84" s="81" t="e">
        <f t="shared" si="14"/>
        <v>#N/A</v>
      </c>
      <c r="L84" s="81" t="e">
        <f t="shared" si="15"/>
        <v>#N/A</v>
      </c>
    </row>
    <row r="85" spans="2:12" x14ac:dyDescent="0.2">
      <c r="B85" s="247">
        <v>9.1</v>
      </c>
      <c r="C85" s="56"/>
      <c r="D85" s="56"/>
      <c r="E85" s="56"/>
      <c r="F85" s="56"/>
      <c r="G85" s="80" t="e">
        <f t="shared" si="10"/>
        <v>#N/A</v>
      </c>
      <c r="H85" s="80" t="e">
        <f t="shared" si="11"/>
        <v>#N/A</v>
      </c>
      <c r="I85" s="80" t="e">
        <f t="shared" si="12"/>
        <v>#N/A</v>
      </c>
      <c r="J85" s="80" t="e">
        <f t="shared" si="13"/>
        <v>#N/A</v>
      </c>
      <c r="K85" s="80" t="e">
        <f t="shared" si="14"/>
        <v>#N/A</v>
      </c>
      <c r="L85" s="80" t="e">
        <f t="shared" si="15"/>
        <v>#N/A</v>
      </c>
    </row>
    <row r="86" spans="2:12" x14ac:dyDescent="0.2">
      <c r="B86" s="246">
        <v>9.1999999999999993</v>
      </c>
      <c r="C86" s="57"/>
      <c r="D86" s="57"/>
      <c r="E86" s="57"/>
      <c r="F86" s="57"/>
      <c r="G86" s="81" t="e">
        <f t="shared" si="10"/>
        <v>#N/A</v>
      </c>
      <c r="H86" s="81" t="e">
        <f t="shared" si="11"/>
        <v>#N/A</v>
      </c>
      <c r="I86" s="81" t="e">
        <f t="shared" si="12"/>
        <v>#N/A</v>
      </c>
      <c r="J86" s="81" t="e">
        <f t="shared" si="13"/>
        <v>#N/A</v>
      </c>
      <c r="K86" s="81" t="e">
        <f t="shared" si="14"/>
        <v>#N/A</v>
      </c>
      <c r="L86" s="81" t="e">
        <f t="shared" si="15"/>
        <v>#N/A</v>
      </c>
    </row>
    <row r="87" spans="2:12" x14ac:dyDescent="0.2">
      <c r="B87" s="247">
        <v>9.3000000000000007</v>
      </c>
      <c r="C87" s="56"/>
      <c r="D87" s="56"/>
      <c r="E87" s="56"/>
      <c r="F87" s="56"/>
      <c r="G87" s="80" t="e">
        <f t="shared" si="10"/>
        <v>#N/A</v>
      </c>
      <c r="H87" s="80" t="e">
        <f t="shared" si="11"/>
        <v>#N/A</v>
      </c>
      <c r="I87" s="80" t="e">
        <f t="shared" si="12"/>
        <v>#N/A</v>
      </c>
      <c r="J87" s="80" t="e">
        <f t="shared" si="13"/>
        <v>#N/A</v>
      </c>
      <c r="K87" s="80" t="e">
        <f t="shared" si="14"/>
        <v>#N/A</v>
      </c>
      <c r="L87" s="80" t="e">
        <f t="shared" si="15"/>
        <v>#N/A</v>
      </c>
    </row>
    <row r="88" spans="2:12" x14ac:dyDescent="0.2">
      <c r="B88" s="246">
        <v>9.4</v>
      </c>
      <c r="C88" s="57"/>
      <c r="D88" s="57"/>
      <c r="E88" s="57"/>
      <c r="F88" s="57"/>
      <c r="G88" s="81" t="e">
        <f t="shared" si="10"/>
        <v>#N/A</v>
      </c>
      <c r="H88" s="81" t="e">
        <f t="shared" si="11"/>
        <v>#N/A</v>
      </c>
      <c r="I88" s="81" t="e">
        <f t="shared" si="12"/>
        <v>#N/A</v>
      </c>
      <c r="J88" s="81" t="e">
        <f t="shared" si="13"/>
        <v>#N/A</v>
      </c>
      <c r="K88" s="81" t="e">
        <f t="shared" si="14"/>
        <v>#N/A</v>
      </c>
      <c r="L88" s="81" t="e">
        <f t="shared" si="15"/>
        <v>#N/A</v>
      </c>
    </row>
    <row r="89" spans="2:12" x14ac:dyDescent="0.2">
      <c r="B89" s="247">
        <v>9.5</v>
      </c>
      <c r="C89" s="56"/>
      <c r="D89" s="56"/>
      <c r="E89" s="56"/>
      <c r="F89" s="56"/>
      <c r="G89" s="80" t="e">
        <f t="shared" si="10"/>
        <v>#N/A</v>
      </c>
      <c r="H89" s="80" t="e">
        <f t="shared" si="11"/>
        <v>#N/A</v>
      </c>
      <c r="I89" s="80" t="e">
        <f t="shared" si="12"/>
        <v>#N/A</v>
      </c>
      <c r="J89" s="80" t="e">
        <f t="shared" si="13"/>
        <v>#N/A</v>
      </c>
      <c r="K89" s="80" t="e">
        <f t="shared" si="14"/>
        <v>#N/A</v>
      </c>
      <c r="L89" s="80" t="e">
        <f t="shared" si="15"/>
        <v>#N/A</v>
      </c>
    </row>
    <row r="90" spans="2:12" x14ac:dyDescent="0.2">
      <c r="B90" s="246">
        <v>9.6</v>
      </c>
      <c r="C90" s="57"/>
      <c r="D90" s="57"/>
      <c r="E90" s="57"/>
      <c r="F90" s="57"/>
      <c r="G90" s="81" t="e">
        <f t="shared" si="10"/>
        <v>#N/A</v>
      </c>
      <c r="H90" s="81" t="e">
        <f t="shared" si="11"/>
        <v>#N/A</v>
      </c>
      <c r="I90" s="81" t="e">
        <f t="shared" si="12"/>
        <v>#N/A</v>
      </c>
      <c r="J90" s="81" t="e">
        <f t="shared" si="13"/>
        <v>#N/A</v>
      </c>
      <c r="K90" s="81" t="e">
        <f t="shared" si="14"/>
        <v>#N/A</v>
      </c>
      <c r="L90" s="81" t="e">
        <f t="shared" si="15"/>
        <v>#N/A</v>
      </c>
    </row>
    <row r="91" spans="2:12" x14ac:dyDescent="0.2">
      <c r="B91" s="247">
        <v>9.6999999999999993</v>
      </c>
      <c r="C91" s="56"/>
      <c r="D91" s="56"/>
      <c r="E91" s="56"/>
      <c r="F91" s="56"/>
      <c r="G91" s="80" t="e">
        <f t="shared" si="10"/>
        <v>#N/A</v>
      </c>
      <c r="H91" s="80" t="e">
        <f t="shared" si="11"/>
        <v>#N/A</v>
      </c>
      <c r="I91" s="80" t="e">
        <f t="shared" si="12"/>
        <v>#N/A</v>
      </c>
      <c r="J91" s="80" t="e">
        <f t="shared" si="13"/>
        <v>#N/A</v>
      </c>
      <c r="K91" s="80" t="e">
        <f t="shared" si="14"/>
        <v>#N/A</v>
      </c>
      <c r="L91" s="80" t="e">
        <f t="shared" si="15"/>
        <v>#N/A</v>
      </c>
    </row>
    <row r="92" spans="2:12" x14ac:dyDescent="0.2">
      <c r="B92" s="246">
        <v>10.1</v>
      </c>
      <c r="C92" s="57"/>
      <c r="D92" s="57"/>
      <c r="E92" s="57"/>
      <c r="F92" s="57"/>
      <c r="G92" s="81" t="e">
        <f t="shared" si="10"/>
        <v>#N/A</v>
      </c>
      <c r="H92" s="81" t="e">
        <f t="shared" si="11"/>
        <v>#N/A</v>
      </c>
      <c r="I92" s="81" t="e">
        <f t="shared" si="12"/>
        <v>#N/A</v>
      </c>
      <c r="J92" s="81" t="e">
        <f t="shared" si="13"/>
        <v>#N/A</v>
      </c>
      <c r="K92" s="81" t="e">
        <f t="shared" si="14"/>
        <v>#N/A</v>
      </c>
      <c r="L92" s="81" t="e">
        <f t="shared" si="15"/>
        <v>#N/A</v>
      </c>
    </row>
    <row r="93" spans="2:12" x14ac:dyDescent="0.2">
      <c r="B93" s="247">
        <v>10.199999999999999</v>
      </c>
      <c r="C93" s="56"/>
      <c r="D93" s="56"/>
      <c r="E93" s="56"/>
      <c r="F93" s="56"/>
      <c r="G93" s="80" t="e">
        <f t="shared" si="10"/>
        <v>#N/A</v>
      </c>
      <c r="H93" s="80" t="e">
        <f t="shared" si="11"/>
        <v>#N/A</v>
      </c>
      <c r="I93" s="80" t="e">
        <f t="shared" si="12"/>
        <v>#N/A</v>
      </c>
      <c r="J93" s="80" t="e">
        <f t="shared" si="13"/>
        <v>#N/A</v>
      </c>
      <c r="K93" s="80" t="e">
        <f t="shared" si="14"/>
        <v>#N/A</v>
      </c>
      <c r="L93" s="80" t="e">
        <f t="shared" si="15"/>
        <v>#N/A</v>
      </c>
    </row>
    <row r="94" spans="2:12" x14ac:dyDescent="0.2">
      <c r="B94" s="246">
        <v>10.3</v>
      </c>
      <c r="C94" s="57"/>
      <c r="D94" s="57"/>
      <c r="E94" s="57"/>
      <c r="F94" s="57"/>
      <c r="G94" s="81" t="e">
        <f t="shared" si="10"/>
        <v>#N/A</v>
      </c>
      <c r="H94" s="81" t="e">
        <f t="shared" si="11"/>
        <v>#N/A</v>
      </c>
      <c r="I94" s="81" t="e">
        <f t="shared" si="12"/>
        <v>#N/A</v>
      </c>
      <c r="J94" s="81" t="e">
        <f t="shared" si="13"/>
        <v>#N/A</v>
      </c>
      <c r="K94" s="81" t="e">
        <f t="shared" si="14"/>
        <v>#N/A</v>
      </c>
      <c r="L94" s="81" t="e">
        <f t="shared" si="15"/>
        <v>#N/A</v>
      </c>
    </row>
    <row r="95" spans="2:12" x14ac:dyDescent="0.2">
      <c r="B95" s="247">
        <v>10.4</v>
      </c>
      <c r="C95" s="56"/>
      <c r="D95" s="56"/>
      <c r="E95" s="56"/>
      <c r="F95" s="56"/>
      <c r="G95" s="80" t="e">
        <f t="shared" si="10"/>
        <v>#N/A</v>
      </c>
      <c r="H95" s="80" t="e">
        <f t="shared" si="11"/>
        <v>#N/A</v>
      </c>
      <c r="I95" s="80" t="e">
        <f t="shared" si="12"/>
        <v>#N/A</v>
      </c>
      <c r="J95" s="80" t="e">
        <f t="shared" si="13"/>
        <v>#N/A</v>
      </c>
      <c r="K95" s="80" t="e">
        <f t="shared" si="14"/>
        <v>#N/A</v>
      </c>
      <c r="L95" s="80" t="e">
        <f t="shared" si="15"/>
        <v>#N/A</v>
      </c>
    </row>
    <row r="96" spans="2:12" x14ac:dyDescent="0.2">
      <c r="B96" s="246">
        <v>10.5</v>
      </c>
      <c r="C96" s="57"/>
      <c r="D96" s="57"/>
      <c r="E96" s="57"/>
      <c r="F96" s="57"/>
      <c r="G96" s="81" t="e">
        <f t="shared" si="10"/>
        <v>#N/A</v>
      </c>
      <c r="H96" s="81" t="e">
        <f t="shared" si="11"/>
        <v>#N/A</v>
      </c>
      <c r="I96" s="81" t="e">
        <f t="shared" si="12"/>
        <v>#N/A</v>
      </c>
      <c r="J96" s="81" t="e">
        <f t="shared" si="13"/>
        <v>#N/A</v>
      </c>
      <c r="K96" s="81" t="e">
        <f t="shared" si="14"/>
        <v>#N/A</v>
      </c>
      <c r="L96" s="81" t="e">
        <f t="shared" si="15"/>
        <v>#N/A</v>
      </c>
    </row>
    <row r="97" spans="2:12" x14ac:dyDescent="0.2">
      <c r="B97" s="247">
        <v>10.6</v>
      </c>
      <c r="C97" s="56"/>
      <c r="D97" s="56"/>
      <c r="E97" s="56"/>
      <c r="F97" s="56"/>
      <c r="G97" s="80" t="e">
        <f t="shared" si="10"/>
        <v>#N/A</v>
      </c>
      <c r="H97" s="80" t="e">
        <f t="shared" si="11"/>
        <v>#N/A</v>
      </c>
      <c r="I97" s="80" t="e">
        <f t="shared" si="12"/>
        <v>#N/A</v>
      </c>
      <c r="J97" s="80" t="e">
        <f t="shared" si="13"/>
        <v>#N/A</v>
      </c>
      <c r="K97" s="80" t="e">
        <f t="shared" si="14"/>
        <v>#N/A</v>
      </c>
      <c r="L97" s="80" t="e">
        <f t="shared" si="15"/>
        <v>#N/A</v>
      </c>
    </row>
    <row r="98" spans="2:12" x14ac:dyDescent="0.2">
      <c r="B98" s="246">
        <v>10.7</v>
      </c>
      <c r="C98" s="57"/>
      <c r="D98" s="57"/>
      <c r="E98" s="57"/>
      <c r="F98" s="57"/>
      <c r="G98" s="81" t="e">
        <f t="shared" si="10"/>
        <v>#N/A</v>
      </c>
      <c r="H98" s="81" t="e">
        <f t="shared" si="11"/>
        <v>#N/A</v>
      </c>
      <c r="I98" s="81" t="e">
        <f t="shared" si="12"/>
        <v>#N/A</v>
      </c>
      <c r="J98" s="81" t="e">
        <f t="shared" si="13"/>
        <v>#N/A</v>
      </c>
      <c r="K98" s="81" t="e">
        <f t="shared" si="14"/>
        <v>#N/A</v>
      </c>
      <c r="L98" s="81" t="e">
        <f t="shared" si="15"/>
        <v>#N/A</v>
      </c>
    </row>
    <row r="99" spans="2:12" x14ac:dyDescent="0.2">
      <c r="B99" s="247">
        <v>11.1</v>
      </c>
      <c r="C99" s="56"/>
      <c r="D99" s="56"/>
      <c r="E99" s="56"/>
      <c r="F99" s="56"/>
      <c r="G99" s="80" t="e">
        <f t="shared" si="10"/>
        <v>#N/A</v>
      </c>
      <c r="H99" s="80" t="e">
        <f t="shared" si="11"/>
        <v>#N/A</v>
      </c>
      <c r="I99" s="80" t="e">
        <f t="shared" si="12"/>
        <v>#N/A</v>
      </c>
      <c r="J99" s="80" t="e">
        <f t="shared" si="13"/>
        <v>#N/A</v>
      </c>
      <c r="K99" s="80" t="e">
        <f t="shared" si="14"/>
        <v>#N/A</v>
      </c>
      <c r="L99" s="80" t="e">
        <f t="shared" si="15"/>
        <v>#N/A</v>
      </c>
    </row>
    <row r="100" spans="2:12" x14ac:dyDescent="0.2">
      <c r="B100" s="246">
        <v>11.2</v>
      </c>
      <c r="C100" s="57"/>
      <c r="D100" s="57"/>
      <c r="E100" s="57"/>
      <c r="F100" s="57"/>
      <c r="G100" s="81" t="e">
        <f t="shared" si="10"/>
        <v>#N/A</v>
      </c>
      <c r="H100" s="81" t="e">
        <f t="shared" si="11"/>
        <v>#N/A</v>
      </c>
      <c r="I100" s="81" t="e">
        <f t="shared" si="12"/>
        <v>#N/A</v>
      </c>
      <c r="J100" s="81" t="e">
        <f t="shared" si="13"/>
        <v>#N/A</v>
      </c>
      <c r="K100" s="81" t="e">
        <f t="shared" si="14"/>
        <v>#N/A</v>
      </c>
      <c r="L100" s="81" t="e">
        <f t="shared" si="15"/>
        <v>#N/A</v>
      </c>
    </row>
    <row r="101" spans="2:12" x14ac:dyDescent="0.2">
      <c r="B101" s="247">
        <v>11.3</v>
      </c>
      <c r="C101" s="56"/>
      <c r="D101" s="56"/>
      <c r="E101" s="56"/>
      <c r="F101" s="56"/>
      <c r="G101" s="80" t="e">
        <f t="shared" si="10"/>
        <v>#N/A</v>
      </c>
      <c r="H101" s="80" t="e">
        <f t="shared" si="11"/>
        <v>#N/A</v>
      </c>
      <c r="I101" s="80" t="e">
        <f t="shared" si="12"/>
        <v>#N/A</v>
      </c>
      <c r="J101" s="80" t="e">
        <f t="shared" si="13"/>
        <v>#N/A</v>
      </c>
      <c r="K101" s="80" t="e">
        <f t="shared" si="14"/>
        <v>#N/A</v>
      </c>
      <c r="L101" s="80" t="e">
        <f t="shared" si="15"/>
        <v>#N/A</v>
      </c>
    </row>
    <row r="102" spans="2:12" x14ac:dyDescent="0.2">
      <c r="B102" s="246">
        <v>11.4</v>
      </c>
      <c r="C102" s="57"/>
      <c r="D102" s="57"/>
      <c r="E102" s="57"/>
      <c r="F102" s="57"/>
      <c r="G102" s="81" t="e">
        <f t="shared" si="10"/>
        <v>#N/A</v>
      </c>
      <c r="H102" s="81" t="e">
        <f t="shared" si="11"/>
        <v>#N/A</v>
      </c>
      <c r="I102" s="81" t="e">
        <f t="shared" si="12"/>
        <v>#N/A</v>
      </c>
      <c r="J102" s="81" t="e">
        <f t="shared" si="13"/>
        <v>#N/A</v>
      </c>
      <c r="K102" s="81" t="e">
        <f t="shared" si="14"/>
        <v>#N/A</v>
      </c>
      <c r="L102" s="81" t="e">
        <f t="shared" si="15"/>
        <v>#N/A</v>
      </c>
    </row>
    <row r="103" spans="2:12" x14ac:dyDescent="0.2">
      <c r="B103" s="247">
        <v>11.5</v>
      </c>
      <c r="C103" s="56"/>
      <c r="D103" s="56"/>
      <c r="E103" s="56"/>
      <c r="F103" s="56"/>
      <c r="G103" s="80" t="e">
        <f t="shared" si="10"/>
        <v>#N/A</v>
      </c>
      <c r="H103" s="80" t="e">
        <f t="shared" si="11"/>
        <v>#N/A</v>
      </c>
      <c r="I103" s="80" t="e">
        <f t="shared" si="12"/>
        <v>#N/A</v>
      </c>
      <c r="J103" s="80" t="e">
        <f t="shared" si="13"/>
        <v>#N/A</v>
      </c>
      <c r="K103" s="80" t="e">
        <f t="shared" si="14"/>
        <v>#N/A</v>
      </c>
      <c r="L103" s="80" t="e">
        <f t="shared" si="15"/>
        <v>#N/A</v>
      </c>
    </row>
    <row r="104" spans="2:12" x14ac:dyDescent="0.2">
      <c r="B104" s="246">
        <v>12.1</v>
      </c>
      <c r="C104" s="57"/>
      <c r="D104" s="57"/>
      <c r="E104" s="57"/>
      <c r="F104" s="57"/>
      <c r="G104" s="81" t="e">
        <f t="shared" si="10"/>
        <v>#N/A</v>
      </c>
      <c r="H104" s="81" t="e">
        <f t="shared" si="11"/>
        <v>#N/A</v>
      </c>
      <c r="I104" s="81" t="e">
        <f t="shared" si="12"/>
        <v>#N/A</v>
      </c>
      <c r="J104" s="81" t="e">
        <f t="shared" si="13"/>
        <v>#N/A</v>
      </c>
      <c r="K104" s="81" t="e">
        <f t="shared" si="14"/>
        <v>#N/A</v>
      </c>
      <c r="L104" s="81" t="e">
        <f t="shared" si="15"/>
        <v>#N/A</v>
      </c>
    </row>
    <row r="105" spans="2:12" x14ac:dyDescent="0.2">
      <c r="B105" s="247">
        <v>12.2</v>
      </c>
      <c r="C105" s="56"/>
      <c r="D105" s="56"/>
      <c r="E105" s="56"/>
      <c r="F105" s="56"/>
      <c r="G105" s="80" t="e">
        <f t="shared" si="10"/>
        <v>#N/A</v>
      </c>
      <c r="H105" s="80" t="e">
        <f t="shared" si="11"/>
        <v>#N/A</v>
      </c>
      <c r="I105" s="80" t="e">
        <f t="shared" si="12"/>
        <v>#N/A</v>
      </c>
      <c r="J105" s="80" t="e">
        <f t="shared" si="13"/>
        <v>#N/A</v>
      </c>
      <c r="K105" s="80" t="e">
        <f t="shared" si="14"/>
        <v>#N/A</v>
      </c>
      <c r="L105" s="80" t="e">
        <f t="shared" si="15"/>
        <v>#N/A</v>
      </c>
    </row>
    <row r="106" spans="2:12" x14ac:dyDescent="0.2">
      <c r="B106" s="246">
        <v>12.3</v>
      </c>
      <c r="C106" s="57"/>
      <c r="D106" s="57"/>
      <c r="E106" s="57"/>
      <c r="F106" s="57"/>
      <c r="G106" s="81" t="e">
        <f t="shared" si="10"/>
        <v>#N/A</v>
      </c>
      <c r="H106" s="81" t="e">
        <f t="shared" si="11"/>
        <v>#N/A</v>
      </c>
      <c r="I106" s="81" t="e">
        <f t="shared" si="12"/>
        <v>#N/A</v>
      </c>
      <c r="J106" s="81" t="e">
        <f t="shared" si="13"/>
        <v>#N/A</v>
      </c>
      <c r="K106" s="81" t="e">
        <f t="shared" si="14"/>
        <v>#N/A</v>
      </c>
      <c r="L106" s="81" t="e">
        <f t="shared" si="15"/>
        <v>#N/A</v>
      </c>
    </row>
    <row r="107" spans="2:12" x14ac:dyDescent="0.2">
      <c r="B107" s="247">
        <v>12.4</v>
      </c>
      <c r="C107" s="56"/>
      <c r="D107" s="56"/>
      <c r="E107" s="56"/>
      <c r="F107" s="56"/>
      <c r="G107" s="80" t="e">
        <f t="shared" si="10"/>
        <v>#N/A</v>
      </c>
      <c r="H107" s="80" t="e">
        <f t="shared" si="11"/>
        <v>#N/A</v>
      </c>
      <c r="I107" s="80" t="e">
        <f t="shared" si="12"/>
        <v>#N/A</v>
      </c>
      <c r="J107" s="80" t="e">
        <f t="shared" si="13"/>
        <v>#N/A</v>
      </c>
      <c r="K107" s="80" t="e">
        <f t="shared" si="14"/>
        <v>#N/A</v>
      </c>
      <c r="L107" s="80" t="e">
        <f t="shared" si="15"/>
        <v>#N/A</v>
      </c>
    </row>
    <row r="108" spans="2:12" x14ac:dyDescent="0.2">
      <c r="B108" s="246">
        <v>12.5</v>
      </c>
      <c r="C108" s="57"/>
      <c r="D108" s="57"/>
      <c r="E108" s="57"/>
      <c r="F108" s="57"/>
      <c r="G108" s="81" t="e">
        <f t="shared" si="10"/>
        <v>#N/A</v>
      </c>
      <c r="H108" s="81" t="e">
        <f t="shared" si="11"/>
        <v>#N/A</v>
      </c>
      <c r="I108" s="81" t="e">
        <f t="shared" si="12"/>
        <v>#N/A</v>
      </c>
      <c r="J108" s="81" t="e">
        <f t="shared" si="13"/>
        <v>#N/A</v>
      </c>
      <c r="K108" s="81" t="e">
        <f t="shared" si="14"/>
        <v>#N/A</v>
      </c>
      <c r="L108" s="81" t="e">
        <f t="shared" si="15"/>
        <v>#N/A</v>
      </c>
    </row>
    <row r="109" spans="2:12" x14ac:dyDescent="0.2">
      <c r="B109" s="247">
        <v>12.6</v>
      </c>
      <c r="C109" s="56"/>
      <c r="D109" s="56"/>
      <c r="E109" s="56"/>
      <c r="F109" s="56"/>
      <c r="G109" s="80" t="e">
        <f t="shared" si="10"/>
        <v>#N/A</v>
      </c>
      <c r="H109" s="80" t="e">
        <f t="shared" si="11"/>
        <v>#N/A</v>
      </c>
      <c r="I109" s="80" t="e">
        <f t="shared" si="12"/>
        <v>#N/A</v>
      </c>
      <c r="J109" s="80" t="e">
        <f t="shared" si="13"/>
        <v>#N/A</v>
      </c>
      <c r="K109" s="80" t="e">
        <f t="shared" si="14"/>
        <v>#N/A</v>
      </c>
      <c r="L109" s="80" t="e">
        <f t="shared" si="15"/>
        <v>#N/A</v>
      </c>
    </row>
    <row r="110" spans="2:12" x14ac:dyDescent="0.2">
      <c r="B110" s="246">
        <v>12.7</v>
      </c>
      <c r="C110" s="57"/>
      <c r="D110" s="57"/>
      <c r="E110" s="57"/>
      <c r="F110" s="57"/>
      <c r="G110" s="81" t="e">
        <f t="shared" ref="G110:G143" si="16">VLOOKUP(C110,$C$4:$G$10,5,FALSE)</f>
        <v>#N/A</v>
      </c>
      <c r="H110" s="81" t="e">
        <f t="shared" ref="H110:H143" si="17">VLOOKUP(D110,$D$4:$G$10,4,FALSE)</f>
        <v>#N/A</v>
      </c>
      <c r="I110" s="81" t="e">
        <f t="shared" ref="I110:I143" si="18">VLOOKUP(E110,$E$4:$G$10,3,FALSE)</f>
        <v>#N/A</v>
      </c>
      <c r="J110" s="81" t="e">
        <f t="shared" ref="J110:J143" si="19">VLOOKUP(F110,$F$4:$G$10,2,FALSE)</f>
        <v>#N/A</v>
      </c>
      <c r="K110" s="81" t="e">
        <f t="shared" si="14"/>
        <v>#N/A</v>
      </c>
      <c r="L110" s="81" t="e">
        <f t="shared" si="15"/>
        <v>#N/A</v>
      </c>
    </row>
    <row r="111" spans="2:12" x14ac:dyDescent="0.2">
      <c r="B111" s="247">
        <v>12.8</v>
      </c>
      <c r="C111" s="56"/>
      <c r="D111" s="56"/>
      <c r="E111" s="56"/>
      <c r="F111" s="56"/>
      <c r="G111" s="80" t="e">
        <f t="shared" si="16"/>
        <v>#N/A</v>
      </c>
      <c r="H111" s="80" t="e">
        <f t="shared" si="17"/>
        <v>#N/A</v>
      </c>
      <c r="I111" s="80" t="e">
        <f t="shared" si="18"/>
        <v>#N/A</v>
      </c>
      <c r="J111" s="80" t="e">
        <f t="shared" si="19"/>
        <v>#N/A</v>
      </c>
      <c r="K111" s="80" t="e">
        <f t="shared" si="14"/>
        <v>#N/A</v>
      </c>
      <c r="L111" s="80" t="e">
        <f t="shared" si="15"/>
        <v>#N/A</v>
      </c>
    </row>
    <row r="112" spans="2:12" x14ac:dyDescent="0.2">
      <c r="B112" s="246">
        <v>13.1</v>
      </c>
      <c r="C112" s="57"/>
      <c r="D112" s="57"/>
      <c r="E112" s="57"/>
      <c r="F112" s="57"/>
      <c r="G112" s="81" t="e">
        <f t="shared" si="16"/>
        <v>#N/A</v>
      </c>
      <c r="H112" s="81" t="e">
        <f t="shared" si="17"/>
        <v>#N/A</v>
      </c>
      <c r="I112" s="81" t="e">
        <f t="shared" si="18"/>
        <v>#N/A</v>
      </c>
      <c r="J112" s="81" t="e">
        <f t="shared" si="19"/>
        <v>#N/A</v>
      </c>
      <c r="K112" s="81" t="e">
        <f t="shared" si="14"/>
        <v>#N/A</v>
      </c>
      <c r="L112" s="81" t="e">
        <f t="shared" si="15"/>
        <v>#N/A</v>
      </c>
    </row>
    <row r="113" spans="2:12" x14ac:dyDescent="0.2">
      <c r="B113" s="247">
        <v>13.2</v>
      </c>
      <c r="C113" s="56"/>
      <c r="D113" s="56"/>
      <c r="E113" s="56"/>
      <c r="F113" s="56"/>
      <c r="G113" s="80" t="e">
        <f t="shared" si="16"/>
        <v>#N/A</v>
      </c>
      <c r="H113" s="80" t="e">
        <f t="shared" si="17"/>
        <v>#N/A</v>
      </c>
      <c r="I113" s="80" t="e">
        <f t="shared" si="18"/>
        <v>#N/A</v>
      </c>
      <c r="J113" s="80" t="e">
        <f t="shared" si="19"/>
        <v>#N/A</v>
      </c>
      <c r="K113" s="80" t="e">
        <f t="shared" si="14"/>
        <v>#N/A</v>
      </c>
      <c r="L113" s="80" t="e">
        <f t="shared" si="15"/>
        <v>#N/A</v>
      </c>
    </row>
    <row r="114" spans="2:12" x14ac:dyDescent="0.2">
      <c r="B114" s="246">
        <v>13.3</v>
      </c>
      <c r="C114" s="57"/>
      <c r="D114" s="57"/>
      <c r="E114" s="57"/>
      <c r="F114" s="57"/>
      <c r="G114" s="81" t="e">
        <f t="shared" si="16"/>
        <v>#N/A</v>
      </c>
      <c r="H114" s="81" t="e">
        <f t="shared" si="17"/>
        <v>#N/A</v>
      </c>
      <c r="I114" s="81" t="e">
        <f t="shared" si="18"/>
        <v>#N/A</v>
      </c>
      <c r="J114" s="81" t="e">
        <f t="shared" si="19"/>
        <v>#N/A</v>
      </c>
      <c r="K114" s="81" t="e">
        <f t="shared" si="14"/>
        <v>#N/A</v>
      </c>
      <c r="L114" s="81" t="e">
        <f t="shared" si="15"/>
        <v>#N/A</v>
      </c>
    </row>
    <row r="115" spans="2:12" x14ac:dyDescent="0.2">
      <c r="B115" s="247">
        <v>13.4</v>
      </c>
      <c r="C115" s="56"/>
      <c r="D115" s="56"/>
      <c r="E115" s="56"/>
      <c r="F115" s="56"/>
      <c r="G115" s="80" t="e">
        <f t="shared" si="16"/>
        <v>#N/A</v>
      </c>
      <c r="H115" s="80" t="e">
        <f t="shared" si="17"/>
        <v>#N/A</v>
      </c>
      <c r="I115" s="80" t="e">
        <f t="shared" si="18"/>
        <v>#N/A</v>
      </c>
      <c r="J115" s="80" t="e">
        <f t="shared" si="19"/>
        <v>#N/A</v>
      </c>
      <c r="K115" s="80" t="e">
        <f t="shared" si="14"/>
        <v>#N/A</v>
      </c>
      <c r="L115" s="80" t="e">
        <f t="shared" si="15"/>
        <v>#N/A</v>
      </c>
    </row>
    <row r="116" spans="2:12" x14ac:dyDescent="0.2">
      <c r="B116" s="246">
        <v>13.5</v>
      </c>
      <c r="C116" s="57"/>
      <c r="D116" s="57"/>
      <c r="E116" s="57"/>
      <c r="F116" s="57"/>
      <c r="G116" s="81" t="e">
        <f t="shared" si="16"/>
        <v>#N/A</v>
      </c>
      <c r="H116" s="81" t="e">
        <f t="shared" si="17"/>
        <v>#N/A</v>
      </c>
      <c r="I116" s="81" t="e">
        <f t="shared" si="18"/>
        <v>#N/A</v>
      </c>
      <c r="J116" s="81" t="e">
        <f t="shared" si="19"/>
        <v>#N/A</v>
      </c>
      <c r="K116" s="81" t="e">
        <f t="shared" si="14"/>
        <v>#N/A</v>
      </c>
      <c r="L116" s="81" t="e">
        <f t="shared" si="15"/>
        <v>#N/A</v>
      </c>
    </row>
    <row r="117" spans="2:12" x14ac:dyDescent="0.2">
      <c r="B117" s="247">
        <v>13.6</v>
      </c>
      <c r="C117" s="56"/>
      <c r="D117" s="56"/>
      <c r="E117" s="56"/>
      <c r="F117" s="56"/>
      <c r="G117" s="80" t="e">
        <f t="shared" si="16"/>
        <v>#N/A</v>
      </c>
      <c r="H117" s="80" t="e">
        <f t="shared" si="17"/>
        <v>#N/A</v>
      </c>
      <c r="I117" s="80" t="e">
        <f t="shared" si="18"/>
        <v>#N/A</v>
      </c>
      <c r="J117" s="80" t="e">
        <f t="shared" si="19"/>
        <v>#N/A</v>
      </c>
      <c r="K117" s="80" t="e">
        <f t="shared" si="14"/>
        <v>#N/A</v>
      </c>
      <c r="L117" s="80" t="e">
        <f t="shared" si="15"/>
        <v>#N/A</v>
      </c>
    </row>
    <row r="118" spans="2:12" x14ac:dyDescent="0.2">
      <c r="B118" s="246">
        <v>13.7</v>
      </c>
      <c r="C118" s="57"/>
      <c r="D118" s="57"/>
      <c r="E118" s="57"/>
      <c r="F118" s="57"/>
      <c r="G118" s="81" t="e">
        <f t="shared" si="16"/>
        <v>#N/A</v>
      </c>
      <c r="H118" s="81" t="e">
        <f t="shared" si="17"/>
        <v>#N/A</v>
      </c>
      <c r="I118" s="81" t="e">
        <f t="shared" si="18"/>
        <v>#N/A</v>
      </c>
      <c r="J118" s="81" t="e">
        <f t="shared" si="19"/>
        <v>#N/A</v>
      </c>
      <c r="K118" s="81" t="e">
        <f t="shared" si="14"/>
        <v>#N/A</v>
      </c>
      <c r="L118" s="81" t="e">
        <f t="shared" si="15"/>
        <v>#N/A</v>
      </c>
    </row>
    <row r="119" spans="2:12" x14ac:dyDescent="0.2">
      <c r="B119" s="247">
        <v>13.8</v>
      </c>
      <c r="C119" s="56"/>
      <c r="D119" s="56"/>
      <c r="E119" s="56"/>
      <c r="F119" s="56"/>
      <c r="G119" s="80" t="e">
        <f t="shared" si="16"/>
        <v>#N/A</v>
      </c>
      <c r="H119" s="80" t="e">
        <f t="shared" si="17"/>
        <v>#N/A</v>
      </c>
      <c r="I119" s="80" t="e">
        <f t="shared" si="18"/>
        <v>#N/A</v>
      </c>
      <c r="J119" s="80" t="e">
        <f t="shared" si="19"/>
        <v>#N/A</v>
      </c>
      <c r="K119" s="80" t="e">
        <f t="shared" si="14"/>
        <v>#N/A</v>
      </c>
      <c r="L119" s="80" t="e">
        <f t="shared" si="15"/>
        <v>#N/A</v>
      </c>
    </row>
    <row r="120" spans="2:12" x14ac:dyDescent="0.2">
      <c r="B120" s="246">
        <v>13.9</v>
      </c>
      <c r="C120" s="57"/>
      <c r="D120" s="57"/>
      <c r="E120" s="57"/>
      <c r="F120" s="57"/>
      <c r="G120" s="81" t="e">
        <f t="shared" si="16"/>
        <v>#N/A</v>
      </c>
      <c r="H120" s="81" t="e">
        <f t="shared" si="17"/>
        <v>#N/A</v>
      </c>
      <c r="I120" s="81" t="e">
        <f t="shared" si="18"/>
        <v>#N/A</v>
      </c>
      <c r="J120" s="81" t="e">
        <f t="shared" si="19"/>
        <v>#N/A</v>
      </c>
      <c r="K120" s="81" t="e">
        <f t="shared" si="14"/>
        <v>#N/A</v>
      </c>
      <c r="L120" s="81" t="e">
        <f t="shared" si="15"/>
        <v>#N/A</v>
      </c>
    </row>
    <row r="121" spans="2:12" x14ac:dyDescent="0.2">
      <c r="B121" s="247" t="s">
        <v>534</v>
      </c>
      <c r="C121" s="56"/>
      <c r="D121" s="56"/>
      <c r="E121" s="56"/>
      <c r="F121" s="56"/>
      <c r="G121" s="80" t="e">
        <f t="shared" si="16"/>
        <v>#N/A</v>
      </c>
      <c r="H121" s="80" t="e">
        <f t="shared" si="17"/>
        <v>#N/A</v>
      </c>
      <c r="I121" s="80" t="e">
        <f t="shared" si="18"/>
        <v>#N/A</v>
      </c>
      <c r="J121" s="80" t="e">
        <f t="shared" si="19"/>
        <v>#N/A</v>
      </c>
      <c r="K121" s="80" t="e">
        <f t="shared" si="14"/>
        <v>#N/A</v>
      </c>
      <c r="L121" s="80" t="e">
        <f t="shared" si="15"/>
        <v>#N/A</v>
      </c>
    </row>
    <row r="122" spans="2:12" x14ac:dyDescent="0.2">
      <c r="B122" s="246">
        <v>13.11</v>
      </c>
      <c r="C122" s="57"/>
      <c r="D122" s="57"/>
      <c r="E122" s="57"/>
      <c r="F122" s="57"/>
      <c r="G122" s="81" t="e">
        <f t="shared" si="16"/>
        <v>#N/A</v>
      </c>
      <c r="H122" s="81" t="e">
        <f t="shared" si="17"/>
        <v>#N/A</v>
      </c>
      <c r="I122" s="81" t="e">
        <f t="shared" si="18"/>
        <v>#N/A</v>
      </c>
      <c r="J122" s="81" t="e">
        <f t="shared" si="19"/>
        <v>#N/A</v>
      </c>
      <c r="K122" s="81" t="e">
        <f t="shared" si="14"/>
        <v>#N/A</v>
      </c>
      <c r="L122" s="81" t="e">
        <f t="shared" si="15"/>
        <v>#N/A</v>
      </c>
    </row>
    <row r="123" spans="2:12" x14ac:dyDescent="0.2">
      <c r="B123" s="247">
        <v>14.1</v>
      </c>
      <c r="C123" s="56"/>
      <c r="D123" s="56"/>
      <c r="E123" s="56"/>
      <c r="F123" s="56"/>
      <c r="G123" s="80" t="e">
        <f t="shared" si="16"/>
        <v>#N/A</v>
      </c>
      <c r="H123" s="80" t="e">
        <f t="shared" si="17"/>
        <v>#N/A</v>
      </c>
      <c r="I123" s="80" t="e">
        <f t="shared" si="18"/>
        <v>#N/A</v>
      </c>
      <c r="J123" s="80" t="e">
        <f t="shared" si="19"/>
        <v>#N/A</v>
      </c>
      <c r="K123" s="80" t="e">
        <f t="shared" si="14"/>
        <v>#N/A</v>
      </c>
      <c r="L123" s="80" t="e">
        <f t="shared" si="15"/>
        <v>#N/A</v>
      </c>
    </row>
    <row r="124" spans="2:12" x14ac:dyDescent="0.2">
      <c r="B124" s="246">
        <v>14.2</v>
      </c>
      <c r="C124" s="57"/>
      <c r="D124" s="57"/>
      <c r="E124" s="57"/>
      <c r="F124" s="57"/>
      <c r="G124" s="81" t="e">
        <f t="shared" si="16"/>
        <v>#N/A</v>
      </c>
      <c r="H124" s="81" t="e">
        <f t="shared" si="17"/>
        <v>#N/A</v>
      </c>
      <c r="I124" s="81" t="e">
        <f t="shared" si="18"/>
        <v>#N/A</v>
      </c>
      <c r="J124" s="81" t="e">
        <f t="shared" si="19"/>
        <v>#N/A</v>
      </c>
      <c r="K124" s="81" t="e">
        <f t="shared" si="14"/>
        <v>#N/A</v>
      </c>
      <c r="L124" s="81" t="e">
        <f t="shared" si="15"/>
        <v>#N/A</v>
      </c>
    </row>
    <row r="125" spans="2:12" x14ac:dyDescent="0.2">
      <c r="B125" s="247">
        <v>14.3</v>
      </c>
      <c r="C125" s="56"/>
      <c r="D125" s="56"/>
      <c r="E125" s="56"/>
      <c r="F125" s="56"/>
      <c r="G125" s="80" t="e">
        <f t="shared" si="16"/>
        <v>#N/A</v>
      </c>
      <c r="H125" s="80" t="e">
        <f t="shared" si="17"/>
        <v>#N/A</v>
      </c>
      <c r="I125" s="80" t="e">
        <f t="shared" si="18"/>
        <v>#N/A</v>
      </c>
      <c r="J125" s="80" t="e">
        <f t="shared" si="19"/>
        <v>#N/A</v>
      </c>
      <c r="K125" s="80" t="e">
        <f t="shared" si="14"/>
        <v>#N/A</v>
      </c>
      <c r="L125" s="80" t="e">
        <f t="shared" si="15"/>
        <v>#N/A</v>
      </c>
    </row>
    <row r="126" spans="2:12" x14ac:dyDescent="0.2">
      <c r="B126" s="246">
        <v>14.4</v>
      </c>
      <c r="C126" s="57"/>
      <c r="D126" s="57"/>
      <c r="E126" s="57"/>
      <c r="F126" s="57"/>
      <c r="G126" s="81" t="e">
        <f t="shared" si="16"/>
        <v>#N/A</v>
      </c>
      <c r="H126" s="81" t="e">
        <f t="shared" si="17"/>
        <v>#N/A</v>
      </c>
      <c r="I126" s="81" t="e">
        <f t="shared" si="18"/>
        <v>#N/A</v>
      </c>
      <c r="J126" s="81" t="e">
        <f t="shared" si="19"/>
        <v>#N/A</v>
      </c>
      <c r="K126" s="81" t="e">
        <f t="shared" si="14"/>
        <v>#N/A</v>
      </c>
      <c r="L126" s="81" t="e">
        <f t="shared" si="15"/>
        <v>#N/A</v>
      </c>
    </row>
    <row r="127" spans="2:12" x14ac:dyDescent="0.2">
      <c r="B127" s="247">
        <v>14.5</v>
      </c>
      <c r="C127" s="56"/>
      <c r="D127" s="56"/>
      <c r="E127" s="56"/>
      <c r="F127" s="56"/>
      <c r="G127" s="80" t="e">
        <f t="shared" si="16"/>
        <v>#N/A</v>
      </c>
      <c r="H127" s="80" t="e">
        <f t="shared" si="17"/>
        <v>#N/A</v>
      </c>
      <c r="I127" s="80" t="e">
        <f t="shared" si="18"/>
        <v>#N/A</v>
      </c>
      <c r="J127" s="80" t="e">
        <f t="shared" si="19"/>
        <v>#N/A</v>
      </c>
      <c r="K127" s="80" t="e">
        <f t="shared" si="14"/>
        <v>#N/A</v>
      </c>
      <c r="L127" s="80" t="e">
        <f t="shared" si="15"/>
        <v>#N/A</v>
      </c>
    </row>
    <row r="128" spans="2:12" x14ac:dyDescent="0.2">
      <c r="B128" s="246">
        <v>14.6</v>
      </c>
      <c r="C128" s="57"/>
      <c r="D128" s="57"/>
      <c r="E128" s="57"/>
      <c r="F128" s="57"/>
      <c r="G128" s="81" t="e">
        <f t="shared" si="16"/>
        <v>#N/A</v>
      </c>
      <c r="H128" s="81" t="e">
        <f t="shared" si="17"/>
        <v>#N/A</v>
      </c>
      <c r="I128" s="81" t="e">
        <f t="shared" si="18"/>
        <v>#N/A</v>
      </c>
      <c r="J128" s="81" t="e">
        <f t="shared" si="19"/>
        <v>#N/A</v>
      </c>
      <c r="K128" s="81" t="e">
        <f t="shared" si="14"/>
        <v>#N/A</v>
      </c>
      <c r="L128" s="81" t="e">
        <f t="shared" si="15"/>
        <v>#N/A</v>
      </c>
    </row>
    <row r="129" spans="2:12" x14ac:dyDescent="0.2">
      <c r="B129" s="247">
        <v>14.7</v>
      </c>
      <c r="C129" s="56"/>
      <c r="D129" s="56"/>
      <c r="E129" s="56"/>
      <c r="F129" s="56"/>
      <c r="G129" s="80" t="e">
        <f t="shared" si="16"/>
        <v>#N/A</v>
      </c>
      <c r="H129" s="80" t="e">
        <f t="shared" si="17"/>
        <v>#N/A</v>
      </c>
      <c r="I129" s="80" t="e">
        <f t="shared" si="18"/>
        <v>#N/A</v>
      </c>
      <c r="J129" s="80" t="e">
        <f t="shared" si="19"/>
        <v>#N/A</v>
      </c>
      <c r="K129" s="80" t="e">
        <f t="shared" si="14"/>
        <v>#N/A</v>
      </c>
      <c r="L129" s="80" t="e">
        <f t="shared" si="15"/>
        <v>#N/A</v>
      </c>
    </row>
    <row r="130" spans="2:12" x14ac:dyDescent="0.2">
      <c r="B130" s="246">
        <v>14.8</v>
      </c>
      <c r="C130" s="57"/>
      <c r="D130" s="57"/>
      <c r="E130" s="57"/>
      <c r="F130" s="57"/>
      <c r="G130" s="81" t="e">
        <f t="shared" si="16"/>
        <v>#N/A</v>
      </c>
      <c r="H130" s="81" t="e">
        <f t="shared" si="17"/>
        <v>#N/A</v>
      </c>
      <c r="I130" s="81" t="e">
        <f t="shared" si="18"/>
        <v>#N/A</v>
      </c>
      <c r="J130" s="81" t="e">
        <f t="shared" si="19"/>
        <v>#N/A</v>
      </c>
      <c r="K130" s="81" t="e">
        <f t="shared" si="14"/>
        <v>#N/A</v>
      </c>
      <c r="L130" s="81" t="e">
        <f t="shared" si="15"/>
        <v>#N/A</v>
      </c>
    </row>
    <row r="131" spans="2:12" x14ac:dyDescent="0.2">
      <c r="B131" s="247">
        <v>14.9</v>
      </c>
      <c r="C131" s="56"/>
      <c r="D131" s="56"/>
      <c r="E131" s="56"/>
      <c r="F131" s="56"/>
      <c r="G131" s="80" t="e">
        <f t="shared" si="16"/>
        <v>#N/A</v>
      </c>
      <c r="H131" s="80" t="e">
        <f t="shared" si="17"/>
        <v>#N/A</v>
      </c>
      <c r="I131" s="80" t="e">
        <f t="shared" si="18"/>
        <v>#N/A</v>
      </c>
      <c r="J131" s="80" t="e">
        <f t="shared" si="19"/>
        <v>#N/A</v>
      </c>
      <c r="K131" s="80" t="e">
        <f t="shared" si="14"/>
        <v>#N/A</v>
      </c>
      <c r="L131" s="80" t="e">
        <f t="shared" si="15"/>
        <v>#N/A</v>
      </c>
    </row>
    <row r="132" spans="2:12" x14ac:dyDescent="0.2">
      <c r="B132" s="246">
        <v>15.1</v>
      </c>
      <c r="C132" s="57"/>
      <c r="D132" s="57"/>
      <c r="E132" s="57"/>
      <c r="F132" s="57"/>
      <c r="G132" s="81" t="e">
        <f t="shared" si="16"/>
        <v>#N/A</v>
      </c>
      <c r="H132" s="81" t="e">
        <f t="shared" si="17"/>
        <v>#N/A</v>
      </c>
      <c r="I132" s="81" t="e">
        <f t="shared" si="18"/>
        <v>#N/A</v>
      </c>
      <c r="J132" s="81" t="e">
        <f t="shared" si="19"/>
        <v>#N/A</v>
      </c>
      <c r="K132" s="81" t="e">
        <f t="shared" si="14"/>
        <v>#N/A</v>
      </c>
      <c r="L132" s="81" t="e">
        <f t="shared" si="15"/>
        <v>#N/A</v>
      </c>
    </row>
    <row r="133" spans="2:12" x14ac:dyDescent="0.2">
      <c r="B133" s="247">
        <v>15.2</v>
      </c>
      <c r="C133" s="56"/>
      <c r="D133" s="56"/>
      <c r="E133" s="56"/>
      <c r="F133" s="56"/>
      <c r="G133" s="80" t="e">
        <f t="shared" si="16"/>
        <v>#N/A</v>
      </c>
      <c r="H133" s="80" t="e">
        <f t="shared" si="17"/>
        <v>#N/A</v>
      </c>
      <c r="I133" s="80" t="e">
        <f t="shared" si="18"/>
        <v>#N/A</v>
      </c>
      <c r="J133" s="80" t="e">
        <f t="shared" si="19"/>
        <v>#N/A</v>
      </c>
      <c r="K133" s="80" t="e">
        <f t="shared" si="14"/>
        <v>#N/A</v>
      </c>
      <c r="L133" s="80" t="e">
        <f t="shared" si="15"/>
        <v>#N/A</v>
      </c>
    </row>
    <row r="134" spans="2:12" x14ac:dyDescent="0.2">
      <c r="B134" s="246">
        <v>15.3</v>
      </c>
      <c r="C134" s="57"/>
      <c r="D134" s="57"/>
      <c r="E134" s="57"/>
      <c r="F134" s="57"/>
      <c r="G134" s="81" t="e">
        <f t="shared" si="16"/>
        <v>#N/A</v>
      </c>
      <c r="H134" s="81" t="e">
        <f t="shared" si="17"/>
        <v>#N/A</v>
      </c>
      <c r="I134" s="81" t="e">
        <f t="shared" si="18"/>
        <v>#N/A</v>
      </c>
      <c r="J134" s="81" t="e">
        <f t="shared" si="19"/>
        <v>#N/A</v>
      </c>
      <c r="K134" s="81" t="e">
        <f t="shared" si="14"/>
        <v>#N/A</v>
      </c>
      <c r="L134" s="81" t="e">
        <f t="shared" si="15"/>
        <v>#N/A</v>
      </c>
    </row>
    <row r="135" spans="2:12" x14ac:dyDescent="0.2">
      <c r="B135" s="247">
        <v>15.4</v>
      </c>
      <c r="C135" s="56"/>
      <c r="D135" s="56"/>
      <c r="E135" s="56"/>
      <c r="F135" s="56"/>
      <c r="G135" s="80" t="e">
        <f t="shared" si="16"/>
        <v>#N/A</v>
      </c>
      <c r="H135" s="80" t="e">
        <f t="shared" si="17"/>
        <v>#N/A</v>
      </c>
      <c r="I135" s="80" t="e">
        <f t="shared" si="18"/>
        <v>#N/A</v>
      </c>
      <c r="J135" s="80" t="e">
        <f t="shared" si="19"/>
        <v>#N/A</v>
      </c>
      <c r="K135" s="80" t="e">
        <f t="shared" si="14"/>
        <v>#N/A</v>
      </c>
      <c r="L135" s="80" t="e">
        <f t="shared" si="15"/>
        <v>#N/A</v>
      </c>
    </row>
    <row r="136" spans="2:12" x14ac:dyDescent="0.2">
      <c r="B136" s="246">
        <v>15.5</v>
      </c>
      <c r="C136" s="57"/>
      <c r="D136" s="57"/>
      <c r="E136" s="57"/>
      <c r="F136" s="57"/>
      <c r="G136" s="81" t="e">
        <f t="shared" si="16"/>
        <v>#N/A</v>
      </c>
      <c r="H136" s="81" t="e">
        <f t="shared" si="17"/>
        <v>#N/A</v>
      </c>
      <c r="I136" s="81" t="e">
        <f t="shared" si="18"/>
        <v>#N/A</v>
      </c>
      <c r="J136" s="81" t="e">
        <f t="shared" si="19"/>
        <v>#N/A</v>
      </c>
      <c r="K136" s="81" t="e">
        <f t="shared" si="14"/>
        <v>#N/A</v>
      </c>
      <c r="L136" s="81" t="e">
        <f t="shared" si="15"/>
        <v>#N/A</v>
      </c>
    </row>
    <row r="137" spans="2:12" x14ac:dyDescent="0.2">
      <c r="B137" s="247">
        <v>15.6</v>
      </c>
      <c r="C137" s="56"/>
      <c r="D137" s="56"/>
      <c r="E137" s="56"/>
      <c r="F137" s="56"/>
      <c r="G137" s="80" t="e">
        <f t="shared" si="16"/>
        <v>#N/A</v>
      </c>
      <c r="H137" s="80" t="e">
        <f t="shared" si="17"/>
        <v>#N/A</v>
      </c>
      <c r="I137" s="80" t="e">
        <f t="shared" si="18"/>
        <v>#N/A</v>
      </c>
      <c r="J137" s="80" t="e">
        <f t="shared" si="19"/>
        <v>#N/A</v>
      </c>
      <c r="K137" s="80" t="e">
        <f t="shared" si="14"/>
        <v>#N/A</v>
      </c>
      <c r="L137" s="80" t="e">
        <f t="shared" si="15"/>
        <v>#N/A</v>
      </c>
    </row>
    <row r="138" spans="2:12" x14ac:dyDescent="0.2">
      <c r="B138" s="246">
        <v>15.7</v>
      </c>
      <c r="C138" s="57"/>
      <c r="D138" s="57"/>
      <c r="E138" s="57"/>
      <c r="F138" s="57"/>
      <c r="G138" s="81" t="e">
        <f t="shared" si="16"/>
        <v>#N/A</v>
      </c>
      <c r="H138" s="81" t="e">
        <f t="shared" si="17"/>
        <v>#N/A</v>
      </c>
      <c r="I138" s="81" t="e">
        <f t="shared" si="18"/>
        <v>#N/A</v>
      </c>
      <c r="J138" s="81" t="e">
        <f t="shared" si="19"/>
        <v>#N/A</v>
      </c>
      <c r="K138" s="81" t="e">
        <f t="shared" si="14"/>
        <v>#N/A</v>
      </c>
      <c r="L138" s="81" t="e">
        <f t="shared" si="15"/>
        <v>#N/A</v>
      </c>
    </row>
    <row r="139" spans="2:12" x14ac:dyDescent="0.2">
      <c r="B139" s="247">
        <v>16.100000000000001</v>
      </c>
      <c r="C139" s="56"/>
      <c r="D139" s="56"/>
      <c r="E139" s="56"/>
      <c r="F139" s="56"/>
      <c r="G139" s="80" t="e">
        <f t="shared" si="16"/>
        <v>#N/A</v>
      </c>
      <c r="H139" s="80" t="e">
        <f t="shared" si="17"/>
        <v>#N/A</v>
      </c>
      <c r="I139" s="80" t="e">
        <f t="shared" si="18"/>
        <v>#N/A</v>
      </c>
      <c r="J139" s="80" t="e">
        <f t="shared" si="19"/>
        <v>#N/A</v>
      </c>
      <c r="K139" s="80" t="e">
        <f t="shared" si="14"/>
        <v>#N/A</v>
      </c>
      <c r="L139" s="80" t="e">
        <f t="shared" si="15"/>
        <v>#N/A</v>
      </c>
    </row>
    <row r="140" spans="2:12" x14ac:dyDescent="0.2">
      <c r="B140" s="246">
        <v>16.2</v>
      </c>
      <c r="C140" s="57"/>
      <c r="D140" s="57"/>
      <c r="E140" s="57"/>
      <c r="F140" s="57"/>
      <c r="G140" s="81" t="e">
        <f t="shared" si="16"/>
        <v>#N/A</v>
      </c>
      <c r="H140" s="81" t="e">
        <f t="shared" si="17"/>
        <v>#N/A</v>
      </c>
      <c r="I140" s="81" t="e">
        <f t="shared" si="18"/>
        <v>#N/A</v>
      </c>
      <c r="J140" s="81" t="e">
        <f t="shared" si="19"/>
        <v>#N/A</v>
      </c>
      <c r="K140" s="81" t="e">
        <f t="shared" si="14"/>
        <v>#N/A</v>
      </c>
      <c r="L140" s="81" t="e">
        <f t="shared" si="15"/>
        <v>#N/A</v>
      </c>
    </row>
    <row r="141" spans="2:12" x14ac:dyDescent="0.2">
      <c r="B141" s="247">
        <v>16.3</v>
      </c>
      <c r="C141" s="56"/>
      <c r="D141" s="56"/>
      <c r="E141" s="56"/>
      <c r="F141" s="56"/>
      <c r="G141" s="80" t="e">
        <f t="shared" si="16"/>
        <v>#N/A</v>
      </c>
      <c r="H141" s="80" t="e">
        <f t="shared" si="17"/>
        <v>#N/A</v>
      </c>
      <c r="I141" s="80" t="e">
        <f t="shared" si="18"/>
        <v>#N/A</v>
      </c>
      <c r="J141" s="80" t="e">
        <f t="shared" si="19"/>
        <v>#N/A</v>
      </c>
      <c r="K141" s="80" t="e">
        <f t="shared" si="14"/>
        <v>#N/A</v>
      </c>
      <c r="L141" s="80" t="e">
        <f t="shared" si="15"/>
        <v>#N/A</v>
      </c>
    </row>
    <row r="142" spans="2:12" x14ac:dyDescent="0.2">
      <c r="B142" s="246">
        <v>16.399999999999999</v>
      </c>
      <c r="C142" s="57"/>
      <c r="D142" s="57"/>
      <c r="E142" s="57"/>
      <c r="F142" s="57"/>
      <c r="G142" s="81" t="e">
        <f t="shared" si="16"/>
        <v>#N/A</v>
      </c>
      <c r="H142" s="81" t="e">
        <f t="shared" si="17"/>
        <v>#N/A</v>
      </c>
      <c r="I142" s="81" t="e">
        <f t="shared" si="18"/>
        <v>#N/A</v>
      </c>
      <c r="J142" s="81" t="e">
        <f t="shared" si="19"/>
        <v>#N/A</v>
      </c>
      <c r="K142" s="81" t="e">
        <f t="shared" si="14"/>
        <v>#N/A</v>
      </c>
      <c r="L142" s="81" t="e">
        <f t="shared" si="15"/>
        <v>#N/A</v>
      </c>
    </row>
    <row r="143" spans="2:12" x14ac:dyDescent="0.2">
      <c r="B143" s="247">
        <v>16.5</v>
      </c>
      <c r="C143" s="56"/>
      <c r="D143" s="56"/>
      <c r="E143" s="56"/>
      <c r="F143" s="56"/>
      <c r="G143" s="80" t="e">
        <f t="shared" si="16"/>
        <v>#N/A</v>
      </c>
      <c r="H143" s="80" t="e">
        <f t="shared" si="17"/>
        <v>#N/A</v>
      </c>
      <c r="I143" s="80" t="e">
        <f t="shared" si="18"/>
        <v>#N/A</v>
      </c>
      <c r="J143" s="80" t="e">
        <f t="shared" si="19"/>
        <v>#N/A</v>
      </c>
      <c r="K143" s="80" t="e">
        <f t="shared" ref="K143:K166" si="20">ROUND(AVERAGE(G143:J143),0)</f>
        <v>#N/A</v>
      </c>
      <c r="L143" s="80" t="e">
        <f t="shared" ref="L143" si="21">K143</f>
        <v>#N/A</v>
      </c>
    </row>
    <row r="144" spans="2:12" x14ac:dyDescent="0.2">
      <c r="B144" s="246">
        <v>16.600000000000001</v>
      </c>
      <c r="C144" s="57"/>
      <c r="D144" s="57"/>
      <c r="E144" s="57"/>
      <c r="F144" s="57"/>
      <c r="G144" s="81" t="e">
        <f t="shared" ref="G144:G166" si="22">VLOOKUP(C144,$C$4:$G$10,5,FALSE)</f>
        <v>#N/A</v>
      </c>
      <c r="H144" s="81" t="e">
        <f t="shared" ref="H144:H166" si="23">VLOOKUP(D144,$D$4:$G$10,4,FALSE)</f>
        <v>#N/A</v>
      </c>
      <c r="I144" s="81" t="e">
        <f t="shared" ref="I144:I166" si="24">VLOOKUP(E144,$E$4:$G$10,3,FALSE)</f>
        <v>#N/A</v>
      </c>
      <c r="J144" s="81" t="e">
        <f t="shared" ref="J144:J165" si="25">VLOOKUP(F144,$F$4:$G$10,2,FALSE)</f>
        <v>#N/A</v>
      </c>
      <c r="K144" s="81" t="e">
        <f t="shared" si="20"/>
        <v>#N/A</v>
      </c>
      <c r="L144" s="81" t="e">
        <f>K144</f>
        <v>#N/A</v>
      </c>
    </row>
    <row r="145" spans="2:12" x14ac:dyDescent="0.2">
      <c r="B145" s="247">
        <v>16.7</v>
      </c>
      <c r="C145" s="56"/>
      <c r="D145" s="56"/>
      <c r="E145" s="56"/>
      <c r="F145" s="56"/>
      <c r="G145" s="80" t="e">
        <f t="shared" si="22"/>
        <v>#N/A</v>
      </c>
      <c r="H145" s="80" t="e">
        <f t="shared" si="23"/>
        <v>#N/A</v>
      </c>
      <c r="I145" s="80" t="e">
        <f t="shared" si="24"/>
        <v>#N/A</v>
      </c>
      <c r="J145" s="80" t="e">
        <f t="shared" si="25"/>
        <v>#N/A</v>
      </c>
      <c r="K145" s="80" t="e">
        <f t="shared" si="20"/>
        <v>#N/A</v>
      </c>
      <c r="L145" s="80" t="e">
        <f t="shared" ref="L145:L166" si="26">K145</f>
        <v>#N/A</v>
      </c>
    </row>
    <row r="146" spans="2:12" x14ac:dyDescent="0.2">
      <c r="B146" s="246">
        <v>16.8</v>
      </c>
      <c r="C146" s="57"/>
      <c r="D146" s="57"/>
      <c r="E146" s="57"/>
      <c r="F146" s="57"/>
      <c r="G146" s="81" t="e">
        <f t="shared" si="22"/>
        <v>#N/A</v>
      </c>
      <c r="H146" s="81" t="e">
        <f t="shared" si="23"/>
        <v>#N/A</v>
      </c>
      <c r="I146" s="81" t="e">
        <f t="shared" si="24"/>
        <v>#N/A</v>
      </c>
      <c r="J146" s="81" t="e">
        <f t="shared" si="25"/>
        <v>#N/A</v>
      </c>
      <c r="K146" s="81" t="e">
        <f t="shared" si="20"/>
        <v>#N/A</v>
      </c>
      <c r="L146" s="81" t="e">
        <f t="shared" si="26"/>
        <v>#N/A</v>
      </c>
    </row>
    <row r="147" spans="2:12" x14ac:dyDescent="0.2">
      <c r="B147" s="247">
        <v>16.899999999999999</v>
      </c>
      <c r="C147" s="56"/>
      <c r="D147" s="56"/>
      <c r="E147" s="56"/>
      <c r="F147" s="56"/>
      <c r="G147" s="80" t="e">
        <f t="shared" si="22"/>
        <v>#N/A</v>
      </c>
      <c r="H147" s="80" t="e">
        <f t="shared" si="23"/>
        <v>#N/A</v>
      </c>
      <c r="I147" s="80" t="e">
        <f t="shared" si="24"/>
        <v>#N/A</v>
      </c>
      <c r="J147" s="80" t="e">
        <f t="shared" si="25"/>
        <v>#N/A</v>
      </c>
      <c r="K147" s="80" t="e">
        <f t="shared" si="20"/>
        <v>#N/A</v>
      </c>
      <c r="L147" s="80" t="e">
        <f t="shared" si="26"/>
        <v>#N/A</v>
      </c>
    </row>
    <row r="148" spans="2:12" x14ac:dyDescent="0.2">
      <c r="B148" s="246" t="s">
        <v>460</v>
      </c>
      <c r="C148" s="57"/>
      <c r="D148" s="57"/>
      <c r="E148" s="57"/>
      <c r="F148" s="57"/>
      <c r="G148" s="81" t="e">
        <f t="shared" si="22"/>
        <v>#N/A</v>
      </c>
      <c r="H148" s="81" t="e">
        <f t="shared" si="23"/>
        <v>#N/A</v>
      </c>
      <c r="I148" s="81" t="e">
        <f t="shared" si="24"/>
        <v>#N/A</v>
      </c>
      <c r="J148" s="81" t="e">
        <f t="shared" si="25"/>
        <v>#N/A</v>
      </c>
      <c r="K148" s="81" t="e">
        <f t="shared" si="20"/>
        <v>#N/A</v>
      </c>
      <c r="L148" s="81" t="e">
        <f t="shared" si="26"/>
        <v>#N/A</v>
      </c>
    </row>
    <row r="149" spans="2:12" x14ac:dyDescent="0.2">
      <c r="B149" s="247">
        <v>16.11</v>
      </c>
      <c r="C149" s="56"/>
      <c r="D149" s="56"/>
      <c r="E149" s="56"/>
      <c r="F149" s="56"/>
      <c r="G149" s="80" t="e">
        <f t="shared" si="22"/>
        <v>#N/A</v>
      </c>
      <c r="H149" s="80" t="e">
        <f t="shared" si="23"/>
        <v>#N/A</v>
      </c>
      <c r="I149" s="80" t="e">
        <f t="shared" si="24"/>
        <v>#N/A</v>
      </c>
      <c r="J149" s="80" t="e">
        <f t="shared" si="25"/>
        <v>#N/A</v>
      </c>
      <c r="K149" s="80" t="e">
        <f t="shared" si="20"/>
        <v>#N/A</v>
      </c>
      <c r="L149" s="80" t="e">
        <f t="shared" si="26"/>
        <v>#N/A</v>
      </c>
    </row>
    <row r="150" spans="2:12" x14ac:dyDescent="0.2">
      <c r="B150" s="246">
        <v>16.12</v>
      </c>
      <c r="C150" s="57"/>
      <c r="D150" s="57"/>
      <c r="E150" s="57"/>
      <c r="F150" s="57"/>
      <c r="G150" s="81" t="e">
        <f t="shared" si="22"/>
        <v>#N/A</v>
      </c>
      <c r="H150" s="81" t="e">
        <f t="shared" si="23"/>
        <v>#N/A</v>
      </c>
      <c r="I150" s="81" t="e">
        <f t="shared" si="24"/>
        <v>#N/A</v>
      </c>
      <c r="J150" s="81" t="e">
        <f t="shared" si="25"/>
        <v>#N/A</v>
      </c>
      <c r="K150" s="81" t="e">
        <f t="shared" si="20"/>
        <v>#N/A</v>
      </c>
      <c r="L150" s="81" t="e">
        <f t="shared" si="26"/>
        <v>#N/A</v>
      </c>
    </row>
    <row r="151" spans="2:12" x14ac:dyDescent="0.2">
      <c r="B151" s="247">
        <v>16.13</v>
      </c>
      <c r="C151" s="56"/>
      <c r="D151" s="56"/>
      <c r="E151" s="56"/>
      <c r="F151" s="56"/>
      <c r="G151" s="80" t="e">
        <f t="shared" si="22"/>
        <v>#N/A</v>
      </c>
      <c r="H151" s="80" t="e">
        <f t="shared" si="23"/>
        <v>#N/A</v>
      </c>
      <c r="I151" s="80" t="e">
        <f t="shared" si="24"/>
        <v>#N/A</v>
      </c>
      <c r="J151" s="80" t="e">
        <f t="shared" si="25"/>
        <v>#N/A</v>
      </c>
      <c r="K151" s="80" t="e">
        <f t="shared" si="20"/>
        <v>#N/A</v>
      </c>
      <c r="L151" s="80" t="e">
        <f t="shared" si="26"/>
        <v>#N/A</v>
      </c>
    </row>
    <row r="152" spans="2:12" x14ac:dyDescent="0.2">
      <c r="B152" s="246">
        <v>16.14</v>
      </c>
      <c r="C152" s="57"/>
      <c r="D152" s="57"/>
      <c r="E152" s="57"/>
      <c r="F152" s="57"/>
      <c r="G152" s="81" t="e">
        <f t="shared" si="22"/>
        <v>#N/A</v>
      </c>
      <c r="H152" s="81" t="e">
        <f t="shared" si="23"/>
        <v>#N/A</v>
      </c>
      <c r="I152" s="81" t="e">
        <f t="shared" si="24"/>
        <v>#N/A</v>
      </c>
      <c r="J152" s="81" t="e">
        <f t="shared" si="25"/>
        <v>#N/A</v>
      </c>
      <c r="K152" s="81" t="e">
        <f t="shared" si="20"/>
        <v>#N/A</v>
      </c>
      <c r="L152" s="81" t="e">
        <f t="shared" si="26"/>
        <v>#N/A</v>
      </c>
    </row>
    <row r="153" spans="2:12" x14ac:dyDescent="0.2">
      <c r="B153" s="247">
        <v>17.100000000000001</v>
      </c>
      <c r="C153" s="56"/>
      <c r="D153" s="56"/>
      <c r="E153" s="56"/>
      <c r="F153" s="56"/>
      <c r="G153" s="80" t="e">
        <f t="shared" si="22"/>
        <v>#N/A</v>
      </c>
      <c r="H153" s="80" t="e">
        <f t="shared" si="23"/>
        <v>#N/A</v>
      </c>
      <c r="I153" s="80" t="e">
        <f t="shared" si="24"/>
        <v>#N/A</v>
      </c>
      <c r="J153" s="80" t="e">
        <f t="shared" si="25"/>
        <v>#N/A</v>
      </c>
      <c r="K153" s="80" t="e">
        <f t="shared" si="20"/>
        <v>#N/A</v>
      </c>
      <c r="L153" s="80" t="e">
        <f t="shared" si="26"/>
        <v>#N/A</v>
      </c>
    </row>
    <row r="154" spans="2:12" x14ac:dyDescent="0.2">
      <c r="B154" s="246">
        <v>17.2</v>
      </c>
      <c r="C154" s="57"/>
      <c r="D154" s="57"/>
      <c r="E154" s="57"/>
      <c r="F154" s="57"/>
      <c r="G154" s="81" t="e">
        <f t="shared" si="22"/>
        <v>#N/A</v>
      </c>
      <c r="H154" s="81" t="e">
        <f t="shared" si="23"/>
        <v>#N/A</v>
      </c>
      <c r="I154" s="81" t="e">
        <f t="shared" si="24"/>
        <v>#N/A</v>
      </c>
      <c r="J154" s="81" t="e">
        <f t="shared" si="25"/>
        <v>#N/A</v>
      </c>
      <c r="K154" s="81" t="e">
        <f t="shared" si="20"/>
        <v>#N/A</v>
      </c>
      <c r="L154" s="81" t="e">
        <f t="shared" si="26"/>
        <v>#N/A</v>
      </c>
    </row>
    <row r="155" spans="2:12" x14ac:dyDescent="0.2">
      <c r="B155" s="247">
        <v>17.3</v>
      </c>
      <c r="C155" s="56"/>
      <c r="D155" s="56"/>
      <c r="E155" s="56"/>
      <c r="F155" s="56"/>
      <c r="G155" s="80" t="e">
        <f t="shared" si="22"/>
        <v>#N/A</v>
      </c>
      <c r="H155" s="80" t="e">
        <f t="shared" si="23"/>
        <v>#N/A</v>
      </c>
      <c r="I155" s="80" t="e">
        <f t="shared" si="24"/>
        <v>#N/A</v>
      </c>
      <c r="J155" s="80" t="e">
        <f t="shared" si="25"/>
        <v>#N/A</v>
      </c>
      <c r="K155" s="80" t="e">
        <f t="shared" si="20"/>
        <v>#N/A</v>
      </c>
      <c r="L155" s="80" t="e">
        <f t="shared" si="26"/>
        <v>#N/A</v>
      </c>
    </row>
    <row r="156" spans="2:12" x14ac:dyDescent="0.2">
      <c r="B156" s="246">
        <v>17.399999999999999</v>
      </c>
      <c r="C156" s="57"/>
      <c r="D156" s="57"/>
      <c r="E156" s="57"/>
      <c r="F156" s="57"/>
      <c r="G156" s="81" t="e">
        <f t="shared" si="22"/>
        <v>#N/A</v>
      </c>
      <c r="H156" s="81" t="e">
        <f t="shared" si="23"/>
        <v>#N/A</v>
      </c>
      <c r="I156" s="81" t="e">
        <f t="shared" si="24"/>
        <v>#N/A</v>
      </c>
      <c r="J156" s="81" t="e">
        <f t="shared" si="25"/>
        <v>#N/A</v>
      </c>
      <c r="K156" s="81" t="e">
        <f t="shared" si="20"/>
        <v>#N/A</v>
      </c>
      <c r="L156" s="81" t="e">
        <f t="shared" si="26"/>
        <v>#N/A</v>
      </c>
    </row>
    <row r="157" spans="2:12" x14ac:dyDescent="0.2">
      <c r="B157" s="247">
        <v>17.5</v>
      </c>
      <c r="C157" s="56"/>
      <c r="D157" s="56"/>
      <c r="E157" s="56"/>
      <c r="F157" s="56"/>
      <c r="G157" s="80" t="e">
        <f t="shared" si="22"/>
        <v>#N/A</v>
      </c>
      <c r="H157" s="80" t="e">
        <f t="shared" si="23"/>
        <v>#N/A</v>
      </c>
      <c r="I157" s="80" t="e">
        <f t="shared" si="24"/>
        <v>#N/A</v>
      </c>
      <c r="J157" s="80" t="e">
        <f t="shared" si="25"/>
        <v>#N/A</v>
      </c>
      <c r="K157" s="80" t="e">
        <f t="shared" si="20"/>
        <v>#N/A</v>
      </c>
      <c r="L157" s="80" t="e">
        <f t="shared" si="26"/>
        <v>#N/A</v>
      </c>
    </row>
    <row r="158" spans="2:12" x14ac:dyDescent="0.2">
      <c r="B158" s="246">
        <v>17.600000000000001</v>
      </c>
      <c r="C158" s="57"/>
      <c r="D158" s="57"/>
      <c r="E158" s="57"/>
      <c r="F158" s="57"/>
      <c r="G158" s="81" t="e">
        <f t="shared" si="22"/>
        <v>#N/A</v>
      </c>
      <c r="H158" s="81" t="e">
        <f t="shared" si="23"/>
        <v>#N/A</v>
      </c>
      <c r="I158" s="81" t="e">
        <f t="shared" si="24"/>
        <v>#N/A</v>
      </c>
      <c r="J158" s="81" t="e">
        <f t="shared" si="25"/>
        <v>#N/A</v>
      </c>
      <c r="K158" s="81" t="e">
        <f t="shared" si="20"/>
        <v>#N/A</v>
      </c>
      <c r="L158" s="81" t="e">
        <f t="shared" si="26"/>
        <v>#N/A</v>
      </c>
    </row>
    <row r="159" spans="2:12" x14ac:dyDescent="0.2">
      <c r="B159" s="247">
        <v>17.7</v>
      </c>
      <c r="C159" s="56"/>
      <c r="D159" s="56"/>
      <c r="E159" s="56"/>
      <c r="F159" s="56"/>
      <c r="G159" s="80" t="e">
        <f t="shared" si="22"/>
        <v>#N/A</v>
      </c>
      <c r="H159" s="80" t="e">
        <f t="shared" si="23"/>
        <v>#N/A</v>
      </c>
      <c r="I159" s="80" t="e">
        <f t="shared" si="24"/>
        <v>#N/A</v>
      </c>
      <c r="J159" s="80" t="e">
        <f t="shared" si="25"/>
        <v>#N/A</v>
      </c>
      <c r="K159" s="80" t="e">
        <f t="shared" si="20"/>
        <v>#N/A</v>
      </c>
      <c r="L159" s="80" t="e">
        <f t="shared" si="26"/>
        <v>#N/A</v>
      </c>
    </row>
    <row r="160" spans="2:12" x14ac:dyDescent="0.2">
      <c r="B160" s="246">
        <v>17.8</v>
      </c>
      <c r="C160" s="57"/>
      <c r="D160" s="57"/>
      <c r="E160" s="57"/>
      <c r="F160" s="57"/>
      <c r="G160" s="81" t="e">
        <f t="shared" si="22"/>
        <v>#N/A</v>
      </c>
      <c r="H160" s="81" t="e">
        <f t="shared" si="23"/>
        <v>#N/A</v>
      </c>
      <c r="I160" s="81" t="e">
        <f t="shared" si="24"/>
        <v>#N/A</v>
      </c>
      <c r="J160" s="81" t="e">
        <f t="shared" si="25"/>
        <v>#N/A</v>
      </c>
      <c r="K160" s="81" t="e">
        <f t="shared" si="20"/>
        <v>#N/A</v>
      </c>
      <c r="L160" s="81" t="e">
        <f t="shared" si="26"/>
        <v>#N/A</v>
      </c>
    </row>
    <row r="161" spans="2:12" x14ac:dyDescent="0.2">
      <c r="B161" s="247">
        <v>17.899999999999999</v>
      </c>
      <c r="C161" s="56"/>
      <c r="D161" s="56"/>
      <c r="E161" s="56"/>
      <c r="F161" s="56"/>
      <c r="G161" s="80" t="e">
        <f t="shared" si="22"/>
        <v>#N/A</v>
      </c>
      <c r="H161" s="80" t="e">
        <f t="shared" si="23"/>
        <v>#N/A</v>
      </c>
      <c r="I161" s="80" t="e">
        <f t="shared" si="24"/>
        <v>#N/A</v>
      </c>
      <c r="J161" s="80" t="e">
        <f t="shared" si="25"/>
        <v>#N/A</v>
      </c>
      <c r="K161" s="80" t="e">
        <f t="shared" si="20"/>
        <v>#N/A</v>
      </c>
      <c r="L161" s="80" t="e">
        <f t="shared" si="26"/>
        <v>#N/A</v>
      </c>
    </row>
    <row r="162" spans="2:12" x14ac:dyDescent="0.2">
      <c r="B162" s="246">
        <v>18.100000000000001</v>
      </c>
      <c r="C162" s="57"/>
      <c r="D162" s="57"/>
      <c r="E162" s="57"/>
      <c r="F162" s="57"/>
      <c r="G162" s="81" t="e">
        <f t="shared" si="22"/>
        <v>#N/A</v>
      </c>
      <c r="H162" s="81" t="e">
        <f t="shared" si="23"/>
        <v>#N/A</v>
      </c>
      <c r="I162" s="81" t="e">
        <f t="shared" si="24"/>
        <v>#N/A</v>
      </c>
      <c r="J162" s="81" t="e">
        <f t="shared" si="25"/>
        <v>#N/A</v>
      </c>
      <c r="K162" s="81" t="e">
        <f t="shared" si="20"/>
        <v>#N/A</v>
      </c>
      <c r="L162" s="81" t="e">
        <f t="shared" si="26"/>
        <v>#N/A</v>
      </c>
    </row>
    <row r="163" spans="2:12" x14ac:dyDescent="0.2">
      <c r="B163" s="247">
        <v>18.2</v>
      </c>
      <c r="C163" s="56"/>
      <c r="D163" s="56"/>
      <c r="E163" s="56"/>
      <c r="F163" s="56"/>
      <c r="G163" s="80" t="e">
        <f t="shared" si="22"/>
        <v>#N/A</v>
      </c>
      <c r="H163" s="80" t="e">
        <f t="shared" si="23"/>
        <v>#N/A</v>
      </c>
      <c r="I163" s="80" t="e">
        <f t="shared" si="24"/>
        <v>#N/A</v>
      </c>
      <c r="J163" s="80" t="e">
        <f t="shared" si="25"/>
        <v>#N/A</v>
      </c>
      <c r="K163" s="80" t="e">
        <f t="shared" si="20"/>
        <v>#N/A</v>
      </c>
      <c r="L163" s="80" t="e">
        <f t="shared" si="26"/>
        <v>#N/A</v>
      </c>
    </row>
    <row r="164" spans="2:12" x14ac:dyDescent="0.2">
      <c r="B164" s="246">
        <v>18.3</v>
      </c>
      <c r="C164" s="57"/>
      <c r="D164" s="57"/>
      <c r="E164" s="57"/>
      <c r="F164" s="57"/>
      <c r="G164" s="81" t="e">
        <f t="shared" si="22"/>
        <v>#N/A</v>
      </c>
      <c r="H164" s="81" t="e">
        <f t="shared" si="23"/>
        <v>#N/A</v>
      </c>
      <c r="I164" s="81" t="e">
        <f t="shared" si="24"/>
        <v>#N/A</v>
      </c>
      <c r="J164" s="81" t="e">
        <f t="shared" si="25"/>
        <v>#N/A</v>
      </c>
      <c r="K164" s="81" t="e">
        <f t="shared" si="20"/>
        <v>#N/A</v>
      </c>
      <c r="L164" s="81" t="e">
        <f t="shared" si="26"/>
        <v>#N/A</v>
      </c>
    </row>
    <row r="165" spans="2:12" x14ac:dyDescent="0.2">
      <c r="B165" s="247">
        <v>18.399999999999999</v>
      </c>
      <c r="C165" s="56"/>
      <c r="D165" s="56"/>
      <c r="E165" s="56"/>
      <c r="F165" s="56"/>
      <c r="G165" s="80" t="e">
        <f t="shared" si="22"/>
        <v>#N/A</v>
      </c>
      <c r="H165" s="80" t="e">
        <f t="shared" si="23"/>
        <v>#N/A</v>
      </c>
      <c r="I165" s="80" t="e">
        <f t="shared" si="24"/>
        <v>#N/A</v>
      </c>
      <c r="J165" s="80" t="e">
        <f t="shared" si="25"/>
        <v>#N/A</v>
      </c>
      <c r="K165" s="80" t="e">
        <f t="shared" si="20"/>
        <v>#N/A</v>
      </c>
      <c r="L165" s="80" t="e">
        <f t="shared" si="26"/>
        <v>#N/A</v>
      </c>
    </row>
    <row r="166" spans="2:12" ht="13.5" thickBot="1" x14ac:dyDescent="0.25">
      <c r="B166" s="248">
        <v>18.5</v>
      </c>
      <c r="C166" s="59"/>
      <c r="D166" s="59"/>
      <c r="E166" s="59"/>
      <c r="F166" s="59"/>
      <c r="G166" s="249" t="e">
        <f t="shared" si="22"/>
        <v>#N/A</v>
      </c>
      <c r="H166" s="249" t="e">
        <f t="shared" si="23"/>
        <v>#N/A</v>
      </c>
      <c r="I166" s="249" t="e">
        <f t="shared" si="24"/>
        <v>#N/A</v>
      </c>
      <c r="J166" s="249" t="e">
        <f>VLOOKUP(F166,$F$4:$G$10,2,FALSE)</f>
        <v>#N/A</v>
      </c>
      <c r="K166" s="249" t="e">
        <f t="shared" si="20"/>
        <v>#N/A</v>
      </c>
      <c r="L166" s="249" t="e">
        <f t="shared" si="26"/>
        <v>#N/A</v>
      </c>
    </row>
  </sheetData>
  <sheetProtection sheet="1" objects="1" scenarios="1"/>
  <mergeCells count="6">
    <mergeCell ref="B1:L1"/>
    <mergeCell ref="C12:F12"/>
    <mergeCell ref="G12:J12"/>
    <mergeCell ref="K12:K13"/>
    <mergeCell ref="L12:L13"/>
    <mergeCell ref="I3:L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F216-9854-42C0-B73C-437104BEC232}">
  <sheetPr>
    <tabColor rgb="FF003B5C"/>
  </sheetPr>
  <dimension ref="A1:L2"/>
  <sheetViews>
    <sheetView showGridLines="0" zoomScaleNormal="100" workbookViewId="0">
      <selection activeCell="A2" sqref="A2:L2"/>
    </sheetView>
  </sheetViews>
  <sheetFormatPr defaultColWidth="11.42578125" defaultRowHeight="15" x14ac:dyDescent="0.25"/>
  <sheetData>
    <row r="1" spans="1:12" ht="30.75" x14ac:dyDescent="0.25">
      <c r="A1" s="315" t="s">
        <v>664</v>
      </c>
      <c r="B1" s="316"/>
      <c r="C1" s="316"/>
      <c r="D1" s="316"/>
      <c r="E1" s="316"/>
      <c r="F1" s="316"/>
      <c r="G1" s="316"/>
      <c r="H1" s="316"/>
      <c r="I1" s="316"/>
      <c r="J1" s="316"/>
      <c r="K1" s="316"/>
      <c r="L1" s="317"/>
    </row>
    <row r="2" spans="1:12" ht="203.25" customHeight="1" x14ac:dyDescent="0.25">
      <c r="A2" s="314" t="s">
        <v>682</v>
      </c>
      <c r="B2" s="314"/>
      <c r="C2" s="314"/>
      <c r="D2" s="314"/>
      <c r="E2" s="314"/>
      <c r="F2" s="314"/>
      <c r="G2" s="314"/>
      <c r="H2" s="314"/>
      <c r="I2" s="314"/>
      <c r="J2" s="314"/>
      <c r="K2" s="314"/>
      <c r="L2" s="314"/>
    </row>
  </sheetData>
  <sheetProtection sheet="1" objects="1" scenarios="1"/>
  <mergeCells count="2">
    <mergeCell ref="A2:L2"/>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02526-7C7D-4D69-A319-9C1A95486801}">
  <sheetPr>
    <tabColor rgb="FF003B5C"/>
  </sheetPr>
  <dimension ref="B1:C21"/>
  <sheetViews>
    <sheetView showGridLines="0" zoomScale="150" zoomScaleNormal="150" workbookViewId="0"/>
  </sheetViews>
  <sheetFormatPr defaultColWidth="12.42578125" defaultRowHeight="11.25" x14ac:dyDescent="0.25"/>
  <cols>
    <col min="1" max="1" width="7.85546875" style="304" customWidth="1"/>
    <col min="2" max="2" width="30.140625" style="304" customWidth="1"/>
    <col min="3" max="3" width="86.85546875" style="304" bestFit="1" customWidth="1"/>
    <col min="4" max="16384" width="12.42578125" style="304"/>
  </cols>
  <sheetData>
    <row r="1" spans="2:3" ht="39.950000000000003" customHeight="1" x14ac:dyDescent="0.25"/>
    <row r="2" spans="2:3" ht="110.1" customHeight="1" x14ac:dyDescent="0.25">
      <c r="B2" s="305"/>
      <c r="C2" s="306" t="s">
        <v>683</v>
      </c>
    </row>
    <row r="3" spans="2:3" x14ac:dyDescent="0.25">
      <c r="C3" s="307" t="s">
        <v>318</v>
      </c>
    </row>
    <row r="4" spans="2:3" ht="20.100000000000001" customHeight="1" x14ac:dyDescent="0.25"/>
    <row r="5" spans="2:3" ht="30" customHeight="1" x14ac:dyDescent="0.25">
      <c r="B5" s="305"/>
      <c r="C5" s="306" t="s">
        <v>677</v>
      </c>
    </row>
    <row r="6" spans="2:3" x14ac:dyDescent="0.25">
      <c r="C6" s="308" t="s">
        <v>678</v>
      </c>
    </row>
    <row r="7" spans="2:3" ht="39.950000000000003" customHeight="1" x14ac:dyDescent="0.25"/>
    <row r="8" spans="2:3" ht="20.100000000000001" customHeight="1" x14ac:dyDescent="0.25">
      <c r="B8" s="305"/>
      <c r="C8" s="309" t="s">
        <v>319</v>
      </c>
    </row>
    <row r="9" spans="2:3" x14ac:dyDescent="0.25">
      <c r="C9" s="310" t="s">
        <v>320</v>
      </c>
    </row>
    <row r="10" spans="2:3" ht="39.950000000000003" customHeight="1" x14ac:dyDescent="0.25"/>
    <row r="11" spans="2:3" ht="20.100000000000001" customHeight="1" x14ac:dyDescent="0.25">
      <c r="B11" s="305"/>
      <c r="C11" s="311" t="s">
        <v>321</v>
      </c>
    </row>
    <row r="12" spans="2:3" ht="5.0999999999999996" customHeight="1" x14ac:dyDescent="0.25">
      <c r="C12" s="312"/>
    </row>
    <row r="13" spans="2:3" ht="33.75" x14ac:dyDescent="0.25">
      <c r="C13" s="304" t="s">
        <v>679</v>
      </c>
    </row>
    <row r="14" spans="2:3" ht="9.9499999999999993" customHeight="1" x14ac:dyDescent="0.25"/>
    <row r="15" spans="2:3" x14ac:dyDescent="0.25">
      <c r="C15" s="313" t="s">
        <v>322</v>
      </c>
    </row>
    <row r="16" spans="2:3" ht="5.0999999999999996" customHeight="1" x14ac:dyDescent="0.25"/>
    <row r="17" spans="3:3" ht="22.5" x14ac:dyDescent="0.25">
      <c r="C17" s="304" t="s">
        <v>680</v>
      </c>
    </row>
    <row r="18" spans="3:3" x14ac:dyDescent="0.25">
      <c r="C18" s="307" t="s">
        <v>323</v>
      </c>
    </row>
    <row r="19" spans="3:3" ht="9.9499999999999993" customHeight="1" x14ac:dyDescent="0.25">
      <c r="C19" s="307"/>
    </row>
    <row r="20" spans="3:3" ht="92.1" customHeight="1" x14ac:dyDescent="0.25">
      <c r="C20" s="304" t="s">
        <v>681</v>
      </c>
    </row>
    <row r="21" spans="3:3" x14ac:dyDescent="0.25">
      <c r="C21" s="307" t="s">
        <v>324</v>
      </c>
    </row>
  </sheetData>
  <sheetProtection sheet="1" objects="1" scenarios="1"/>
  <hyperlinks>
    <hyperlink ref="C6" r:id="rId1" xr:uid="{A672E8C7-738D-4D5C-BD94-D12701212D9D}"/>
    <hyperlink ref="C9" r:id="rId2" xr:uid="{B613F4D8-B7CE-4B64-BBE7-BD61858BDC0D}"/>
    <hyperlink ref="C18" r:id="rId3" xr:uid="{FBFA5378-581C-461E-A823-A27D8AD0AE5C}"/>
    <hyperlink ref="C21" r:id="rId4" xr:uid="{6DA65E8E-34D3-4E5C-9B8A-ACF2DA60F4E9}"/>
    <hyperlink ref="C3" r:id="rId5" xr:uid="{40DD85F6-969F-4243-A9F9-63FC1C21D72D}"/>
  </hyperlinks>
  <pageMargins left="0.7" right="0.7" top="0.75" bottom="0.75" header="0.3" footer="0.3"/>
  <pageSetup orientation="portrait" horizontalDpi="0" verticalDpi="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5178-005D-4C75-8F85-5C99D3D85F4C}">
  <sheetPr codeName="Sheet3">
    <tabColor rgb="FF0086BF"/>
  </sheetPr>
  <dimension ref="B2:E70"/>
  <sheetViews>
    <sheetView showGridLines="0" zoomScaleNormal="100" workbookViewId="0">
      <selection activeCell="B3" sqref="B3"/>
    </sheetView>
  </sheetViews>
  <sheetFormatPr defaultColWidth="9.140625" defaultRowHeight="14.25" x14ac:dyDescent="0.25"/>
  <cols>
    <col min="1" max="1" width="4.42578125" style="90" customWidth="1"/>
    <col min="2" max="2" width="10.42578125" style="124" customWidth="1"/>
    <col min="3" max="3" width="22.7109375" style="131" customWidth="1"/>
    <col min="4" max="4" width="52.5703125" style="131" customWidth="1"/>
    <col min="5" max="5" width="52.140625" style="7" customWidth="1"/>
    <col min="6" max="16384" width="9.140625" style="90"/>
  </cols>
  <sheetData>
    <row r="2" spans="2:5" ht="15" x14ac:dyDescent="0.25">
      <c r="D2" s="121" t="s">
        <v>152</v>
      </c>
      <c r="E2" s="132" t="s">
        <v>483</v>
      </c>
    </row>
    <row r="3" spans="2:5" ht="39" thickBot="1" x14ac:dyDescent="0.3">
      <c r="B3" s="123">
        <v>1</v>
      </c>
      <c r="C3" s="123" t="s">
        <v>6</v>
      </c>
      <c r="D3" s="96" t="s">
        <v>482</v>
      </c>
      <c r="E3" s="97"/>
    </row>
    <row r="4" spans="2:5" ht="15" thickTop="1" x14ac:dyDescent="0.25">
      <c r="C4" s="125"/>
      <c r="D4" s="125"/>
      <c r="E4" s="89"/>
    </row>
    <row r="5" spans="2:5" ht="32.25" customHeight="1" x14ac:dyDescent="0.25">
      <c r="C5" s="318" t="s">
        <v>330</v>
      </c>
      <c r="D5" s="319"/>
      <c r="E5" s="320"/>
    </row>
    <row r="6" spans="2:5" x14ac:dyDescent="0.25">
      <c r="C6" s="125"/>
      <c r="D6" s="125"/>
      <c r="E6" s="89"/>
    </row>
    <row r="7" spans="2:5" x14ac:dyDescent="0.25">
      <c r="C7" s="126" t="s">
        <v>238</v>
      </c>
      <c r="D7" s="126" t="s">
        <v>152</v>
      </c>
      <c r="E7" s="126" t="s">
        <v>483</v>
      </c>
    </row>
    <row r="8" spans="2:5" ht="25.5" x14ac:dyDescent="0.25">
      <c r="C8" s="20" t="s">
        <v>153</v>
      </c>
      <c r="D8" s="127" t="s">
        <v>137</v>
      </c>
      <c r="E8" s="128" t="s">
        <v>599</v>
      </c>
    </row>
    <row r="9" spans="2:5" ht="25.5" x14ac:dyDescent="0.25">
      <c r="C9" s="20" t="s">
        <v>134</v>
      </c>
      <c r="D9" s="127" t="s">
        <v>138</v>
      </c>
      <c r="E9" s="128" t="s">
        <v>600</v>
      </c>
    </row>
    <row r="10" spans="2:5" ht="51" x14ac:dyDescent="0.25">
      <c r="C10" s="20" t="s">
        <v>135</v>
      </c>
      <c r="D10" s="127" t="s">
        <v>140</v>
      </c>
      <c r="E10" s="128" t="s">
        <v>601</v>
      </c>
    </row>
    <row r="11" spans="2:5" ht="38.25" x14ac:dyDescent="0.25">
      <c r="C11" s="20" t="s">
        <v>136</v>
      </c>
      <c r="D11" s="127" t="s">
        <v>139</v>
      </c>
      <c r="E11" s="128" t="s">
        <v>602</v>
      </c>
    </row>
    <row r="12" spans="2:5" ht="38.25" x14ac:dyDescent="0.25">
      <c r="C12" s="20" t="s">
        <v>141</v>
      </c>
      <c r="D12" s="127" t="s">
        <v>484</v>
      </c>
      <c r="E12" s="128" t="s">
        <v>603</v>
      </c>
    </row>
    <row r="13" spans="2:5" ht="15" x14ac:dyDescent="0.25">
      <c r="C13" s="91"/>
      <c r="D13" s="84"/>
      <c r="E13" s="89"/>
    </row>
    <row r="14" spans="2:5" s="92" customFormat="1" ht="12.75" x14ac:dyDescent="0.25">
      <c r="C14" s="85"/>
      <c r="D14" s="85"/>
      <c r="E14" s="93"/>
    </row>
    <row r="15" spans="2:5" ht="15" x14ac:dyDescent="0.25">
      <c r="C15" s="125"/>
      <c r="D15" s="121" t="s">
        <v>152</v>
      </c>
      <c r="E15" s="132" t="s">
        <v>483</v>
      </c>
    </row>
    <row r="16" spans="2:5" ht="45" customHeight="1" thickBot="1" x14ac:dyDescent="0.3">
      <c r="B16" s="123">
        <v>2</v>
      </c>
      <c r="C16" s="123" t="s">
        <v>94</v>
      </c>
      <c r="D16" s="96" t="s">
        <v>142</v>
      </c>
      <c r="E16" s="97"/>
    </row>
    <row r="17" spans="2:5" ht="15" thickTop="1" x14ac:dyDescent="0.25">
      <c r="C17" s="125"/>
      <c r="D17" s="125"/>
      <c r="E17" s="89"/>
    </row>
    <row r="18" spans="2:5" ht="32.25" customHeight="1" x14ac:dyDescent="0.25">
      <c r="C18" s="318" t="s">
        <v>331</v>
      </c>
      <c r="D18" s="319"/>
      <c r="E18" s="320"/>
    </row>
    <row r="19" spans="2:5" x14ac:dyDescent="0.25">
      <c r="C19" s="125"/>
      <c r="D19" s="125"/>
      <c r="E19" s="89"/>
    </row>
    <row r="20" spans="2:5" ht="15" x14ac:dyDescent="0.25">
      <c r="C20" s="126" t="s">
        <v>238</v>
      </c>
      <c r="D20" s="126" t="s">
        <v>152</v>
      </c>
      <c r="E20" s="126" t="s">
        <v>483</v>
      </c>
    </row>
    <row r="21" spans="2:5" ht="38.25" x14ac:dyDescent="0.25">
      <c r="C21" s="20" t="s">
        <v>153</v>
      </c>
      <c r="D21" s="127" t="s">
        <v>144</v>
      </c>
      <c r="E21" s="97" t="s">
        <v>604</v>
      </c>
    </row>
    <row r="22" spans="2:5" ht="38.25" x14ac:dyDescent="0.25">
      <c r="C22" s="20" t="s">
        <v>134</v>
      </c>
      <c r="D22" s="127" t="s">
        <v>145</v>
      </c>
      <c r="E22" s="97" t="s">
        <v>605</v>
      </c>
    </row>
    <row r="23" spans="2:5" ht="51" x14ac:dyDescent="0.25">
      <c r="C23" s="20" t="s">
        <v>135</v>
      </c>
      <c r="D23" s="127" t="s">
        <v>146</v>
      </c>
      <c r="E23" s="97" t="s">
        <v>606</v>
      </c>
    </row>
    <row r="24" spans="2:5" ht="38.25" x14ac:dyDescent="0.25">
      <c r="C24" s="20" t="s">
        <v>136</v>
      </c>
      <c r="D24" s="127" t="s">
        <v>147</v>
      </c>
      <c r="E24" s="97" t="s">
        <v>607</v>
      </c>
    </row>
    <row r="25" spans="2:5" ht="38.25" x14ac:dyDescent="0.25">
      <c r="C25" s="20" t="s">
        <v>141</v>
      </c>
      <c r="D25" s="127" t="s">
        <v>485</v>
      </c>
      <c r="E25" s="97" t="s">
        <v>608</v>
      </c>
    </row>
    <row r="26" spans="2:5" x14ac:dyDescent="0.25">
      <c r="C26" s="125"/>
      <c r="D26" s="125"/>
      <c r="E26" s="89"/>
    </row>
    <row r="27" spans="2:5" s="92" customFormat="1" ht="12.75" x14ac:dyDescent="0.25">
      <c r="C27" s="85"/>
      <c r="D27" s="85"/>
      <c r="E27" s="94"/>
    </row>
    <row r="28" spans="2:5" ht="15" x14ac:dyDescent="0.25">
      <c r="C28" s="125"/>
      <c r="D28" s="121" t="s">
        <v>152</v>
      </c>
      <c r="E28" s="132" t="s">
        <v>483</v>
      </c>
    </row>
    <row r="29" spans="2:5" ht="45" customHeight="1" x14ac:dyDescent="0.25">
      <c r="B29" s="129">
        <v>3</v>
      </c>
      <c r="C29" s="129" t="s">
        <v>95</v>
      </c>
      <c r="D29" s="96" t="s">
        <v>143</v>
      </c>
      <c r="E29" s="97"/>
    </row>
    <row r="30" spans="2:5" x14ac:dyDescent="0.25">
      <c r="C30" s="125"/>
      <c r="D30" s="125"/>
      <c r="E30" s="89"/>
    </row>
    <row r="31" spans="2:5" ht="32.25" customHeight="1" x14ac:dyDescent="0.25">
      <c r="C31" s="318" t="s">
        <v>332</v>
      </c>
      <c r="D31" s="319"/>
      <c r="E31" s="320"/>
    </row>
    <row r="32" spans="2:5" x14ac:dyDescent="0.25">
      <c r="C32" s="125"/>
      <c r="D32" s="125"/>
      <c r="E32" s="89"/>
    </row>
    <row r="33" spans="2:5" ht="15" x14ac:dyDescent="0.25">
      <c r="C33" s="126" t="s">
        <v>238</v>
      </c>
      <c r="D33" s="126" t="s">
        <v>152</v>
      </c>
      <c r="E33" s="126" t="s">
        <v>483</v>
      </c>
    </row>
    <row r="34" spans="2:5" ht="38.25" x14ac:dyDescent="0.25">
      <c r="C34" s="20" t="s">
        <v>153</v>
      </c>
      <c r="D34" s="127" t="s">
        <v>148</v>
      </c>
      <c r="E34" s="214"/>
    </row>
    <row r="35" spans="2:5" ht="38.25" x14ac:dyDescent="0.25">
      <c r="C35" s="20" t="s">
        <v>134</v>
      </c>
      <c r="D35" s="127" t="s">
        <v>149</v>
      </c>
      <c r="E35" s="214"/>
    </row>
    <row r="36" spans="2:5" ht="51" x14ac:dyDescent="0.25">
      <c r="C36" s="20" t="s">
        <v>135</v>
      </c>
      <c r="D36" s="127" t="s">
        <v>150</v>
      </c>
      <c r="E36" s="214"/>
    </row>
    <row r="37" spans="2:5" ht="38.25" x14ac:dyDescent="0.25">
      <c r="C37" s="20" t="s">
        <v>136</v>
      </c>
      <c r="D37" s="127" t="s">
        <v>151</v>
      </c>
      <c r="E37" s="214"/>
    </row>
    <row r="38" spans="2:5" x14ac:dyDescent="0.25">
      <c r="C38" s="20" t="s">
        <v>141</v>
      </c>
      <c r="D38" s="127" t="s">
        <v>245</v>
      </c>
      <c r="E38" s="130"/>
    </row>
    <row r="39" spans="2:5" x14ac:dyDescent="0.25">
      <c r="C39" s="125"/>
      <c r="D39" s="125"/>
      <c r="E39" s="89"/>
    </row>
    <row r="40" spans="2:5" s="92" customFormat="1" ht="12.75" x14ac:dyDescent="0.25">
      <c r="C40" s="85"/>
      <c r="D40" s="85"/>
      <c r="E40" s="94"/>
    </row>
    <row r="41" spans="2:5" ht="15" x14ac:dyDescent="0.25">
      <c r="C41" s="125"/>
      <c r="D41" s="121" t="s">
        <v>152</v>
      </c>
      <c r="E41" s="132" t="s">
        <v>483</v>
      </c>
    </row>
    <row r="42" spans="2:5" ht="45" customHeight="1" thickBot="1" x14ac:dyDescent="0.3">
      <c r="B42" s="123">
        <v>4</v>
      </c>
      <c r="C42" s="123" t="s">
        <v>21</v>
      </c>
      <c r="D42" s="96" t="s">
        <v>486</v>
      </c>
      <c r="E42" s="97"/>
    </row>
    <row r="43" spans="2:5" ht="15" thickTop="1" x14ac:dyDescent="0.25">
      <c r="C43" s="125"/>
      <c r="D43" s="125"/>
      <c r="E43" s="89"/>
    </row>
    <row r="44" spans="2:5" ht="32.25" customHeight="1" x14ac:dyDescent="0.25">
      <c r="C44" s="318" t="s">
        <v>333</v>
      </c>
      <c r="D44" s="319"/>
      <c r="E44" s="320"/>
    </row>
    <row r="45" spans="2:5" x14ac:dyDescent="0.25">
      <c r="C45" s="125"/>
      <c r="D45" s="125"/>
      <c r="E45" s="89"/>
    </row>
    <row r="46" spans="2:5" ht="15" x14ac:dyDescent="0.25">
      <c r="C46" s="126" t="s">
        <v>238</v>
      </c>
      <c r="D46" s="126" t="s">
        <v>152</v>
      </c>
      <c r="E46" s="126" t="s">
        <v>483</v>
      </c>
    </row>
    <row r="47" spans="2:5" x14ac:dyDescent="0.25">
      <c r="C47" s="20" t="s">
        <v>153</v>
      </c>
      <c r="D47" s="96" t="s">
        <v>253</v>
      </c>
      <c r="E47" s="128" t="s">
        <v>609</v>
      </c>
    </row>
    <row r="48" spans="2:5" ht="38.25" x14ac:dyDescent="0.25">
      <c r="C48" s="20" t="s">
        <v>134</v>
      </c>
      <c r="D48" s="96" t="s">
        <v>487</v>
      </c>
      <c r="E48" s="128" t="s">
        <v>610</v>
      </c>
    </row>
    <row r="49" spans="3:5" ht="25.5" x14ac:dyDescent="0.25">
      <c r="C49" s="20" t="s">
        <v>135</v>
      </c>
      <c r="D49" s="96" t="s">
        <v>251</v>
      </c>
      <c r="E49" s="128" t="s">
        <v>611</v>
      </c>
    </row>
    <row r="50" spans="3:5" ht="51" x14ac:dyDescent="0.25">
      <c r="C50" s="20" t="s">
        <v>136</v>
      </c>
      <c r="D50" s="96" t="s">
        <v>488</v>
      </c>
      <c r="E50" s="128" t="s">
        <v>612</v>
      </c>
    </row>
    <row r="51" spans="3:5" ht="25.5" x14ac:dyDescent="0.25">
      <c r="C51" s="20" t="s">
        <v>141</v>
      </c>
      <c r="D51" s="96" t="s">
        <v>489</v>
      </c>
      <c r="E51" s="128" t="s">
        <v>613</v>
      </c>
    </row>
    <row r="52" spans="3:5" x14ac:dyDescent="0.25">
      <c r="C52" s="125"/>
      <c r="D52" s="125"/>
      <c r="E52" s="89"/>
    </row>
    <row r="53" spans="3:5" x14ac:dyDescent="0.25">
      <c r="C53" s="125"/>
      <c r="D53" s="125"/>
      <c r="E53" s="89"/>
    </row>
    <row r="54" spans="3:5" x14ac:dyDescent="0.25">
      <c r="C54" s="125"/>
      <c r="D54" s="125"/>
      <c r="E54" s="89"/>
    </row>
    <row r="55" spans="3:5" x14ac:dyDescent="0.25">
      <c r="C55" s="125"/>
      <c r="D55" s="125"/>
      <c r="E55" s="89"/>
    </row>
    <row r="56" spans="3:5" x14ac:dyDescent="0.25">
      <c r="C56" s="125"/>
      <c r="D56" s="125"/>
      <c r="E56" s="89"/>
    </row>
    <row r="57" spans="3:5" x14ac:dyDescent="0.25">
      <c r="C57" s="125"/>
      <c r="D57" s="125"/>
      <c r="E57" s="89"/>
    </row>
    <row r="58" spans="3:5" x14ac:dyDescent="0.25">
      <c r="C58" s="125"/>
      <c r="D58" s="125"/>
      <c r="E58" s="89"/>
    </row>
    <row r="59" spans="3:5" x14ac:dyDescent="0.25">
      <c r="C59" s="125"/>
      <c r="D59" s="125"/>
      <c r="E59" s="89"/>
    </row>
    <row r="60" spans="3:5" x14ac:dyDescent="0.25">
      <c r="C60" s="125"/>
      <c r="D60" s="125"/>
      <c r="E60" s="89"/>
    </row>
    <row r="61" spans="3:5" x14ac:dyDescent="0.25">
      <c r="C61" s="125"/>
      <c r="D61" s="125"/>
      <c r="E61" s="89"/>
    </row>
    <row r="62" spans="3:5" x14ac:dyDescent="0.25">
      <c r="C62" s="125"/>
      <c r="D62" s="125"/>
      <c r="E62" s="89"/>
    </row>
    <row r="63" spans="3:5" x14ac:dyDescent="0.25">
      <c r="C63" s="125"/>
      <c r="D63" s="125"/>
      <c r="E63" s="89"/>
    </row>
    <row r="64" spans="3:5" x14ac:dyDescent="0.25">
      <c r="C64" s="125"/>
      <c r="D64" s="125"/>
      <c r="E64" s="89"/>
    </row>
    <row r="65" spans="3:5" x14ac:dyDescent="0.25">
      <c r="C65" s="125"/>
      <c r="D65" s="125"/>
      <c r="E65" s="89"/>
    </row>
    <row r="66" spans="3:5" x14ac:dyDescent="0.25">
      <c r="C66" s="125"/>
      <c r="D66" s="125"/>
      <c r="E66" s="89"/>
    </row>
    <row r="67" spans="3:5" x14ac:dyDescent="0.25">
      <c r="C67" s="125"/>
      <c r="D67" s="125"/>
      <c r="E67" s="89"/>
    </row>
    <row r="68" spans="3:5" x14ac:dyDescent="0.25">
      <c r="C68" s="125"/>
      <c r="D68" s="125"/>
      <c r="E68" s="89"/>
    </row>
    <row r="69" spans="3:5" x14ac:dyDescent="0.25">
      <c r="C69" s="125"/>
      <c r="D69" s="125"/>
      <c r="E69" s="89"/>
    </row>
    <row r="70" spans="3:5" x14ac:dyDescent="0.25">
      <c r="C70" s="125"/>
      <c r="D70" s="125"/>
      <c r="E70" s="89"/>
    </row>
  </sheetData>
  <sheetProtection sheet="1" insertRows="0" sort="0" autoFilter="0"/>
  <mergeCells count="4">
    <mergeCell ref="C5:E5"/>
    <mergeCell ref="C18:E18"/>
    <mergeCell ref="C31:E31"/>
    <mergeCell ref="C44:E44"/>
  </mergeCells>
  <pageMargins left="0.7" right="0.7" top="0.75" bottom="0.75" header="0.3" footer="0.3"/>
  <pageSetup orientation="portrait"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EB48D-930A-4BEC-A9BC-ABBFE295C7DD}">
  <sheetPr codeName="Sheet4">
    <tabColor rgb="FF0086BF"/>
  </sheetPr>
  <dimension ref="B1:G36"/>
  <sheetViews>
    <sheetView showGridLines="0" zoomScaleNormal="100" workbookViewId="0">
      <selection activeCell="B2" sqref="B2:B4"/>
    </sheetView>
  </sheetViews>
  <sheetFormatPr defaultRowHeight="15" x14ac:dyDescent="0.25"/>
  <cols>
    <col min="1" max="1" width="4.140625" customWidth="1"/>
    <col min="2" max="2" width="8.7109375" style="135" customWidth="1"/>
    <col min="3" max="3" width="40.5703125" customWidth="1"/>
    <col min="4" max="4" width="38.7109375" customWidth="1"/>
    <col min="5" max="5" width="35.140625" customWidth="1"/>
    <col min="6" max="6" width="34.140625" customWidth="1"/>
    <col min="7" max="7" width="33.42578125" customWidth="1"/>
  </cols>
  <sheetData>
    <row r="1" spans="2:7" s="2" customFormat="1" ht="12.75" x14ac:dyDescent="0.2">
      <c r="B1" s="87"/>
      <c r="D1" s="8"/>
    </row>
    <row r="2" spans="2:7" s="2" customFormat="1" x14ac:dyDescent="0.2">
      <c r="B2" s="323">
        <v>1</v>
      </c>
      <c r="C2" s="323" t="s">
        <v>154</v>
      </c>
      <c r="D2" s="133" t="s">
        <v>93</v>
      </c>
      <c r="E2" s="211"/>
    </row>
    <row r="3" spans="2:7" s="2" customFormat="1" x14ac:dyDescent="0.2">
      <c r="B3" s="324"/>
      <c r="C3" s="324"/>
      <c r="D3" s="133" t="s">
        <v>22</v>
      </c>
      <c r="E3" s="211"/>
    </row>
    <row r="4" spans="2:7" s="2" customFormat="1" x14ac:dyDescent="0.2">
      <c r="B4" s="325"/>
      <c r="C4" s="325"/>
      <c r="D4" s="133" t="s">
        <v>23</v>
      </c>
      <c r="E4" s="212"/>
    </row>
    <row r="5" spans="2:7" s="2" customFormat="1" ht="12.75" x14ac:dyDescent="0.2">
      <c r="B5" s="87"/>
      <c r="D5" s="8"/>
    </row>
    <row r="6" spans="2:7" s="2" customFormat="1" ht="12.75" x14ac:dyDescent="0.2">
      <c r="B6" s="3"/>
      <c r="C6" s="3"/>
      <c r="D6" s="4"/>
      <c r="E6" s="4"/>
      <c r="F6" s="4"/>
      <c r="G6" s="4"/>
    </row>
    <row r="7" spans="2:7" s="2" customFormat="1" ht="12.75" x14ac:dyDescent="0.2">
      <c r="B7" s="87"/>
      <c r="D7" s="8"/>
    </row>
    <row r="8" spans="2:7" s="2" customFormat="1" ht="15.75" x14ac:dyDescent="0.2">
      <c r="B8" s="134">
        <v>2</v>
      </c>
      <c r="C8" s="36" t="s">
        <v>17</v>
      </c>
      <c r="D8" s="321"/>
      <c r="E8" s="321"/>
      <c r="F8" s="321"/>
      <c r="G8" s="321"/>
    </row>
    <row r="9" spans="2:7" s="2" customFormat="1" ht="12.75" x14ac:dyDescent="0.2">
      <c r="B9" s="87"/>
    </row>
    <row r="10" spans="2:7" s="2" customFormat="1" x14ac:dyDescent="0.2">
      <c r="B10" s="87"/>
      <c r="C10" s="136" t="s">
        <v>5</v>
      </c>
      <c r="D10" s="137" t="s">
        <v>6</v>
      </c>
      <c r="E10" s="137" t="s">
        <v>94</v>
      </c>
      <c r="F10" s="138" t="s">
        <v>95</v>
      </c>
      <c r="G10" s="139" t="s">
        <v>21</v>
      </c>
    </row>
    <row r="11" spans="2:7" s="2" customFormat="1" ht="12.75" x14ac:dyDescent="0.2">
      <c r="B11" s="87"/>
      <c r="C11" s="140" t="s">
        <v>4</v>
      </c>
      <c r="D11" s="141" t="str">
        <f>IF(ISBLANK('1. Impact Criteria Survey '!E3),"",'1. Impact Criteria Survey '!E3)</f>
        <v/>
      </c>
      <c r="E11" s="141" t="str">
        <f>IF(ISBLANK('1. Impact Criteria Survey '!E16),"",'1. Impact Criteria Survey '!E16)</f>
        <v/>
      </c>
      <c r="F11" s="141" t="str">
        <f>IF(ISBLANK('1. Impact Criteria Survey '!E29),"",'1. Impact Criteria Survey '!E29)</f>
        <v/>
      </c>
      <c r="G11" s="142" t="str">
        <f>IF(ISBLANK('1. Impact Criteria Survey '!E42),"",'1. Impact Criteria Survey '!E42)</f>
        <v/>
      </c>
    </row>
    <row r="12" spans="2:7" s="2" customFormat="1" ht="12.75" x14ac:dyDescent="0.2">
      <c r="B12" s="87"/>
      <c r="C12" s="143" t="s">
        <v>129</v>
      </c>
      <c r="D12" s="119" t="str">
        <f>IF(ISBLANK('1. Impact Criteria Survey '!E8),"",'1. Impact Criteria Survey '!E8)</f>
        <v>The mission would remain intact.</v>
      </c>
      <c r="E12" s="119" t="str">
        <f>IF(ISBLANK('1. Impact Criteria Survey '!E21),"",'1. Impact Criteria Survey '!E21)</f>
        <v>Growth plan would be intact.</v>
      </c>
      <c r="F12" s="177" t="str">
        <f>IF(ISBLANK('1. Impact Criteria Survey '!E34),"",'1. Impact Criteria Survey '!E34)</f>
        <v/>
      </c>
      <c r="G12" s="120" t="str">
        <f>IF(ISBLANK('1. Impact Criteria Survey '!E47),"",'1. Impact Criteria Survey '!E47)</f>
        <v>No harm could foreseeably result.</v>
      </c>
    </row>
    <row r="13" spans="2:7" s="2" customFormat="1" ht="51" x14ac:dyDescent="0.2">
      <c r="B13" s="87"/>
      <c r="C13" s="143" t="s">
        <v>130</v>
      </c>
      <c r="D13" s="119" t="str">
        <f>IF(ISBLANK('1. Impact Criteria Survey '!E9),"",'1. Impact Criteria Survey '!E9)</f>
        <v>This mission would not be perfectly achieved, but could be recovered within normal operations.</v>
      </c>
      <c r="E13" s="119" t="str">
        <f>IF(ISBLANK('1. Impact Criteria Survey '!E22),"",'1. Impact Criteria Survey '!E22)</f>
        <v>Growth plan would be off target, but within variance.</v>
      </c>
      <c r="F13" s="177" t="str">
        <f>IF(ISBLANK('1. Impact Criteria Survey '!E35),"",'1. Impact Criteria Survey '!E35)</f>
        <v/>
      </c>
      <c r="G13" s="120" t="str">
        <f>IF(ISBLANK('1. Impact Criteria Survey '!E48),"",'1. Impact Criteria Survey '!E48)</f>
        <v>Any harm that could result would not require correction, repair, or compensation to make the harmed parties "whole."</v>
      </c>
    </row>
    <row r="14" spans="2:7" s="2" customFormat="1" ht="38.25" x14ac:dyDescent="0.2">
      <c r="B14" s="87"/>
      <c r="C14" s="143" t="s">
        <v>131</v>
      </c>
      <c r="D14" s="119" t="str">
        <f>IF(ISBLANK('1. Impact Criteria Survey '!E10),"",'1. Impact Criteria Survey '!E10)</f>
        <v>This mission would not be achieved, and would require short-term, unplanned efforts, resources, or investments to recover.</v>
      </c>
      <c r="E14" s="119" t="str">
        <f>IF(ISBLANK('1. Impact Criteria Survey '!E23),"",'1. Impact Criteria Survey '!E23)</f>
        <v>Growth plan would be out of variance, but can be recovered within a fiscal year.</v>
      </c>
      <c r="F14" s="177" t="str">
        <f>IF(ISBLANK('1. Impact Criteria Survey '!E36),"",'1. Impact Criteria Survey '!E36)</f>
        <v/>
      </c>
      <c r="G14" s="120" t="str">
        <f>IF(ISBLANK('1. Impact Criteria Survey '!E49),"",'1. Impact Criteria Survey '!E49)</f>
        <v>Correctible harm may occur to one or few others.</v>
      </c>
    </row>
    <row r="15" spans="2:7" s="2" customFormat="1" ht="51" x14ac:dyDescent="0.2">
      <c r="B15" s="87"/>
      <c r="C15" s="143" t="s">
        <v>132</v>
      </c>
      <c r="D15" s="119" t="str">
        <f>IF(ISBLANK('1. Impact Criteria Survey '!E11),"",'1. Impact Criteria Survey '!E11)</f>
        <v>This mission would not be achieved. If significant, unplanned efforts, resources, or investments are not made, the mission may not ever be achievable.</v>
      </c>
      <c r="E15" s="119" t="str">
        <f>IF(ISBLANK('1. Impact Criteria Survey '!E24),"",'1. Impact Criteria Survey '!E24)</f>
        <v>Growth plan would be out of variance, and may require multiple years to correct.</v>
      </c>
      <c r="F15" s="177" t="str">
        <f>IF(ISBLANK('1. Impact Criteria Survey '!E37),"",'1. Impact Criteria Survey '!E37)</f>
        <v/>
      </c>
      <c r="G15" s="120" t="str">
        <f>IF(ISBLANK('1. Impact Criteria Survey '!E50),"",'1. Impact Criteria Survey '!E50)</f>
        <v>Correctible harm may occur to many others, or harm that can be partially corrected for a few others may occur.</v>
      </c>
    </row>
    <row r="16" spans="2:7" s="2" customFormat="1" ht="25.5" x14ac:dyDescent="0.2">
      <c r="B16" s="87"/>
      <c r="C16" s="144" t="s">
        <v>133</v>
      </c>
      <c r="D16" s="178" t="str">
        <f>IF(ISBLANK('1. Impact Criteria Survey '!E12),"",'1. Impact Criteria Survey '!E12)</f>
        <v>The mission would not be achievable.</v>
      </c>
      <c r="E16" s="178" t="str">
        <f>IF(ISBLANK('1. Impact Criteria Survey '!E25),"",'1. Impact Criteria Survey '!E25)</f>
        <v>We would not be able to grow.</v>
      </c>
      <c r="F16" s="145" t="str">
        <f>IF(ISBLANK('1. Impact Criteria Survey '!E38),"",'1. Impact Criteria Survey '!E38)</f>
        <v/>
      </c>
      <c r="G16" s="146" t="str">
        <f>IF(ISBLANK('1. Impact Criteria Survey '!E51),"",'1. Impact Criteria Survey '!E51)</f>
        <v>We would not be able to protect others from any degree of harm.</v>
      </c>
    </row>
    <row r="17" spans="2:7" s="2" customFormat="1" ht="12.75" x14ac:dyDescent="0.2">
      <c r="B17" s="87"/>
      <c r="D17" s="8"/>
    </row>
    <row r="18" spans="2:7" s="2" customFormat="1" ht="12.75" x14ac:dyDescent="0.2">
      <c r="B18" s="3"/>
      <c r="C18" s="3"/>
      <c r="D18" s="4"/>
      <c r="E18" s="4"/>
      <c r="F18" s="4"/>
      <c r="G18" s="4"/>
    </row>
    <row r="19" spans="2:7" s="2" customFormat="1" ht="12.75" x14ac:dyDescent="0.2">
      <c r="B19" s="87"/>
      <c r="D19" s="8"/>
    </row>
    <row r="20" spans="2:7" s="2" customFormat="1" ht="15.75" x14ac:dyDescent="0.2">
      <c r="B20" s="134">
        <v>3</v>
      </c>
      <c r="C20" s="36" t="s">
        <v>468</v>
      </c>
      <c r="D20" s="326"/>
      <c r="E20" s="327"/>
    </row>
    <row r="21" spans="2:7" s="2" customFormat="1" x14ac:dyDescent="0.2">
      <c r="B21" s="87"/>
      <c r="C21" s="33"/>
      <c r="D21" s="37"/>
      <c r="E21" s="33"/>
    </row>
    <row r="22" spans="2:7" s="2" customFormat="1" ht="14.25" x14ac:dyDescent="0.2">
      <c r="B22" s="87"/>
      <c r="C22" s="147" t="s">
        <v>469</v>
      </c>
      <c r="D22" s="148" t="s">
        <v>470</v>
      </c>
      <c r="E22" s="149" t="s">
        <v>229</v>
      </c>
    </row>
    <row r="23" spans="2:7" s="2" customFormat="1" ht="25.5" x14ac:dyDescent="0.2">
      <c r="B23" s="87"/>
      <c r="C23" s="140">
        <v>1</v>
      </c>
      <c r="D23" s="27" t="s">
        <v>230</v>
      </c>
      <c r="E23" s="150" t="s">
        <v>490</v>
      </c>
    </row>
    <row r="24" spans="2:7" s="2" customFormat="1" ht="25.5" x14ac:dyDescent="0.2">
      <c r="B24" s="87"/>
      <c r="C24" s="140">
        <v>2</v>
      </c>
      <c r="D24" s="27" t="s">
        <v>231</v>
      </c>
      <c r="E24" s="150" t="s">
        <v>491</v>
      </c>
    </row>
    <row r="25" spans="2:7" s="2" customFormat="1" ht="25.5" x14ac:dyDescent="0.2">
      <c r="B25" s="87"/>
      <c r="C25" s="140">
        <v>3</v>
      </c>
      <c r="D25" s="27" t="s">
        <v>232</v>
      </c>
      <c r="E25" s="150" t="s">
        <v>492</v>
      </c>
    </row>
    <row r="26" spans="2:7" s="2" customFormat="1" ht="25.5" x14ac:dyDescent="0.2">
      <c r="B26" s="87"/>
      <c r="C26" s="140">
        <v>4</v>
      </c>
      <c r="D26" s="27" t="s">
        <v>233</v>
      </c>
      <c r="E26" s="150" t="s">
        <v>493</v>
      </c>
    </row>
    <row r="27" spans="2:7" s="2" customFormat="1" ht="25.5" x14ac:dyDescent="0.2">
      <c r="B27" s="87"/>
      <c r="C27" s="151">
        <v>5</v>
      </c>
      <c r="D27" s="158" t="s">
        <v>234</v>
      </c>
      <c r="E27" s="152" t="s">
        <v>494</v>
      </c>
    </row>
    <row r="28" spans="2:7" s="2" customFormat="1" ht="12.75" x14ac:dyDescent="0.2">
      <c r="B28" s="87"/>
      <c r="D28" s="8"/>
    </row>
    <row r="29" spans="2:7" s="2" customFormat="1" ht="12.75" x14ac:dyDescent="0.2">
      <c r="B29" s="3"/>
      <c r="C29" s="3"/>
      <c r="D29" s="4"/>
      <c r="E29" s="4"/>
      <c r="F29" s="4"/>
      <c r="G29" s="4"/>
    </row>
    <row r="30" spans="2:7" s="2" customFormat="1" ht="12.75" x14ac:dyDescent="0.2">
      <c r="B30" s="87"/>
      <c r="D30" s="8"/>
    </row>
    <row r="31" spans="2:7" s="2" customFormat="1" ht="15.75" x14ac:dyDescent="0.2">
      <c r="B31" s="134">
        <v>4</v>
      </c>
      <c r="C31" s="36" t="s">
        <v>8</v>
      </c>
      <c r="D31" s="328"/>
      <c r="E31" s="329"/>
    </row>
    <row r="32" spans="2:7" s="2" customFormat="1" ht="12.75" x14ac:dyDescent="0.2">
      <c r="B32" s="87"/>
      <c r="D32" s="6"/>
      <c r="E32" s="87"/>
    </row>
    <row r="33" spans="2:5" s="2" customFormat="1" x14ac:dyDescent="0.25">
      <c r="B33" s="87"/>
      <c r="C33" s="321" t="s">
        <v>495</v>
      </c>
      <c r="D33" s="159" t="s">
        <v>470</v>
      </c>
      <c r="E33" s="160" t="s">
        <v>235</v>
      </c>
    </row>
    <row r="34" spans="2:5" s="2" customFormat="1" ht="13.5" thickBot="1" x14ac:dyDescent="0.25">
      <c r="B34" s="87"/>
      <c r="C34" s="321"/>
      <c r="D34" s="98"/>
      <c r="E34" s="99"/>
    </row>
    <row r="35" spans="2:5" s="2" customFormat="1" ht="23.25" customHeight="1" thickBot="1" x14ac:dyDescent="0.25">
      <c r="B35" s="87"/>
      <c r="C35" s="322"/>
      <c r="D35" s="34" t="s">
        <v>236</v>
      </c>
      <c r="E35" s="35">
        <f>D34*E34</f>
        <v>0</v>
      </c>
    </row>
    <row r="36" spans="2:5" s="2" customFormat="1" ht="12.75" x14ac:dyDescent="0.2">
      <c r="B36" s="87"/>
      <c r="D36" s="8"/>
    </row>
  </sheetData>
  <sheetProtection sheet="1" objects="1" scenarios="1"/>
  <mergeCells count="6">
    <mergeCell ref="C33:C35"/>
    <mergeCell ref="B2:B4"/>
    <mergeCell ref="C2:C4"/>
    <mergeCell ref="D8:G8"/>
    <mergeCell ref="D20:E20"/>
    <mergeCell ref="D31:E31"/>
  </mergeCells>
  <dataValidations count="1">
    <dataValidation type="list" allowBlank="1" showInputMessage="1" showErrorMessage="1" sqref="D34:E34" xr:uid="{0B7FA91E-6D46-4E2A-9021-369148D97762}">
      <formula1>"1,2,3,4,5"</formula1>
    </dataValidation>
  </dataValidations>
  <pageMargins left="0.7" right="0.7" top="0.75" bottom="0.75" header="0.3" footer="0.3"/>
  <pageSetup orientation="portrait" r:id="rId1"/>
  <ignoredErrors>
    <ignoredError sqref="D11:D16 E11 G11" calculatedColumn="1"/>
  </ignoredErrors>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8312-D345-4EA8-BCD2-72355D1B258F}">
  <sheetPr codeName="Sheet15">
    <tabColor rgb="FF0086BF"/>
  </sheetPr>
  <dimension ref="B2:AV165"/>
  <sheetViews>
    <sheetView showGridLines="0" zoomScaleNormal="100" workbookViewId="0">
      <selection activeCell="B2" sqref="B2:B4"/>
    </sheetView>
  </sheetViews>
  <sheetFormatPr defaultColWidth="9.140625" defaultRowHeight="12.75" x14ac:dyDescent="0.2"/>
  <cols>
    <col min="1" max="1" width="9.140625" style="2"/>
    <col min="2" max="2" width="16.5703125" style="8" customWidth="1"/>
    <col min="3" max="3" width="27.28515625" style="8" customWidth="1"/>
    <col min="4" max="4" width="14.5703125" style="8" customWidth="1"/>
    <col min="5" max="5" width="17.7109375" style="8" customWidth="1"/>
    <col min="6" max="8" width="8.5703125" style="8" bestFit="1" customWidth="1"/>
    <col min="9" max="9" width="22" style="8" customWidth="1"/>
    <col min="10" max="10" width="17.85546875" style="8" customWidth="1"/>
    <col min="11" max="11" width="19.28515625" style="8" customWidth="1"/>
    <col min="12" max="12" width="18.28515625" style="8" customWidth="1"/>
    <col min="13" max="13" width="20" style="8" customWidth="1"/>
    <col min="14" max="14" width="19.28515625" style="8" customWidth="1"/>
    <col min="15" max="15" width="16.5703125" style="8" customWidth="1"/>
    <col min="16" max="19" width="22.42578125" style="2" customWidth="1"/>
    <col min="20" max="20" width="13.5703125" style="2" customWidth="1"/>
    <col min="21" max="25" width="13.28515625" style="2" customWidth="1"/>
    <col min="26" max="26" width="13.42578125" style="2" customWidth="1"/>
    <col min="27" max="27" width="11.42578125" style="87" customWidth="1"/>
    <col min="28" max="28" width="10.42578125" style="2" customWidth="1"/>
    <col min="29" max="30" width="15.5703125" style="2" customWidth="1"/>
    <col min="31" max="31" width="22.42578125" style="2" customWidth="1"/>
    <col min="32" max="32" width="85.28515625" style="2" customWidth="1"/>
    <col min="33" max="33" width="20.42578125" style="2" customWidth="1"/>
    <col min="34" max="41" width="15.5703125" style="2" customWidth="1"/>
    <col min="42" max="44" width="17.7109375" style="2" customWidth="1"/>
    <col min="45" max="45" width="13.85546875" style="2" customWidth="1"/>
    <col min="46" max="46" width="12.42578125" style="2" customWidth="1"/>
    <col min="47" max="47" width="9.140625" style="2"/>
    <col min="48" max="48" width="13.85546875" style="2" customWidth="1"/>
    <col min="49" max="16384" width="9.140625" style="2"/>
  </cols>
  <sheetData>
    <row r="2" spans="2:48" ht="38.25" x14ac:dyDescent="0.2">
      <c r="B2" s="331" t="s">
        <v>154</v>
      </c>
      <c r="C2" s="1" t="s">
        <v>93</v>
      </c>
      <c r="D2" s="334" t="str">
        <f>IF(ISBLANK('2. Enterprise Parameters'!E2),"",'2. Enterprise Parameters'!E2)</f>
        <v/>
      </c>
      <c r="E2" s="335"/>
      <c r="F2" s="336"/>
      <c r="G2" s="221"/>
      <c r="H2" s="221"/>
      <c r="I2" s="220" t="s">
        <v>665</v>
      </c>
      <c r="J2" s="216" t="s">
        <v>595</v>
      </c>
      <c r="K2" s="216" t="s">
        <v>594</v>
      </c>
      <c r="L2" s="216" t="s">
        <v>598</v>
      </c>
      <c r="M2" s="216" t="s">
        <v>615</v>
      </c>
      <c r="N2" s="216" t="s">
        <v>614</v>
      </c>
      <c r="O2" s="270"/>
    </row>
    <row r="3" spans="2:48" x14ac:dyDescent="0.2">
      <c r="B3" s="332"/>
      <c r="C3" s="1" t="s">
        <v>22</v>
      </c>
      <c r="D3" s="334" t="str">
        <f>IF(ISBLANK('2. Enterprise Parameters'!E3),"",'2. Enterprise Parameters'!E3)</f>
        <v/>
      </c>
      <c r="E3" s="335"/>
      <c r="F3" s="336"/>
      <c r="G3" s="221"/>
      <c r="H3" s="221"/>
      <c r="I3" s="215" t="s">
        <v>136</v>
      </c>
      <c r="J3" s="219">
        <f>_xlfn.MAXIFS(tblRiskRegister[Risk Score],tblRiskRegister[Defends Against Malware],"&lt;&gt;No")</f>
        <v>0</v>
      </c>
      <c r="K3" s="219">
        <f>_xlfn.MAXIFS(tblRiskRegister[Risk Score],tblRiskRegister[Defends Against Ransomware],"&lt;&gt;No")</f>
        <v>0</v>
      </c>
      <c r="L3" s="219">
        <f>_xlfn.MAXIFS(tblRiskRegister[Risk Score],tblRiskRegister[Defends Against Web Application Hacking],"&lt;&gt;No")</f>
        <v>0</v>
      </c>
      <c r="M3" s="219">
        <f>_xlfn.MAXIFS(tblRiskRegister[Risk Score],tblRiskRegister[Defends Against Insider and Privilege Misuse],"&lt;&gt;No")</f>
        <v>0</v>
      </c>
      <c r="N3" s="219">
        <f>_xlfn.MAXIFS(tblRiskRegister[Risk Score],tblRiskRegister[Defends Against Targeted Intrusions],"&lt;&gt;No")</f>
        <v>0</v>
      </c>
      <c r="O3" s="2"/>
      <c r="Y3" s="87"/>
      <c r="AA3" s="2"/>
    </row>
    <row r="4" spans="2:48" x14ac:dyDescent="0.2">
      <c r="B4" s="333"/>
      <c r="C4" s="1" t="s">
        <v>23</v>
      </c>
      <c r="D4" s="337" t="str">
        <f>IF(ISBLANK('2. Enterprise Parameters'!E4),"",'2. Enterprise Parameters'!E4)</f>
        <v/>
      </c>
      <c r="E4" s="338"/>
      <c r="F4" s="339"/>
      <c r="G4" s="222"/>
      <c r="H4" s="222"/>
      <c r="I4" s="215" t="s">
        <v>596</v>
      </c>
      <c r="J4" s="219" t="str">
        <f>IFERROR(AVERAGEIF(tblRiskRegister[Defends Against Malware],"&lt;&gt;No",tblRiskRegister[Risk Score]),"")</f>
        <v/>
      </c>
      <c r="K4" s="219" t="str">
        <f>IFERROR(AVERAGEIF(tblRiskRegister[Defends Against Ransomware],"&lt;&gt;No",tblRiskRegister[Risk Score]),"")</f>
        <v/>
      </c>
      <c r="L4" s="219" t="str">
        <f>IFERROR(AVERAGEIF(tblRiskRegister[Defends Against Web Application Hacking],"&lt;&gt;No",tblRiskRegister[Risk Score]),"")</f>
        <v/>
      </c>
      <c r="M4" s="219" t="str">
        <f>IFERROR(AVERAGEIF(tblRiskRegister[Defends Against Insider and Privilege Misuse],"&lt;&gt;No",tblRiskRegister[Risk Score]),"")</f>
        <v/>
      </c>
      <c r="N4" s="219" t="str">
        <f>IFERROR(AVERAGEIF(tblRiskRegister[Defends Against Targeted Intrusions],"&lt;&gt;No",tblRiskRegister[Risk Score]),"")</f>
        <v/>
      </c>
      <c r="O4" s="2"/>
      <c r="Y4" s="87"/>
      <c r="AA4" s="2"/>
    </row>
    <row r="5" spans="2:48" x14ac:dyDescent="0.2">
      <c r="I5" s="169" t="s">
        <v>597</v>
      </c>
      <c r="J5" s="219">
        <f>COUNTIFS(tblRiskRegister[Defends Against Malware],"&lt;&gt;No",tblRiskRegister[Risk Score],"&gt;="&amp;AcceptableRisk)</f>
        <v>0</v>
      </c>
      <c r="K5" s="219">
        <f>COUNTIFS(tblRiskRegister[Defends Against Ransomware],"&lt;&gt;No",tblRiskRegister[Risk Score],"&gt;="&amp;AcceptableRisk)</f>
        <v>0</v>
      </c>
      <c r="L5" s="219">
        <f>COUNTIFS(tblRiskRegister[Defends Against Web Application Hacking],"&lt;&gt;No",tblRiskRegister[Risk Score],"&gt;="&amp;AcceptableRisk)</f>
        <v>0</v>
      </c>
      <c r="M5" s="219">
        <f>COUNTIFS(tblRiskRegister[Defends Against Insider and Privilege Misuse],"&lt;&gt;No",tblRiskRegister[Risk Score],"&gt;="&amp;AcceptableRisk)</f>
        <v>0</v>
      </c>
      <c r="N5" s="219">
        <f>COUNTIFS(tblRiskRegister[Defends Against Targeted Intrusions],"&lt;&gt;No",tblRiskRegister[Risk Score],"&gt;="&amp;AcceptableRisk)</f>
        <v>0</v>
      </c>
      <c r="O5" s="2"/>
      <c r="Y5" s="87"/>
      <c r="AA5" s="2"/>
    </row>
    <row r="8" spans="2:48" x14ac:dyDescent="0.2">
      <c r="B8" s="4"/>
      <c r="C8" s="4"/>
      <c r="D8" s="4"/>
      <c r="E8" s="4"/>
      <c r="F8" s="4"/>
      <c r="G8" s="4"/>
      <c r="H8" s="4"/>
      <c r="I8" s="4"/>
      <c r="J8" s="4"/>
      <c r="K8" s="4"/>
      <c r="L8" s="4"/>
      <c r="M8" s="4"/>
      <c r="N8" s="4"/>
      <c r="O8" s="4"/>
      <c r="P8" s="4"/>
      <c r="Q8" s="4"/>
      <c r="R8" s="4"/>
      <c r="S8" s="4"/>
      <c r="T8" s="4"/>
      <c r="U8" s="4"/>
      <c r="V8" s="4"/>
      <c r="W8" s="4"/>
      <c r="X8" s="4"/>
      <c r="Y8" s="4"/>
      <c r="Z8" s="4"/>
      <c r="AA8" s="11"/>
      <c r="AB8" s="4"/>
      <c r="AC8" s="4"/>
      <c r="AD8" s="4"/>
      <c r="AE8" s="4"/>
      <c r="AF8" s="4"/>
      <c r="AG8" s="4"/>
      <c r="AH8" s="4"/>
      <c r="AI8" s="4"/>
      <c r="AJ8" s="4"/>
      <c r="AK8" s="4"/>
      <c r="AL8" s="4"/>
      <c r="AM8" s="4"/>
      <c r="AN8" s="4"/>
      <c r="AO8" s="4"/>
      <c r="AP8" s="4"/>
      <c r="AQ8" s="4"/>
      <c r="AR8" s="4"/>
    </row>
    <row r="10" spans="2:48" s="33" customFormat="1" ht="31.5" x14ac:dyDescent="0.2">
      <c r="B10" s="161" t="s">
        <v>24</v>
      </c>
      <c r="C10" s="340" t="s">
        <v>112</v>
      </c>
      <c r="D10" s="341"/>
      <c r="E10" s="341"/>
      <c r="F10" s="341"/>
      <c r="G10" s="341"/>
      <c r="H10" s="341"/>
      <c r="I10" s="341"/>
      <c r="J10" s="341"/>
      <c r="K10" s="341"/>
      <c r="L10" s="341"/>
      <c r="M10" s="341"/>
      <c r="N10" s="341"/>
      <c r="O10" s="341"/>
      <c r="P10" s="341"/>
      <c r="Q10" s="341"/>
      <c r="R10" s="341"/>
      <c r="S10" s="341"/>
      <c r="T10" s="341"/>
      <c r="U10" s="341"/>
      <c r="V10" s="341"/>
      <c r="W10" s="341"/>
      <c r="X10" s="341"/>
      <c r="Y10" s="341"/>
      <c r="Z10" s="341"/>
      <c r="AA10" s="341"/>
      <c r="AB10" s="342"/>
      <c r="AC10" s="161" t="s">
        <v>24</v>
      </c>
      <c r="AD10" s="340" t="s">
        <v>110</v>
      </c>
      <c r="AE10" s="341"/>
      <c r="AF10" s="341"/>
      <c r="AG10" s="341"/>
      <c r="AH10" s="341"/>
      <c r="AI10" s="341"/>
      <c r="AJ10" s="341"/>
      <c r="AK10" s="341"/>
      <c r="AL10" s="341"/>
      <c r="AM10" s="341"/>
      <c r="AN10" s="341"/>
      <c r="AO10" s="341"/>
      <c r="AP10" s="209"/>
      <c r="AQ10" s="209"/>
      <c r="AR10" s="210"/>
      <c r="AT10" s="330" t="s">
        <v>465</v>
      </c>
      <c r="AU10" s="330"/>
      <c r="AV10" s="330"/>
    </row>
    <row r="12" spans="2:48" s="10" customFormat="1" ht="64.5" thickBot="1" x14ac:dyDescent="0.25">
      <c r="B12" s="9" t="s">
        <v>107</v>
      </c>
      <c r="C12" s="9" t="s">
        <v>108</v>
      </c>
      <c r="D12" s="9" t="s">
        <v>20</v>
      </c>
      <c r="E12" s="277" t="s">
        <v>653</v>
      </c>
      <c r="F12" s="9" t="s">
        <v>461</v>
      </c>
      <c r="G12" s="9" t="s">
        <v>462</v>
      </c>
      <c r="H12" s="9" t="s">
        <v>524</v>
      </c>
      <c r="I12" s="113" t="s">
        <v>254</v>
      </c>
      <c r="J12" s="273" t="s">
        <v>661</v>
      </c>
      <c r="K12" s="273" t="s">
        <v>660</v>
      </c>
      <c r="L12" s="273" t="s">
        <v>662</v>
      </c>
      <c r="M12" s="273" t="s">
        <v>652</v>
      </c>
      <c r="N12" s="273" t="s">
        <v>651</v>
      </c>
      <c r="O12" s="273" t="s">
        <v>659</v>
      </c>
      <c r="P12" s="21" t="s">
        <v>477</v>
      </c>
      <c r="Q12" s="23" t="s">
        <v>481</v>
      </c>
      <c r="R12" s="21" t="s">
        <v>471</v>
      </c>
      <c r="S12" s="21" t="s">
        <v>579</v>
      </c>
      <c r="T12" s="21" t="s">
        <v>122</v>
      </c>
      <c r="U12" s="9" t="s">
        <v>18</v>
      </c>
      <c r="V12" s="9" t="s">
        <v>469</v>
      </c>
      <c r="W12" s="296" t="s">
        <v>0</v>
      </c>
      <c r="X12" s="296" t="s">
        <v>96</v>
      </c>
      <c r="Y12" s="296" t="s">
        <v>98</v>
      </c>
      <c r="Z12" s="296" t="s">
        <v>1</v>
      </c>
      <c r="AA12" s="9" t="s">
        <v>2</v>
      </c>
      <c r="AB12" s="9" t="s">
        <v>3</v>
      </c>
      <c r="AC12" s="5" t="s">
        <v>126</v>
      </c>
      <c r="AD12" s="29" t="s">
        <v>25</v>
      </c>
      <c r="AE12" s="29" t="s">
        <v>29</v>
      </c>
      <c r="AF12" s="29" t="s">
        <v>30</v>
      </c>
      <c r="AG12" s="118" t="s">
        <v>109</v>
      </c>
      <c r="AH12" s="5" t="s">
        <v>123</v>
      </c>
      <c r="AI12" s="29" t="s">
        <v>472</v>
      </c>
      <c r="AJ12" s="297" t="s">
        <v>31</v>
      </c>
      <c r="AK12" s="297" t="s">
        <v>97</v>
      </c>
      <c r="AL12" s="297" t="s">
        <v>464</v>
      </c>
      <c r="AM12" s="297" t="s">
        <v>32</v>
      </c>
      <c r="AN12" s="29" t="s">
        <v>34</v>
      </c>
      <c r="AO12" s="29" t="s">
        <v>111</v>
      </c>
      <c r="AP12" s="118" t="s">
        <v>33</v>
      </c>
      <c r="AQ12" s="118" t="s">
        <v>103</v>
      </c>
      <c r="AR12" s="118" t="s">
        <v>26</v>
      </c>
      <c r="AT12" s="11" t="s">
        <v>98</v>
      </c>
      <c r="AU12" s="11" t="s">
        <v>27</v>
      </c>
      <c r="AV12" s="11" t="s">
        <v>28</v>
      </c>
    </row>
    <row r="13" spans="2:48" ht="128.25" thickTop="1" x14ac:dyDescent="0.2">
      <c r="B13" s="206">
        <v>1.1000000000000001</v>
      </c>
      <c r="C13" s="194" t="s">
        <v>35</v>
      </c>
      <c r="D13" s="195" t="s">
        <v>88</v>
      </c>
      <c r="E13" s="303" t="s">
        <v>654</v>
      </c>
      <c r="F13" s="196" t="s">
        <v>463</v>
      </c>
      <c r="G13" s="195" t="s">
        <v>463</v>
      </c>
      <c r="H13" s="195" t="s">
        <v>463</v>
      </c>
      <c r="I13" s="223"/>
      <c r="J13" s="292" t="s">
        <v>666</v>
      </c>
      <c r="K13" s="292" t="s">
        <v>666</v>
      </c>
      <c r="L13" s="292" t="s">
        <v>666</v>
      </c>
      <c r="M13" s="292" t="s">
        <v>666</v>
      </c>
      <c r="N13" s="292" t="s">
        <v>666</v>
      </c>
      <c r="O13" s="295">
        <f>COUNTIF(tblRiskRegister[[#This Row],[Defends Against Malware]:[Defends Against Targeted Intrusions]],"Yes")</f>
        <v>0</v>
      </c>
      <c r="P13" s="197"/>
      <c r="Q13" s="197"/>
      <c r="R13" s="197"/>
      <c r="S13" s="197"/>
      <c r="T13" s="198"/>
      <c r="U13" s="199">
        <f>IFERROR(VLOOKUP(tblRiskRegister[[#This Row],[Asset Class]],tblVCDBIndex[],4,FALSE),"")</f>
        <v>1</v>
      </c>
      <c r="V13" s="199" t="str">
        <f>IFERROR(VLOOKUP(10*tblRiskRegister[[#This Row],[Safeguard Maturity Score]]+tblRiskRegister[[#This Row],[VCDB Index]],tblHITIndexWeightTable[],4,FALSE),"")</f>
        <v/>
      </c>
      <c r="W13" s="301"/>
      <c r="X13" s="301"/>
      <c r="Y13" s="301"/>
      <c r="Z13" s="301"/>
      <c r="AA13" s="199" t="str">
        <f>IFERROR(MAX(tblRiskRegister[[#This Row],[Impact to Mission]:[Impact to Obligations]])*tblRiskRegister[[#This Row],[Expectancy Score]],"")</f>
        <v/>
      </c>
      <c r="AB13" s="199" t="str">
        <f>tblRiskRegister[[#This Row],[Risk Score]]</f>
        <v/>
      </c>
      <c r="AC13" s="200"/>
      <c r="AD13" s="206">
        <v>1.1000000000000001</v>
      </c>
      <c r="AE13" s="194" t="s">
        <v>35</v>
      </c>
      <c r="AF13" s="194" t="s">
        <v>334</v>
      </c>
      <c r="AG13" s="201"/>
      <c r="AH13" s="198"/>
      <c r="AI13" s="202" t="str">
        <f>IFERROR(VLOOKUP(10*tblRiskRegister[[#This Row],[Risk Treatment Safeguard Maturity Score]]+tblRiskRegister[[#This Row],[VCDB Index]],tblHITIndexWeightTable[],4,FALSE),"")</f>
        <v/>
      </c>
      <c r="AJ13" s="302"/>
      <c r="AK13" s="302"/>
      <c r="AL13" s="302"/>
      <c r="AM13" s="302"/>
      <c r="AN13" s="203" t="str">
        <f>IFERROR(MAX(tblRiskRegister[[#This Row],[Risk Treatment Safeguard Impact to Mission]:[Risk Treatment Safeguard Impact to Obligations]])*tblRiskRegister[[#This Row],[Risk Treatment
Safeguard Expectancy Score]],"")</f>
        <v/>
      </c>
      <c r="AO13" s="203" t="str">
        <f>IF(tblRiskRegister[[#This Row],[Risk Score]]&gt;AcceptableRisk,IF(tblRiskRegister[[#This Row],[Risk Treatment Safeguard Risk Score]]&lt;AcceptableRisk, IF(tblRiskRegister[[#This Row],[Risk Treatment Safeguard Risk Score]]&lt;=tblRiskRegister[[#This Row],[Risk Score]],"Yes","No"),"No"),"Yes")</f>
        <v>No</v>
      </c>
      <c r="AP13" s="204"/>
      <c r="AQ13" s="204"/>
      <c r="AR13" s="205"/>
      <c r="AT13" s="17">
        <f>SUMIF(tblRiskRegister[[#All],[Implementation Year]],"="&amp;tblCostImpacts33[[#This Row],[Year]],tblRiskRegister[[#All],[Risk Treatment Safeguard Cost]])</f>
        <v>0</v>
      </c>
      <c r="AU13" s="6">
        <v>2021</v>
      </c>
      <c r="AV13" s="6" t="str">
        <f>IF(tblCostImpacts33[[#This Row],[Impact to Financial Objectives]]&lt;='2. Enterprise Parameters'!$F$13,"Yes","No")</f>
        <v>Yes</v>
      </c>
    </row>
    <row r="14" spans="2:48" ht="38.25" x14ac:dyDescent="0.2">
      <c r="B14" s="207">
        <v>1.2</v>
      </c>
      <c r="C14" s="194" t="s">
        <v>13</v>
      </c>
      <c r="D14" s="88" t="s">
        <v>88</v>
      </c>
      <c r="E14" s="274" t="s">
        <v>655</v>
      </c>
      <c r="F14" s="14" t="s">
        <v>463</v>
      </c>
      <c r="G14" s="88" t="s">
        <v>463</v>
      </c>
      <c r="H14" s="88" t="s">
        <v>463</v>
      </c>
      <c r="I14" s="223"/>
      <c r="J14" s="292" t="s">
        <v>666</v>
      </c>
      <c r="K14" s="292" t="s">
        <v>666</v>
      </c>
      <c r="L14" s="292" t="s">
        <v>666</v>
      </c>
      <c r="M14" s="292" t="s">
        <v>666</v>
      </c>
      <c r="N14" s="292" t="s">
        <v>666</v>
      </c>
      <c r="O14" s="295">
        <f>COUNTIF(tblRiskRegister[[#This Row],[Defends Against Malware]:[Defends Against Targeted Intrusions]],"Yes")</f>
        <v>0</v>
      </c>
      <c r="P14" s="12"/>
      <c r="Q14" s="12"/>
      <c r="R14" s="12"/>
      <c r="S14" s="12"/>
      <c r="T14" s="13"/>
      <c r="U14" s="199">
        <f>IFERROR(VLOOKUP(tblRiskRegister[[#This Row],[Asset Class]],tblVCDBIndex[],4,FALSE),"")</f>
        <v>1</v>
      </c>
      <c r="V14" s="24" t="str">
        <f>IFERROR(VLOOKUP(10*tblRiskRegister[[#This Row],[Safeguard Maturity Score]]+tblRiskRegister[[#This Row],[VCDB Index]],tblHITIndexWeightTable[],4,FALSE),"")</f>
        <v/>
      </c>
      <c r="W14" s="301"/>
      <c r="X14" s="301"/>
      <c r="Y14" s="301"/>
      <c r="Z14" s="301"/>
      <c r="AA14" s="24" t="str">
        <f>IFERROR(MAX(tblRiskRegister[[#This Row],[Impact to Mission]:[Impact to Obligations]])*tblRiskRegister[[#This Row],[Expectancy Score]],"")</f>
        <v/>
      </c>
      <c r="AB14" s="24" t="str">
        <f>tblRiskRegister[[#This Row],[Risk Score]]</f>
        <v/>
      </c>
      <c r="AC14" s="79"/>
      <c r="AD14" s="206">
        <v>1.2</v>
      </c>
      <c r="AE14" s="194" t="s">
        <v>13</v>
      </c>
      <c r="AF14" s="194" t="s">
        <v>335</v>
      </c>
      <c r="AG14" s="25"/>
      <c r="AH14" s="13"/>
      <c r="AI14" s="22" t="str">
        <f>IFERROR(VLOOKUP(10*tblRiskRegister[[#This Row],[Risk Treatment Safeguard Maturity Score]]+tblRiskRegister[[#This Row],[VCDB Index]],tblHITIndexWeightTable[],4,FALSE),"")</f>
        <v/>
      </c>
      <c r="AJ14" s="302"/>
      <c r="AK14" s="302"/>
      <c r="AL14" s="302"/>
      <c r="AM14" s="302"/>
      <c r="AN14" s="100" t="str">
        <f>IFERROR(MAX(tblRiskRegister[[#This Row],[Risk Treatment Safeguard Impact to Mission]:[Risk Treatment Safeguard Impact to Obligations]])*tblRiskRegister[[#This Row],[Risk Treatment
Safeguard Expectancy Score]],"")</f>
        <v/>
      </c>
      <c r="AO14" s="203" t="str">
        <f>IF(tblRiskRegister[[#This Row],[Risk Score]]&gt;AcceptableRisk,IF(tblRiskRegister[[#This Row],[Risk Treatment Safeguard Risk Score]]&lt;AcceptableRisk, IF(tblRiskRegister[[#This Row],[Risk Treatment Safeguard Risk Score]]&lt;=tblRiskRegister[[#This Row],[Risk Score]],"Yes","No"),"No"),"Yes")</f>
        <v>No</v>
      </c>
      <c r="AP14" s="15"/>
      <c r="AQ14" s="15"/>
      <c r="AR14" s="16"/>
      <c r="AT14" s="17">
        <f>SUMIF(tblRiskRegister[[#All],[Implementation Year]],"="&amp;tblCostImpacts33[[#This Row],[Year]],tblRiskRegister[[#All],[Risk Treatment Safeguard Cost]])</f>
        <v>0</v>
      </c>
      <c r="AU14" s="6">
        <v>2022</v>
      </c>
      <c r="AV14" s="6" t="str">
        <f>IF(tblCostImpacts33[[#This Row],[Impact to Financial Objectives]]&lt;='2. Enterprise Parameters'!$F$13,"Yes","No")</f>
        <v>Yes</v>
      </c>
    </row>
    <row r="15" spans="2:48" ht="25.5" x14ac:dyDescent="0.2">
      <c r="B15" s="207">
        <v>1.3</v>
      </c>
      <c r="C15" s="194" t="s">
        <v>178</v>
      </c>
      <c r="D15" s="88" t="s">
        <v>88</v>
      </c>
      <c r="E15" s="274" t="s">
        <v>656</v>
      </c>
      <c r="F15" s="14"/>
      <c r="G15" s="88" t="s">
        <v>463</v>
      </c>
      <c r="H15" s="88" t="s">
        <v>463</v>
      </c>
      <c r="I15" s="223"/>
      <c r="J15" s="292" t="s">
        <v>666</v>
      </c>
      <c r="K15" s="292" t="s">
        <v>666</v>
      </c>
      <c r="L15" s="292" t="s">
        <v>666</v>
      </c>
      <c r="M15" s="292" t="s">
        <v>666</v>
      </c>
      <c r="N15" s="292" t="s">
        <v>666</v>
      </c>
      <c r="O15" s="295">
        <f>COUNTIF(tblRiskRegister[[#This Row],[Defends Against Malware]:[Defends Against Targeted Intrusions]],"Yes")</f>
        <v>0</v>
      </c>
      <c r="P15" s="12"/>
      <c r="Q15" s="12"/>
      <c r="R15" s="12"/>
      <c r="S15" s="12"/>
      <c r="T15" s="13"/>
      <c r="U15" s="199">
        <f>IFERROR(VLOOKUP(tblRiskRegister[[#This Row],[Asset Class]],tblVCDBIndex[],4,FALSE),"")</f>
        <v>1</v>
      </c>
      <c r="V15" s="24" t="str">
        <f>IFERROR(VLOOKUP(10*tblRiskRegister[[#This Row],[Safeguard Maturity Score]]+tblRiskRegister[[#This Row],[VCDB Index]],tblHITIndexWeightTable[],4,FALSE),"")</f>
        <v/>
      </c>
      <c r="W15" s="301"/>
      <c r="X15" s="301"/>
      <c r="Y15" s="301"/>
      <c r="Z15" s="301"/>
      <c r="AA15" s="24" t="str">
        <f>IFERROR(MAX(tblRiskRegister[[#This Row],[Impact to Mission]:[Impact to Obligations]])*tblRiskRegister[[#This Row],[Expectancy Score]],"")</f>
        <v/>
      </c>
      <c r="AB15" s="24" t="str">
        <f>tblRiskRegister[[#This Row],[Risk Score]]</f>
        <v/>
      </c>
      <c r="AC15" s="79"/>
      <c r="AD15" s="206">
        <v>1.3</v>
      </c>
      <c r="AE15" s="194" t="s">
        <v>178</v>
      </c>
      <c r="AF15" s="194" t="s">
        <v>336</v>
      </c>
      <c r="AG15" s="25"/>
      <c r="AH15" s="13"/>
      <c r="AI15" s="22" t="str">
        <f>IFERROR(VLOOKUP(10*tblRiskRegister[[#This Row],[Risk Treatment Safeguard Maturity Score]]+tblRiskRegister[[#This Row],[VCDB Index]],tblHITIndexWeightTable[],4,FALSE),"")</f>
        <v/>
      </c>
      <c r="AJ15" s="302"/>
      <c r="AK15" s="302"/>
      <c r="AL15" s="302"/>
      <c r="AM15" s="302"/>
      <c r="AN15" s="100" t="str">
        <f>IFERROR(MAX(tblRiskRegister[[#This Row],[Risk Treatment Safeguard Impact to Mission]:[Risk Treatment Safeguard Impact to Obligations]])*tblRiskRegister[[#This Row],[Risk Treatment
Safeguard Expectancy Score]],"")</f>
        <v/>
      </c>
      <c r="AO15" s="203" t="str">
        <f>IF(tblRiskRegister[[#This Row],[Risk Score]]&gt;AcceptableRisk,IF(tblRiskRegister[[#This Row],[Risk Treatment Safeguard Risk Score]]&lt;AcceptableRisk, IF(tblRiskRegister[[#This Row],[Risk Treatment Safeguard Risk Score]]&lt;=tblRiskRegister[[#This Row],[Risk Score]],"Yes","No"),"No"),"Yes")</f>
        <v>No</v>
      </c>
      <c r="AP15" s="15"/>
      <c r="AQ15" s="15"/>
      <c r="AR15" s="16"/>
      <c r="AT15" s="17">
        <f>SUMIF(tblRiskRegister[[#All],[Implementation Year]],"="&amp;tblCostImpacts33[[#This Row],[Year]],tblRiskRegister[[#All],[Risk Treatment Safeguard Cost]])</f>
        <v>0</v>
      </c>
      <c r="AU15" s="6">
        <v>2023</v>
      </c>
      <c r="AV15" s="6" t="str">
        <f>IF(tblCostImpacts33[[#This Row],[Impact to Financial Objectives]]&lt;='2. Enterprise Parameters'!$F$13,"Yes","No")</f>
        <v>Yes</v>
      </c>
    </row>
    <row r="16" spans="2:48" ht="63.75" x14ac:dyDescent="0.2">
      <c r="B16" s="207">
        <v>1.4</v>
      </c>
      <c r="C16" s="194" t="s">
        <v>179</v>
      </c>
      <c r="D16" s="88" t="s">
        <v>88</v>
      </c>
      <c r="E16" s="274" t="s">
        <v>654</v>
      </c>
      <c r="F16" s="14"/>
      <c r="G16" s="88" t="s">
        <v>463</v>
      </c>
      <c r="H16" s="88" t="s">
        <v>463</v>
      </c>
      <c r="I16" s="223"/>
      <c r="J16" s="292" t="s">
        <v>666</v>
      </c>
      <c r="K16" s="292" t="s">
        <v>666</v>
      </c>
      <c r="L16" s="292" t="s">
        <v>666</v>
      </c>
      <c r="M16" s="292" t="s">
        <v>666</v>
      </c>
      <c r="N16" s="292" t="s">
        <v>666</v>
      </c>
      <c r="O16" s="295">
        <f>COUNTIF(tblRiskRegister[[#This Row],[Defends Against Malware]:[Defends Against Targeted Intrusions]],"Yes")</f>
        <v>0</v>
      </c>
      <c r="P16" s="12"/>
      <c r="Q16" s="12"/>
      <c r="R16" s="12"/>
      <c r="S16" s="12"/>
      <c r="T16" s="13"/>
      <c r="U16" s="199">
        <f>IFERROR(VLOOKUP(tblRiskRegister[[#This Row],[Asset Class]],tblVCDBIndex[],4,FALSE),"")</f>
        <v>1</v>
      </c>
      <c r="V16" s="24" t="str">
        <f>IFERROR(VLOOKUP(10*tblRiskRegister[[#This Row],[Safeguard Maturity Score]]+tblRiskRegister[[#This Row],[VCDB Index]],tblHITIndexWeightTable[],4,FALSE),"")</f>
        <v/>
      </c>
      <c r="W16" s="301"/>
      <c r="X16" s="301"/>
      <c r="Y16" s="301"/>
      <c r="Z16" s="301"/>
      <c r="AA16" s="24" t="str">
        <f>IFERROR(MAX(tblRiskRegister[[#This Row],[Impact to Mission]:[Impact to Obligations]])*tblRiskRegister[[#This Row],[Expectancy Score]],"")</f>
        <v/>
      </c>
      <c r="AB16" s="24" t="str">
        <f>tblRiskRegister[[#This Row],[Risk Score]]</f>
        <v/>
      </c>
      <c r="AC16" s="79"/>
      <c r="AD16" s="206">
        <v>1.4</v>
      </c>
      <c r="AE16" s="194" t="s">
        <v>179</v>
      </c>
      <c r="AF16" s="194" t="s">
        <v>337</v>
      </c>
      <c r="AG16" s="25"/>
      <c r="AH16" s="13"/>
      <c r="AI16" s="22" t="str">
        <f>IFERROR(VLOOKUP(10*tblRiskRegister[[#This Row],[Risk Treatment Safeguard Maturity Score]]+tblRiskRegister[[#This Row],[VCDB Index]],tblHITIndexWeightTable[],4,FALSE),"")</f>
        <v/>
      </c>
      <c r="AJ16" s="302"/>
      <c r="AK16" s="302"/>
      <c r="AL16" s="302"/>
      <c r="AM16" s="302"/>
      <c r="AN16" s="100" t="str">
        <f>IFERROR(MAX(tblRiskRegister[[#This Row],[Risk Treatment Safeguard Impact to Mission]:[Risk Treatment Safeguard Impact to Obligations]])*tblRiskRegister[[#This Row],[Risk Treatment
Safeguard Expectancy Score]],"")</f>
        <v/>
      </c>
      <c r="AO16" s="203" t="str">
        <f>IF(tblRiskRegister[[#This Row],[Risk Score]]&gt;AcceptableRisk,IF(tblRiskRegister[[#This Row],[Risk Treatment Safeguard Risk Score]]&lt;AcceptableRisk, IF(tblRiskRegister[[#This Row],[Risk Treatment Safeguard Risk Score]]&lt;=tblRiskRegister[[#This Row],[Risk Score]],"Yes","No"),"No"),"Yes")</f>
        <v>No</v>
      </c>
      <c r="AP16" s="15"/>
      <c r="AQ16" s="15"/>
      <c r="AR16" s="16"/>
      <c r="AT16" s="17">
        <f>SUMIF(tblRiskRegister[[#All],[Implementation Year]],"="&amp;tblCostImpacts33[[#This Row],[Year]],tblRiskRegister[[#All],[Risk Treatment Safeguard Cost]])</f>
        <v>0</v>
      </c>
      <c r="AU16" s="6">
        <v>2024</v>
      </c>
      <c r="AV16" s="6" t="str">
        <f>IF(tblCostImpacts33[[#This Row],[Impact to Financial Objectives]]&lt;='2. Enterprise Parameters'!$F$13,"Yes","No")</f>
        <v>Yes</v>
      </c>
    </row>
    <row r="17" spans="2:48" ht="25.5" x14ac:dyDescent="0.2">
      <c r="B17" s="207">
        <v>1.5</v>
      </c>
      <c r="C17" s="194" t="s">
        <v>540</v>
      </c>
      <c r="D17" s="88" t="s">
        <v>88</v>
      </c>
      <c r="E17" s="274" t="s">
        <v>656</v>
      </c>
      <c r="F17" s="14"/>
      <c r="G17" s="88"/>
      <c r="H17" s="88" t="s">
        <v>463</v>
      </c>
      <c r="I17" s="223"/>
      <c r="J17" s="292" t="s">
        <v>666</v>
      </c>
      <c r="K17" s="292" t="s">
        <v>666</v>
      </c>
      <c r="L17" s="292" t="s">
        <v>666</v>
      </c>
      <c r="M17" s="292" t="s">
        <v>666</v>
      </c>
      <c r="N17" s="292" t="s">
        <v>666</v>
      </c>
      <c r="O17" s="295">
        <f>COUNTIF(tblRiskRegister[[#This Row],[Defends Against Malware]:[Defends Against Targeted Intrusions]],"Yes")</f>
        <v>0</v>
      </c>
      <c r="P17" s="12"/>
      <c r="Q17" s="12"/>
      <c r="R17" s="12"/>
      <c r="S17" s="12"/>
      <c r="T17" s="13"/>
      <c r="U17" s="199">
        <f>IFERROR(VLOOKUP(tblRiskRegister[[#This Row],[Asset Class]],tblVCDBIndex[],4,FALSE),"")</f>
        <v>1</v>
      </c>
      <c r="V17" s="24" t="str">
        <f>IFERROR(VLOOKUP(10*tblRiskRegister[[#This Row],[Safeguard Maturity Score]]+tblRiskRegister[[#This Row],[VCDB Index]],tblHITIndexWeightTable[],4,FALSE),"")</f>
        <v/>
      </c>
      <c r="W17" s="301"/>
      <c r="X17" s="301"/>
      <c r="Y17" s="301"/>
      <c r="Z17" s="301"/>
      <c r="AA17" s="24" t="str">
        <f>IFERROR(MAX(tblRiskRegister[[#This Row],[Impact to Mission]:[Impact to Obligations]])*tblRiskRegister[[#This Row],[Expectancy Score]],"")</f>
        <v/>
      </c>
      <c r="AB17" s="24" t="str">
        <f>tblRiskRegister[[#This Row],[Risk Score]]</f>
        <v/>
      </c>
      <c r="AC17" s="79"/>
      <c r="AD17" s="206">
        <v>1.5</v>
      </c>
      <c r="AE17" s="194" t="s">
        <v>540</v>
      </c>
      <c r="AF17" s="194" t="s">
        <v>552</v>
      </c>
      <c r="AG17" s="25"/>
      <c r="AH17" s="13"/>
      <c r="AI17" s="22" t="str">
        <f>IFERROR(VLOOKUP(10*tblRiskRegister[[#This Row],[Risk Treatment Safeguard Maturity Score]]+tblRiskRegister[[#This Row],[VCDB Index]],tblHITIndexWeightTable[],4,FALSE),"")</f>
        <v/>
      </c>
      <c r="AJ17" s="302"/>
      <c r="AK17" s="302"/>
      <c r="AL17" s="302"/>
      <c r="AM17" s="302"/>
      <c r="AN17" s="100" t="str">
        <f>IFERROR(MAX(tblRiskRegister[[#This Row],[Risk Treatment Safeguard Impact to Mission]:[Risk Treatment Safeguard Impact to Obligations]])*tblRiskRegister[[#This Row],[Risk Treatment
Safeguard Expectancy Score]],"")</f>
        <v/>
      </c>
      <c r="AO17" s="203" t="str">
        <f>IF(tblRiskRegister[[#This Row],[Risk Score]]&gt;AcceptableRisk,IF(tblRiskRegister[[#This Row],[Risk Treatment Safeguard Risk Score]]&lt;AcceptableRisk, IF(tblRiskRegister[[#This Row],[Risk Treatment Safeguard Risk Score]]&lt;=tblRiskRegister[[#This Row],[Risk Score]],"Yes","No"),"No"),"Yes")</f>
        <v>No</v>
      </c>
      <c r="AP17" s="15"/>
      <c r="AQ17" s="15"/>
      <c r="AR17" s="16"/>
      <c r="AT17" s="17">
        <f>SUMIF(tblRiskRegister[[#All],[Implementation Year]],"="&amp;tblCostImpacts33[[#This Row],[Year]],tblRiskRegister[[#All],[Risk Treatment Safeguard Cost]])</f>
        <v>0</v>
      </c>
      <c r="AU17" s="6">
        <v>2025</v>
      </c>
      <c r="AV17" s="6" t="str">
        <f>IF(tblCostImpacts33[[#This Row],[Impact to Financial Objectives]]&lt;='2. Enterprise Parameters'!$F$13,"Yes","No")</f>
        <v>Yes</v>
      </c>
    </row>
    <row r="18" spans="2:48" ht="63.75" x14ac:dyDescent="0.2">
      <c r="B18" s="207">
        <v>2.1</v>
      </c>
      <c r="C18" s="194" t="s">
        <v>36</v>
      </c>
      <c r="D18" s="88" t="s">
        <v>89</v>
      </c>
      <c r="E18" s="274" t="s">
        <v>654</v>
      </c>
      <c r="F18" s="14" t="s">
        <v>463</v>
      </c>
      <c r="G18" s="88" t="s">
        <v>463</v>
      </c>
      <c r="H18" s="88" t="s">
        <v>463</v>
      </c>
      <c r="I18" s="223"/>
      <c r="J18" s="293" t="s">
        <v>667</v>
      </c>
      <c r="K18" s="293" t="s">
        <v>667</v>
      </c>
      <c r="L18" s="293" t="s">
        <v>667</v>
      </c>
      <c r="M18" s="293" t="s">
        <v>667</v>
      </c>
      <c r="N18" s="293" t="s">
        <v>667</v>
      </c>
      <c r="O18" s="295">
        <f>COUNTIF(tblRiskRegister[[#This Row],[Defends Against Malware]:[Defends Against Targeted Intrusions]],"Yes")</f>
        <v>5</v>
      </c>
      <c r="P18" s="12"/>
      <c r="Q18" s="12"/>
      <c r="R18" s="12"/>
      <c r="S18" s="12"/>
      <c r="T18" s="13"/>
      <c r="U18" s="199">
        <f>IFERROR(VLOOKUP(tblRiskRegister[[#This Row],[Asset Class]],tblVCDBIndex[],4,FALSE),"")</f>
        <v>1</v>
      </c>
      <c r="V18" s="24" t="str">
        <f>IFERROR(VLOOKUP(10*tblRiskRegister[[#This Row],[Safeguard Maturity Score]]+tblRiskRegister[[#This Row],[VCDB Index]],tblHITIndexWeightTable[],4,FALSE),"")</f>
        <v/>
      </c>
      <c r="W18" s="301"/>
      <c r="X18" s="301"/>
      <c r="Y18" s="301"/>
      <c r="Z18" s="301"/>
      <c r="AA18" s="24" t="str">
        <f>IFERROR(MAX(tblRiskRegister[[#This Row],[Impact to Mission]:[Impact to Obligations]])*tblRiskRegister[[#This Row],[Expectancy Score]],"")</f>
        <v/>
      </c>
      <c r="AB18" s="24" t="str">
        <f>tblRiskRegister[[#This Row],[Risk Score]]</f>
        <v/>
      </c>
      <c r="AC18" s="79"/>
      <c r="AD18" s="206">
        <v>2.1</v>
      </c>
      <c r="AE18" s="194" t="s">
        <v>36</v>
      </c>
      <c r="AF18" s="194" t="s">
        <v>338</v>
      </c>
      <c r="AG18" s="25"/>
      <c r="AH18" s="13"/>
      <c r="AI18" s="22" t="str">
        <f>IFERROR(VLOOKUP(10*tblRiskRegister[[#This Row],[Risk Treatment Safeguard Maturity Score]]+tblRiskRegister[[#This Row],[VCDB Index]],tblHITIndexWeightTable[],4,FALSE),"")</f>
        <v/>
      </c>
      <c r="AJ18" s="302"/>
      <c r="AK18" s="302"/>
      <c r="AL18" s="302"/>
      <c r="AM18" s="302"/>
      <c r="AN18" s="100" t="str">
        <f>IFERROR(MAX(tblRiskRegister[[#This Row],[Risk Treatment Safeguard Impact to Mission]:[Risk Treatment Safeguard Impact to Obligations]])*tblRiskRegister[[#This Row],[Risk Treatment
Safeguard Expectancy Score]],"")</f>
        <v/>
      </c>
      <c r="AO18" s="203" t="str">
        <f>IF(tblRiskRegister[[#This Row],[Risk Score]]&gt;AcceptableRisk,IF(tblRiskRegister[[#This Row],[Risk Treatment Safeguard Risk Score]]&lt;AcceptableRisk, IF(tblRiskRegister[[#This Row],[Risk Treatment Safeguard Risk Score]]&lt;=tblRiskRegister[[#This Row],[Risk Score]],"Yes","No"),"No"),"Yes")</f>
        <v>No</v>
      </c>
      <c r="AP18" s="15"/>
      <c r="AQ18" s="15"/>
      <c r="AR18" s="16"/>
      <c r="AT18" s="17">
        <f>SUMIF(tblRiskRegister[[#All],[Implementation Year]],"="&amp;tblCostImpacts33[[#This Row],[Year]],tblRiskRegister[[#All],[Risk Treatment Safeguard Cost]])</f>
        <v>0</v>
      </c>
      <c r="AU18" s="6">
        <v>2026</v>
      </c>
      <c r="AV18" s="6" t="str">
        <f>IF(tblCostImpacts33[[#This Row],[Impact to Financial Objectives]]&lt;='2. Enterprise Parameters'!$F$13,"Yes","No")</f>
        <v>Yes</v>
      </c>
    </row>
    <row r="19" spans="2:48" ht="63.75" x14ac:dyDescent="0.2">
      <c r="B19" s="207">
        <v>2.2000000000000002</v>
      </c>
      <c r="C19" s="194" t="s">
        <v>37</v>
      </c>
      <c r="D19" s="88" t="s">
        <v>89</v>
      </c>
      <c r="E19" s="274" t="s">
        <v>654</v>
      </c>
      <c r="F19" s="14" t="s">
        <v>463</v>
      </c>
      <c r="G19" s="88" t="s">
        <v>463</v>
      </c>
      <c r="H19" s="88" t="s">
        <v>463</v>
      </c>
      <c r="I19" s="223"/>
      <c r="J19" s="293" t="s">
        <v>667</v>
      </c>
      <c r="K19" s="293" t="s">
        <v>667</v>
      </c>
      <c r="L19" s="293" t="s">
        <v>667</v>
      </c>
      <c r="M19" s="293" t="s">
        <v>667</v>
      </c>
      <c r="N19" s="293" t="s">
        <v>667</v>
      </c>
      <c r="O19" s="295">
        <f>COUNTIF(tblRiskRegister[[#This Row],[Defends Against Malware]:[Defends Against Targeted Intrusions]],"Yes")</f>
        <v>5</v>
      </c>
      <c r="P19" s="12"/>
      <c r="Q19" s="12"/>
      <c r="R19" s="12"/>
      <c r="S19" s="12"/>
      <c r="T19" s="13"/>
      <c r="U19" s="199">
        <f>IFERROR(VLOOKUP(tblRiskRegister[[#This Row],[Asset Class]],tblVCDBIndex[],4,FALSE),"")</f>
        <v>1</v>
      </c>
      <c r="V19" s="24" t="str">
        <f>IFERROR(VLOOKUP(10*tblRiskRegister[[#This Row],[Safeguard Maturity Score]]+tblRiskRegister[[#This Row],[VCDB Index]],tblHITIndexWeightTable[],4,FALSE),"")</f>
        <v/>
      </c>
      <c r="W19" s="301"/>
      <c r="X19" s="301"/>
      <c r="Y19" s="301"/>
      <c r="Z19" s="301"/>
      <c r="AA19" s="24" t="str">
        <f>IFERROR(MAX(tblRiskRegister[[#This Row],[Impact to Mission]:[Impact to Obligations]])*tblRiskRegister[[#This Row],[Expectancy Score]],"")</f>
        <v/>
      </c>
      <c r="AB19" s="24" t="str">
        <f>tblRiskRegister[[#This Row],[Risk Score]]</f>
        <v/>
      </c>
      <c r="AC19" s="79"/>
      <c r="AD19" s="206">
        <v>2.2000000000000002</v>
      </c>
      <c r="AE19" s="194" t="s">
        <v>37</v>
      </c>
      <c r="AF19" s="194" t="s">
        <v>339</v>
      </c>
      <c r="AG19" s="25"/>
      <c r="AH19" s="13"/>
      <c r="AI19" s="22" t="str">
        <f>IFERROR(VLOOKUP(10*tblRiskRegister[[#This Row],[Risk Treatment Safeguard Maturity Score]]+tblRiskRegister[[#This Row],[VCDB Index]],tblHITIndexWeightTable[],4,FALSE),"")</f>
        <v/>
      </c>
      <c r="AJ19" s="302"/>
      <c r="AK19" s="302"/>
      <c r="AL19" s="302"/>
      <c r="AM19" s="302"/>
      <c r="AN19" s="100" t="str">
        <f>IFERROR(MAX(tblRiskRegister[[#This Row],[Risk Treatment Safeguard Impact to Mission]:[Risk Treatment Safeguard Impact to Obligations]])*tblRiskRegister[[#This Row],[Risk Treatment
Safeguard Expectancy Score]],"")</f>
        <v/>
      </c>
      <c r="AO19" s="203" t="str">
        <f>IF(tblRiskRegister[[#This Row],[Risk Score]]&gt;AcceptableRisk,IF(tblRiskRegister[[#This Row],[Risk Treatment Safeguard Risk Score]]&lt;AcceptableRisk, IF(tblRiskRegister[[#This Row],[Risk Treatment Safeguard Risk Score]]&lt;=tblRiskRegister[[#This Row],[Risk Score]],"Yes","No"),"No"),"Yes")</f>
        <v>No</v>
      </c>
      <c r="AP19" s="15"/>
      <c r="AQ19" s="15"/>
      <c r="AR19" s="16"/>
      <c r="AT19" s="17">
        <f>SUMIF(tblRiskRegister[[#All],[Implementation Year]],"="&amp;tblCostImpacts33[[#This Row],[Year]],tblRiskRegister[[#All],[Risk Treatment Safeguard Cost]])</f>
        <v>0</v>
      </c>
      <c r="AU19" s="6">
        <v>2027</v>
      </c>
      <c r="AV19" s="6" t="str">
        <f>IF(tblCostImpacts33[[#This Row],[Impact to Financial Objectives]]&lt;='2. Enterprise Parameters'!$F$13,"Yes","No")</f>
        <v>Yes</v>
      </c>
    </row>
    <row r="20" spans="2:48" ht="25.5" x14ac:dyDescent="0.2">
      <c r="B20" s="207">
        <v>2.2999999999999998</v>
      </c>
      <c r="C20" s="194" t="s">
        <v>38</v>
      </c>
      <c r="D20" s="88" t="s">
        <v>89</v>
      </c>
      <c r="E20" s="274" t="s">
        <v>655</v>
      </c>
      <c r="F20" s="14" t="s">
        <v>463</v>
      </c>
      <c r="G20" s="88" t="s">
        <v>463</v>
      </c>
      <c r="H20" s="88" t="s">
        <v>463</v>
      </c>
      <c r="I20" s="223"/>
      <c r="J20" s="293" t="s">
        <v>667</v>
      </c>
      <c r="K20" s="293" t="s">
        <v>667</v>
      </c>
      <c r="L20" s="293" t="s">
        <v>667</v>
      </c>
      <c r="M20" s="293" t="s">
        <v>667</v>
      </c>
      <c r="N20" s="293" t="s">
        <v>667</v>
      </c>
      <c r="O20" s="295">
        <f>COUNTIF(tblRiskRegister[[#This Row],[Defends Against Malware]:[Defends Against Targeted Intrusions]],"Yes")</f>
        <v>5</v>
      </c>
      <c r="P20" s="12"/>
      <c r="Q20" s="12"/>
      <c r="R20" s="12"/>
      <c r="S20" s="12"/>
      <c r="T20" s="13"/>
      <c r="U20" s="199">
        <f>IFERROR(VLOOKUP(tblRiskRegister[[#This Row],[Asset Class]],tblVCDBIndex[],4,FALSE),"")</f>
        <v>1</v>
      </c>
      <c r="V20" s="24" t="str">
        <f>IFERROR(VLOOKUP(10*tblRiskRegister[[#This Row],[Safeguard Maturity Score]]+tblRiskRegister[[#This Row],[VCDB Index]],tblHITIndexWeightTable[],4,FALSE),"")</f>
        <v/>
      </c>
      <c r="W20" s="301"/>
      <c r="X20" s="301"/>
      <c r="Y20" s="301"/>
      <c r="Z20" s="301"/>
      <c r="AA20" s="24" t="str">
        <f>IFERROR(MAX(tblRiskRegister[[#This Row],[Impact to Mission]:[Impact to Obligations]])*tblRiskRegister[[#This Row],[Expectancy Score]],"")</f>
        <v/>
      </c>
      <c r="AB20" s="24" t="str">
        <f>tblRiskRegister[[#This Row],[Risk Score]]</f>
        <v/>
      </c>
      <c r="AC20" s="79"/>
      <c r="AD20" s="206">
        <v>2.2999999999999998</v>
      </c>
      <c r="AE20" s="194" t="s">
        <v>38</v>
      </c>
      <c r="AF20" s="194" t="s">
        <v>340</v>
      </c>
      <c r="AG20" s="25"/>
      <c r="AH20" s="13"/>
      <c r="AI20" s="22" t="str">
        <f>IFERROR(VLOOKUP(10*tblRiskRegister[[#This Row],[Risk Treatment Safeguard Maturity Score]]+tblRiskRegister[[#This Row],[VCDB Index]],tblHITIndexWeightTable[],4,FALSE),"")</f>
        <v/>
      </c>
      <c r="AJ20" s="302"/>
      <c r="AK20" s="302"/>
      <c r="AL20" s="302"/>
      <c r="AM20" s="302"/>
      <c r="AN20" s="100" t="str">
        <f>IFERROR(MAX(tblRiskRegister[[#This Row],[Risk Treatment Safeguard Impact to Mission]:[Risk Treatment Safeguard Impact to Obligations]])*tblRiskRegister[[#This Row],[Risk Treatment
Safeguard Expectancy Score]],"")</f>
        <v/>
      </c>
      <c r="AO20" s="203" t="str">
        <f>IF(tblRiskRegister[[#This Row],[Risk Score]]&gt;AcceptableRisk,IF(tblRiskRegister[[#This Row],[Risk Treatment Safeguard Risk Score]]&lt;AcceptableRisk, IF(tblRiskRegister[[#This Row],[Risk Treatment Safeguard Risk Score]]&lt;=tblRiskRegister[[#This Row],[Risk Score]],"Yes","No"),"No"),"Yes")</f>
        <v>No</v>
      </c>
      <c r="AP20" s="15"/>
      <c r="AQ20" s="15"/>
      <c r="AR20" s="16"/>
      <c r="AT20" s="17">
        <f>SUMIF(tblRiskRegister[[#All],[Implementation Year]],"="&amp;tblCostImpacts33[[#This Row],[Year]],tblRiskRegister[[#All],[Risk Treatment Safeguard Cost]])</f>
        <v>0</v>
      </c>
      <c r="AU20" s="6">
        <v>2028</v>
      </c>
      <c r="AV20" s="6" t="str">
        <f>IF(tblCostImpacts33[[#This Row],[Impact to Financial Objectives]]&lt;='2. Enterprise Parameters'!$F$13,"Yes","No")</f>
        <v>Yes</v>
      </c>
    </row>
    <row r="21" spans="2:48" ht="25.5" x14ac:dyDescent="0.2">
      <c r="B21" s="207">
        <v>2.4</v>
      </c>
      <c r="C21" s="194" t="s">
        <v>155</v>
      </c>
      <c r="D21" s="88" t="s">
        <v>89</v>
      </c>
      <c r="E21" s="274" t="s">
        <v>656</v>
      </c>
      <c r="F21" s="14"/>
      <c r="G21" s="88" t="s">
        <v>463</v>
      </c>
      <c r="H21" s="88" t="s">
        <v>463</v>
      </c>
      <c r="I21" s="223"/>
      <c r="J21" s="293" t="s">
        <v>667</v>
      </c>
      <c r="K21" s="293" t="s">
        <v>667</v>
      </c>
      <c r="L21" s="293" t="s">
        <v>667</v>
      </c>
      <c r="M21" s="293" t="s">
        <v>667</v>
      </c>
      <c r="N21" s="293" t="s">
        <v>667</v>
      </c>
      <c r="O21" s="295">
        <f>COUNTIF(tblRiskRegister[[#This Row],[Defends Against Malware]:[Defends Against Targeted Intrusions]],"Yes")</f>
        <v>5</v>
      </c>
      <c r="P21" s="12"/>
      <c r="Q21" s="12"/>
      <c r="R21" s="12"/>
      <c r="S21" s="12"/>
      <c r="T21" s="13"/>
      <c r="U21" s="199">
        <f>IFERROR(VLOOKUP(tblRiskRegister[[#This Row],[Asset Class]],tblVCDBIndex[],4,FALSE),"")</f>
        <v>1</v>
      </c>
      <c r="V21" s="24" t="str">
        <f>IFERROR(VLOOKUP(10*tblRiskRegister[[#This Row],[Safeguard Maturity Score]]+tblRiskRegister[[#This Row],[VCDB Index]],tblHITIndexWeightTable[],4,FALSE),"")</f>
        <v/>
      </c>
      <c r="W21" s="301"/>
      <c r="X21" s="301"/>
      <c r="Y21" s="301"/>
      <c r="Z21" s="301"/>
      <c r="AA21" s="24" t="str">
        <f>IFERROR(MAX(tblRiskRegister[[#This Row],[Impact to Mission]:[Impact to Obligations]])*tblRiskRegister[[#This Row],[Expectancy Score]],"")</f>
        <v/>
      </c>
      <c r="AB21" s="24" t="str">
        <f>tblRiskRegister[[#This Row],[Risk Score]]</f>
        <v/>
      </c>
      <c r="AC21" s="79"/>
      <c r="AD21" s="206">
        <v>2.4</v>
      </c>
      <c r="AE21" s="194" t="s">
        <v>155</v>
      </c>
      <c r="AF21" s="194" t="s">
        <v>341</v>
      </c>
      <c r="AG21" s="25"/>
      <c r="AH21" s="13"/>
      <c r="AI21" s="22" t="str">
        <f>IFERROR(VLOOKUP(10*tblRiskRegister[[#This Row],[Risk Treatment Safeguard Maturity Score]]+tblRiskRegister[[#This Row],[VCDB Index]],tblHITIndexWeightTable[],4,FALSE),"")</f>
        <v/>
      </c>
      <c r="AJ21" s="302"/>
      <c r="AK21" s="302"/>
      <c r="AL21" s="302"/>
      <c r="AM21" s="302"/>
      <c r="AN21" s="100" t="str">
        <f>IFERROR(MAX(tblRiskRegister[[#This Row],[Risk Treatment Safeguard Impact to Mission]:[Risk Treatment Safeguard Impact to Obligations]])*tblRiskRegister[[#This Row],[Risk Treatment
Safeguard Expectancy Score]],"")</f>
        <v/>
      </c>
      <c r="AO21" s="203" t="str">
        <f>IF(tblRiskRegister[[#This Row],[Risk Score]]&gt;AcceptableRisk,IF(tblRiskRegister[[#This Row],[Risk Treatment Safeguard Risk Score]]&lt;AcceptableRisk, IF(tblRiskRegister[[#This Row],[Risk Treatment Safeguard Risk Score]]&lt;=tblRiskRegister[[#This Row],[Risk Score]],"Yes","No"),"No"),"Yes")</f>
        <v>No</v>
      </c>
      <c r="AP21" s="15"/>
      <c r="AQ21" s="15"/>
      <c r="AR21" s="16"/>
      <c r="AT21" s="17">
        <f>SUMIF(tblRiskRegister[[#All],[Implementation Year]],"="&amp;tblCostImpacts33[[#This Row],[Year]],tblRiskRegister[[#All],[Risk Treatment Safeguard Cost]])</f>
        <v>0</v>
      </c>
      <c r="AU21" s="6">
        <v>2029</v>
      </c>
      <c r="AV21" s="6" t="str">
        <f>IF(tblCostImpacts33[[#This Row],[Impact to Financial Objectives]]&lt;='2. Enterprise Parameters'!$F$13,"Yes","No")</f>
        <v>Yes</v>
      </c>
    </row>
    <row r="22" spans="2:48" ht="25.5" x14ac:dyDescent="0.2">
      <c r="B22" s="207">
        <v>2.5</v>
      </c>
      <c r="C22" s="194" t="s">
        <v>156</v>
      </c>
      <c r="D22" s="88" t="s">
        <v>89</v>
      </c>
      <c r="E22" s="274" t="s">
        <v>657</v>
      </c>
      <c r="F22" s="14"/>
      <c r="G22" s="88" t="s">
        <v>463</v>
      </c>
      <c r="H22" s="88" t="s">
        <v>463</v>
      </c>
      <c r="I22" s="223"/>
      <c r="J22" s="293" t="s">
        <v>667</v>
      </c>
      <c r="K22" s="293" t="s">
        <v>667</v>
      </c>
      <c r="L22" s="293" t="s">
        <v>667</v>
      </c>
      <c r="M22" s="293" t="s">
        <v>667</v>
      </c>
      <c r="N22" s="293" t="s">
        <v>667</v>
      </c>
      <c r="O22" s="295">
        <f>COUNTIF(tblRiskRegister[[#This Row],[Defends Against Malware]:[Defends Against Targeted Intrusions]],"Yes")</f>
        <v>5</v>
      </c>
      <c r="P22" s="12"/>
      <c r="Q22" s="12"/>
      <c r="R22" s="12"/>
      <c r="S22" s="12"/>
      <c r="T22" s="13"/>
      <c r="U22" s="199">
        <f>IFERROR(VLOOKUP(tblRiskRegister[[#This Row],[Asset Class]],tblVCDBIndex[],4,FALSE),"")</f>
        <v>1</v>
      </c>
      <c r="V22" s="24" t="str">
        <f>IFERROR(VLOOKUP(10*tblRiskRegister[[#This Row],[Safeguard Maturity Score]]+tblRiskRegister[[#This Row],[VCDB Index]],tblHITIndexWeightTable[],4,FALSE),"")</f>
        <v/>
      </c>
      <c r="W22" s="301"/>
      <c r="X22" s="301"/>
      <c r="Y22" s="301"/>
      <c r="Z22" s="301"/>
      <c r="AA22" s="24" t="str">
        <f>IFERROR(MAX(tblRiskRegister[[#This Row],[Impact to Mission]:[Impact to Obligations]])*tblRiskRegister[[#This Row],[Expectancy Score]],"")</f>
        <v/>
      </c>
      <c r="AB22" s="24" t="str">
        <f>tblRiskRegister[[#This Row],[Risk Score]]</f>
        <v/>
      </c>
      <c r="AC22" s="79"/>
      <c r="AD22" s="206">
        <v>2.5</v>
      </c>
      <c r="AE22" s="194" t="s">
        <v>156</v>
      </c>
      <c r="AF22" s="194" t="s">
        <v>342</v>
      </c>
      <c r="AG22" s="25"/>
      <c r="AH22" s="13"/>
      <c r="AI22" s="22" t="str">
        <f>IFERROR(VLOOKUP(10*tblRiskRegister[[#This Row],[Risk Treatment Safeguard Maturity Score]]+tblRiskRegister[[#This Row],[VCDB Index]],tblHITIndexWeightTable[],4,FALSE),"")</f>
        <v/>
      </c>
      <c r="AJ22" s="302"/>
      <c r="AK22" s="302"/>
      <c r="AL22" s="302"/>
      <c r="AM22" s="302"/>
      <c r="AN22" s="100" t="str">
        <f>IFERROR(MAX(tblRiskRegister[[#This Row],[Risk Treatment Safeguard Impact to Mission]:[Risk Treatment Safeguard Impact to Obligations]])*tblRiskRegister[[#This Row],[Risk Treatment
Safeguard Expectancy Score]],"")</f>
        <v/>
      </c>
      <c r="AO22" s="203" t="str">
        <f>IF(tblRiskRegister[[#This Row],[Risk Score]]&gt;AcceptableRisk,IF(tblRiskRegister[[#This Row],[Risk Treatment Safeguard Risk Score]]&lt;AcceptableRisk, IF(tblRiskRegister[[#This Row],[Risk Treatment Safeguard Risk Score]]&lt;=tblRiskRegister[[#This Row],[Risk Score]],"Yes","No"),"No"),"Yes")</f>
        <v>No</v>
      </c>
      <c r="AP22" s="15"/>
      <c r="AQ22" s="15"/>
      <c r="AR22" s="16"/>
      <c r="AT22" s="17">
        <f>SUMIF(tblRiskRegister[[#All],[Implementation Year]],"="&amp;tblCostImpacts33[[#This Row],[Year]],tblRiskRegister[[#All],[Risk Treatment Safeguard Cost]])</f>
        <v>0</v>
      </c>
      <c r="AU22" s="6">
        <v>2030</v>
      </c>
      <c r="AV22" s="6" t="str">
        <f>IF(tblCostImpacts33[[#This Row],[Impact to Financial Objectives]]&lt;='2. Enterprise Parameters'!$F$13,"Yes","No")</f>
        <v>Yes</v>
      </c>
    </row>
    <row r="23" spans="2:48" ht="38.25" x14ac:dyDescent="0.2">
      <c r="B23" s="207">
        <v>2.6</v>
      </c>
      <c r="C23" s="194" t="s">
        <v>157</v>
      </c>
      <c r="D23" s="88" t="s">
        <v>89</v>
      </c>
      <c r="E23" s="274" t="s">
        <v>657</v>
      </c>
      <c r="F23" s="14"/>
      <c r="G23" s="88" t="s">
        <v>463</v>
      </c>
      <c r="H23" s="88" t="s">
        <v>463</v>
      </c>
      <c r="I23" s="223"/>
      <c r="J23" s="293" t="s">
        <v>667</v>
      </c>
      <c r="K23" s="293" t="s">
        <v>667</v>
      </c>
      <c r="L23" s="293" t="s">
        <v>667</v>
      </c>
      <c r="M23" s="293" t="s">
        <v>667</v>
      </c>
      <c r="N23" s="293" t="s">
        <v>667</v>
      </c>
      <c r="O23" s="295">
        <f>COUNTIF(tblRiskRegister[[#This Row],[Defends Against Malware]:[Defends Against Targeted Intrusions]],"Yes")</f>
        <v>5</v>
      </c>
      <c r="P23" s="12"/>
      <c r="Q23" s="12"/>
      <c r="R23" s="12"/>
      <c r="S23" s="12"/>
      <c r="T23" s="13"/>
      <c r="U23" s="199">
        <f>IFERROR(VLOOKUP(tblRiskRegister[[#This Row],[Asset Class]],tblVCDBIndex[],4,FALSE),"")</f>
        <v>1</v>
      </c>
      <c r="V23" s="24" t="str">
        <f>IFERROR(VLOOKUP(10*tblRiskRegister[[#This Row],[Safeguard Maturity Score]]+tblRiskRegister[[#This Row],[VCDB Index]],tblHITIndexWeightTable[],4,FALSE),"")</f>
        <v/>
      </c>
      <c r="W23" s="301"/>
      <c r="X23" s="301"/>
      <c r="Y23" s="301"/>
      <c r="Z23" s="301"/>
      <c r="AA23" s="24" t="str">
        <f>IFERROR(MAX(tblRiskRegister[[#This Row],[Impact to Mission]:[Impact to Obligations]])*tblRiskRegister[[#This Row],[Expectancy Score]],"")</f>
        <v/>
      </c>
      <c r="AB23" s="24" t="str">
        <f>tblRiskRegister[[#This Row],[Risk Score]]</f>
        <v/>
      </c>
      <c r="AC23" s="79"/>
      <c r="AD23" s="206">
        <v>2.6</v>
      </c>
      <c r="AE23" s="194" t="s">
        <v>157</v>
      </c>
      <c r="AF23" s="194" t="s">
        <v>343</v>
      </c>
      <c r="AG23" s="25"/>
      <c r="AH23" s="13"/>
      <c r="AI23" s="22" t="str">
        <f>IFERROR(VLOOKUP(10*tblRiskRegister[[#This Row],[Risk Treatment Safeguard Maturity Score]]+tblRiskRegister[[#This Row],[VCDB Index]],tblHITIndexWeightTable[],4,FALSE),"")</f>
        <v/>
      </c>
      <c r="AJ23" s="302"/>
      <c r="AK23" s="302"/>
      <c r="AL23" s="302"/>
      <c r="AM23" s="302"/>
      <c r="AN23" s="100" t="str">
        <f>IFERROR(MAX(tblRiskRegister[[#This Row],[Risk Treatment Safeguard Impact to Mission]:[Risk Treatment Safeguard Impact to Obligations]])*tblRiskRegister[[#This Row],[Risk Treatment
Safeguard Expectancy Score]],"")</f>
        <v/>
      </c>
      <c r="AO23" s="203" t="str">
        <f>IF(tblRiskRegister[[#This Row],[Risk Score]]&gt;AcceptableRisk,IF(tblRiskRegister[[#This Row],[Risk Treatment Safeguard Risk Score]]&lt;AcceptableRisk, IF(tblRiskRegister[[#This Row],[Risk Treatment Safeguard Risk Score]]&lt;=tblRiskRegister[[#This Row],[Risk Score]],"Yes","No"),"No"),"Yes")</f>
        <v>No</v>
      </c>
      <c r="AP23" s="15"/>
      <c r="AQ23" s="15"/>
      <c r="AR23" s="16"/>
    </row>
    <row r="24" spans="2:48" ht="38.25" x14ac:dyDescent="0.2">
      <c r="B24" s="207">
        <v>2.7</v>
      </c>
      <c r="C24" s="194" t="s">
        <v>531</v>
      </c>
      <c r="D24" s="88" t="s">
        <v>89</v>
      </c>
      <c r="E24" s="274" t="s">
        <v>657</v>
      </c>
      <c r="F24" s="14"/>
      <c r="G24" s="88"/>
      <c r="H24" s="88" t="s">
        <v>463</v>
      </c>
      <c r="I24" s="223"/>
      <c r="J24" s="293" t="s">
        <v>667</v>
      </c>
      <c r="K24" s="293" t="s">
        <v>667</v>
      </c>
      <c r="L24" s="293" t="s">
        <v>667</v>
      </c>
      <c r="M24" s="293" t="s">
        <v>667</v>
      </c>
      <c r="N24" s="293" t="s">
        <v>667</v>
      </c>
      <c r="O24" s="295">
        <f>COUNTIF(tblRiskRegister[[#This Row],[Defends Against Malware]:[Defends Against Targeted Intrusions]],"Yes")</f>
        <v>5</v>
      </c>
      <c r="P24" s="12"/>
      <c r="Q24" s="12"/>
      <c r="R24" s="12"/>
      <c r="S24" s="12"/>
      <c r="T24" s="13"/>
      <c r="U24" s="199">
        <f>IFERROR(VLOOKUP(tblRiskRegister[[#This Row],[Asset Class]],tblVCDBIndex[],4,FALSE),"")</f>
        <v>1</v>
      </c>
      <c r="V24" s="24" t="str">
        <f>IFERROR(VLOOKUP(10*tblRiskRegister[[#This Row],[Safeguard Maturity Score]]+tblRiskRegister[[#This Row],[VCDB Index]],tblHITIndexWeightTable[],4,FALSE),"")</f>
        <v/>
      </c>
      <c r="W24" s="301"/>
      <c r="X24" s="301"/>
      <c r="Y24" s="301"/>
      <c r="Z24" s="301"/>
      <c r="AA24" s="24" t="str">
        <f>IFERROR(MAX(tblRiskRegister[[#This Row],[Impact to Mission]:[Impact to Obligations]])*tblRiskRegister[[#This Row],[Expectancy Score]],"")</f>
        <v/>
      </c>
      <c r="AB24" s="24" t="str">
        <f>tblRiskRegister[[#This Row],[Risk Score]]</f>
        <v/>
      </c>
      <c r="AC24" s="79"/>
      <c r="AD24" s="206">
        <v>2.7</v>
      </c>
      <c r="AE24" s="194" t="s">
        <v>531</v>
      </c>
      <c r="AF24" s="194" t="s">
        <v>553</v>
      </c>
      <c r="AG24" s="25"/>
      <c r="AH24" s="13"/>
      <c r="AI24" s="22" t="str">
        <f>IFERROR(VLOOKUP(10*tblRiskRegister[[#This Row],[Risk Treatment Safeguard Maturity Score]]+tblRiskRegister[[#This Row],[VCDB Index]],tblHITIndexWeightTable[],4,FALSE),"")</f>
        <v/>
      </c>
      <c r="AJ24" s="302"/>
      <c r="AK24" s="302"/>
      <c r="AL24" s="302"/>
      <c r="AM24" s="302"/>
      <c r="AN24" s="100" t="str">
        <f>IFERROR(MAX(tblRiskRegister[[#This Row],[Risk Treatment Safeguard Impact to Mission]:[Risk Treatment Safeguard Impact to Obligations]])*tblRiskRegister[[#This Row],[Risk Treatment
Safeguard Expectancy Score]],"")</f>
        <v/>
      </c>
      <c r="AO24" s="203" t="str">
        <f>IF(tblRiskRegister[[#This Row],[Risk Score]]&gt;AcceptableRisk,IF(tblRiskRegister[[#This Row],[Risk Treatment Safeguard Risk Score]]&lt;AcceptableRisk, IF(tblRiskRegister[[#This Row],[Risk Treatment Safeguard Risk Score]]&lt;=tblRiskRegister[[#This Row],[Risk Score]],"Yes","No"),"No"),"Yes")</f>
        <v>No</v>
      </c>
      <c r="AP24" s="15"/>
      <c r="AQ24" s="15"/>
      <c r="AR24" s="16"/>
    </row>
    <row r="25" spans="2:48" ht="51" x14ac:dyDescent="0.2">
      <c r="B25" s="207">
        <v>3.1</v>
      </c>
      <c r="C25" s="194" t="s">
        <v>39</v>
      </c>
      <c r="D25" s="88" t="s">
        <v>87</v>
      </c>
      <c r="E25" s="274" t="s">
        <v>654</v>
      </c>
      <c r="F25" s="14" t="s">
        <v>463</v>
      </c>
      <c r="G25" s="88" t="s">
        <v>463</v>
      </c>
      <c r="H25" s="88" t="s">
        <v>463</v>
      </c>
      <c r="I25" s="223"/>
      <c r="J25" s="293" t="s">
        <v>667</v>
      </c>
      <c r="K25" s="293" t="s">
        <v>667</v>
      </c>
      <c r="L25" s="293" t="s">
        <v>667</v>
      </c>
      <c r="M25" s="293" t="s">
        <v>667</v>
      </c>
      <c r="N25" s="293" t="s">
        <v>667</v>
      </c>
      <c r="O25" s="295">
        <f>COUNTIF(tblRiskRegister[[#This Row],[Defends Against Malware]:[Defends Against Targeted Intrusions]],"Yes")</f>
        <v>5</v>
      </c>
      <c r="P25" s="12"/>
      <c r="Q25" s="12"/>
      <c r="R25" s="12"/>
      <c r="S25" s="12"/>
      <c r="T25" s="13"/>
      <c r="U25" s="199">
        <f>IFERROR(VLOOKUP(tblRiskRegister[[#This Row],[Asset Class]],tblVCDBIndex[],4,FALSE),"")</f>
        <v>3</v>
      </c>
      <c r="V25" s="24" t="str">
        <f>IFERROR(VLOOKUP(10*tblRiskRegister[[#This Row],[Safeguard Maturity Score]]+tblRiskRegister[[#This Row],[VCDB Index]],tblHITIndexWeightTable[],4,FALSE),"")</f>
        <v/>
      </c>
      <c r="W25" s="301"/>
      <c r="X25" s="301"/>
      <c r="Y25" s="301"/>
      <c r="Z25" s="301"/>
      <c r="AA25" s="24" t="str">
        <f>IFERROR(MAX(tblRiskRegister[[#This Row],[Impact to Mission]:[Impact to Obligations]])*tblRiskRegister[[#This Row],[Expectancy Score]],"")</f>
        <v/>
      </c>
      <c r="AB25" s="24" t="str">
        <f>tblRiskRegister[[#This Row],[Risk Score]]</f>
        <v/>
      </c>
      <c r="AC25" s="79"/>
      <c r="AD25" s="206">
        <v>3.1</v>
      </c>
      <c r="AE25" s="194" t="s">
        <v>39</v>
      </c>
      <c r="AF25" s="194" t="s">
        <v>344</v>
      </c>
      <c r="AG25" s="25"/>
      <c r="AH25" s="13"/>
      <c r="AI25" s="22" t="str">
        <f>IFERROR(VLOOKUP(10*tblRiskRegister[[#This Row],[Risk Treatment Safeguard Maturity Score]]+tblRiskRegister[[#This Row],[VCDB Index]],tblHITIndexWeightTable[],4,FALSE),"")</f>
        <v/>
      </c>
      <c r="AJ25" s="302"/>
      <c r="AK25" s="302"/>
      <c r="AL25" s="302"/>
      <c r="AM25" s="302"/>
      <c r="AN25" s="100" t="str">
        <f>IFERROR(MAX(tblRiskRegister[[#This Row],[Risk Treatment Safeguard Impact to Mission]:[Risk Treatment Safeguard Impact to Obligations]])*tblRiskRegister[[#This Row],[Risk Treatment
Safeguard Expectancy Score]],"")</f>
        <v/>
      </c>
      <c r="AO25" s="203" t="str">
        <f>IF(tblRiskRegister[[#This Row],[Risk Score]]&gt;AcceptableRisk,IF(tblRiskRegister[[#This Row],[Risk Treatment Safeguard Risk Score]]&lt;AcceptableRisk, IF(tblRiskRegister[[#This Row],[Risk Treatment Safeguard Risk Score]]&lt;=tblRiskRegister[[#This Row],[Risk Score]],"Yes","No"),"No"),"Yes")</f>
        <v>No</v>
      </c>
      <c r="AP25" s="15"/>
      <c r="AQ25" s="15"/>
      <c r="AR25" s="16"/>
    </row>
    <row r="26" spans="2:48" ht="38.25" x14ac:dyDescent="0.2">
      <c r="B26" s="207">
        <v>3.2</v>
      </c>
      <c r="C26" s="194" t="s">
        <v>40</v>
      </c>
      <c r="D26" s="88" t="s">
        <v>87</v>
      </c>
      <c r="E26" s="274" t="s">
        <v>654</v>
      </c>
      <c r="F26" s="14" t="s">
        <v>463</v>
      </c>
      <c r="G26" s="88" t="s">
        <v>463</v>
      </c>
      <c r="H26" s="88" t="s">
        <v>463</v>
      </c>
      <c r="I26" s="223"/>
      <c r="J26" s="293" t="s">
        <v>667</v>
      </c>
      <c r="K26" s="293" t="s">
        <v>667</v>
      </c>
      <c r="L26" s="293" t="s">
        <v>667</v>
      </c>
      <c r="M26" s="293" t="s">
        <v>667</v>
      </c>
      <c r="N26" s="293" t="s">
        <v>667</v>
      </c>
      <c r="O26" s="295">
        <f>COUNTIF(tblRiskRegister[[#This Row],[Defends Against Malware]:[Defends Against Targeted Intrusions]],"Yes")</f>
        <v>5</v>
      </c>
      <c r="P26" s="12"/>
      <c r="Q26" s="12"/>
      <c r="R26" s="12"/>
      <c r="S26" s="12"/>
      <c r="T26" s="13"/>
      <c r="U26" s="199">
        <f>IFERROR(VLOOKUP(tblRiskRegister[[#This Row],[Asset Class]],tblVCDBIndex[],4,FALSE),"")</f>
        <v>3</v>
      </c>
      <c r="V26" s="24" t="str">
        <f>IFERROR(VLOOKUP(10*tblRiskRegister[[#This Row],[Safeguard Maturity Score]]+tblRiskRegister[[#This Row],[VCDB Index]],tblHITIndexWeightTable[],4,FALSE),"")</f>
        <v/>
      </c>
      <c r="W26" s="301"/>
      <c r="X26" s="301"/>
      <c r="Y26" s="301"/>
      <c r="Z26" s="301"/>
      <c r="AA26" s="24" t="str">
        <f>IFERROR(MAX(tblRiskRegister[[#This Row],[Impact to Mission]:[Impact to Obligations]])*tblRiskRegister[[#This Row],[Expectancy Score]],"")</f>
        <v/>
      </c>
      <c r="AB26" s="24" t="str">
        <f>tblRiskRegister[[#This Row],[Risk Score]]</f>
        <v/>
      </c>
      <c r="AC26" s="79"/>
      <c r="AD26" s="206">
        <v>3.2</v>
      </c>
      <c r="AE26" s="194" t="s">
        <v>40</v>
      </c>
      <c r="AF26" s="194" t="s">
        <v>345</v>
      </c>
      <c r="AG26" s="25"/>
      <c r="AH26" s="13"/>
      <c r="AI26" s="22" t="str">
        <f>IFERROR(VLOOKUP(10*tblRiskRegister[[#This Row],[Risk Treatment Safeguard Maturity Score]]+tblRiskRegister[[#This Row],[VCDB Index]],tblHITIndexWeightTable[],4,FALSE),"")</f>
        <v/>
      </c>
      <c r="AJ26" s="302"/>
      <c r="AK26" s="302"/>
      <c r="AL26" s="302"/>
      <c r="AM26" s="302"/>
      <c r="AN26" s="100" t="str">
        <f>IFERROR(MAX(tblRiskRegister[[#This Row],[Risk Treatment Safeguard Impact to Mission]:[Risk Treatment Safeguard Impact to Obligations]])*tblRiskRegister[[#This Row],[Risk Treatment
Safeguard Expectancy Score]],"")</f>
        <v/>
      </c>
      <c r="AO26" s="203" t="str">
        <f>IF(tblRiskRegister[[#This Row],[Risk Score]]&gt;AcceptableRisk,IF(tblRiskRegister[[#This Row],[Risk Treatment Safeguard Risk Score]]&lt;AcceptableRisk, IF(tblRiskRegister[[#This Row],[Risk Treatment Safeguard Risk Score]]&lt;=tblRiskRegister[[#This Row],[Risk Score]],"Yes","No"),"No"),"Yes")</f>
        <v>No</v>
      </c>
      <c r="AP26" s="15"/>
      <c r="AQ26" s="15"/>
      <c r="AR26" s="16"/>
    </row>
    <row r="27" spans="2:48" ht="38.25" x14ac:dyDescent="0.2">
      <c r="B27" s="207">
        <v>3.3</v>
      </c>
      <c r="C27" s="194" t="s">
        <v>41</v>
      </c>
      <c r="D27" s="88" t="s">
        <v>87</v>
      </c>
      <c r="E27" s="274" t="s">
        <v>657</v>
      </c>
      <c r="F27" s="14" t="s">
        <v>463</v>
      </c>
      <c r="G27" s="88" t="s">
        <v>463</v>
      </c>
      <c r="H27" s="88" t="s">
        <v>463</v>
      </c>
      <c r="I27" s="223"/>
      <c r="J27" s="293" t="s">
        <v>667</v>
      </c>
      <c r="K27" s="293" t="s">
        <v>667</v>
      </c>
      <c r="L27" s="293" t="s">
        <v>667</v>
      </c>
      <c r="M27" s="293" t="s">
        <v>667</v>
      </c>
      <c r="N27" s="293" t="s">
        <v>667</v>
      </c>
      <c r="O27" s="295">
        <f>COUNTIF(tblRiskRegister[[#This Row],[Defends Against Malware]:[Defends Against Targeted Intrusions]],"Yes")</f>
        <v>5</v>
      </c>
      <c r="P27" s="12"/>
      <c r="Q27" s="12"/>
      <c r="R27" s="12"/>
      <c r="S27" s="12"/>
      <c r="T27" s="13"/>
      <c r="U27" s="199">
        <f>IFERROR(VLOOKUP(tblRiskRegister[[#This Row],[Asset Class]],tblVCDBIndex[],4,FALSE),"")</f>
        <v>3</v>
      </c>
      <c r="V27" s="24" t="str">
        <f>IFERROR(VLOOKUP(10*tblRiskRegister[[#This Row],[Safeguard Maturity Score]]+tblRiskRegister[[#This Row],[VCDB Index]],tblHITIndexWeightTable[],4,FALSE),"")</f>
        <v/>
      </c>
      <c r="W27" s="301"/>
      <c r="X27" s="301"/>
      <c r="Y27" s="301"/>
      <c r="Z27" s="301"/>
      <c r="AA27" s="24" t="str">
        <f>IFERROR(MAX(tblRiskRegister[[#This Row],[Impact to Mission]:[Impact to Obligations]])*tblRiskRegister[[#This Row],[Expectancy Score]],"")</f>
        <v/>
      </c>
      <c r="AB27" s="24" t="str">
        <f>tblRiskRegister[[#This Row],[Risk Score]]</f>
        <v/>
      </c>
      <c r="AC27" s="79"/>
      <c r="AD27" s="206">
        <v>3.3</v>
      </c>
      <c r="AE27" s="194" t="s">
        <v>41</v>
      </c>
      <c r="AF27" s="194" t="s">
        <v>346</v>
      </c>
      <c r="AG27" s="25"/>
      <c r="AH27" s="13"/>
      <c r="AI27" s="22" t="str">
        <f>IFERROR(VLOOKUP(10*tblRiskRegister[[#This Row],[Risk Treatment Safeguard Maturity Score]]+tblRiskRegister[[#This Row],[VCDB Index]],tblHITIndexWeightTable[],4,FALSE),"")</f>
        <v/>
      </c>
      <c r="AJ27" s="302"/>
      <c r="AK27" s="302"/>
      <c r="AL27" s="302"/>
      <c r="AM27" s="302"/>
      <c r="AN27" s="100" t="str">
        <f>IFERROR(MAX(tblRiskRegister[[#This Row],[Risk Treatment Safeguard Impact to Mission]:[Risk Treatment Safeguard Impact to Obligations]])*tblRiskRegister[[#This Row],[Risk Treatment
Safeguard Expectancy Score]],"")</f>
        <v/>
      </c>
      <c r="AO27" s="203" t="str">
        <f>IF(tblRiskRegister[[#This Row],[Risk Score]]&gt;AcceptableRisk,IF(tblRiskRegister[[#This Row],[Risk Treatment Safeguard Risk Score]]&lt;AcceptableRisk, IF(tblRiskRegister[[#This Row],[Risk Treatment Safeguard Risk Score]]&lt;=tblRiskRegister[[#This Row],[Risk Score]],"Yes","No"),"No"),"Yes")</f>
        <v>No</v>
      </c>
      <c r="AP27" s="15"/>
      <c r="AQ27" s="15"/>
      <c r="AR27" s="16"/>
    </row>
    <row r="28" spans="2:48" ht="25.5" x14ac:dyDescent="0.2">
      <c r="B28" s="207">
        <v>3.4</v>
      </c>
      <c r="C28" s="194" t="s">
        <v>42</v>
      </c>
      <c r="D28" s="88" t="s">
        <v>87</v>
      </c>
      <c r="E28" s="274" t="s">
        <v>657</v>
      </c>
      <c r="F28" s="14" t="s">
        <v>463</v>
      </c>
      <c r="G28" s="88" t="s">
        <v>463</v>
      </c>
      <c r="H28" s="88" t="s">
        <v>463</v>
      </c>
      <c r="I28" s="223"/>
      <c r="J28" s="293" t="s">
        <v>667</v>
      </c>
      <c r="K28" s="293" t="s">
        <v>667</v>
      </c>
      <c r="L28" s="293" t="s">
        <v>667</v>
      </c>
      <c r="M28" s="293" t="s">
        <v>667</v>
      </c>
      <c r="N28" s="293" t="s">
        <v>667</v>
      </c>
      <c r="O28" s="295">
        <f>COUNTIF(tblRiskRegister[[#This Row],[Defends Against Malware]:[Defends Against Targeted Intrusions]],"Yes")</f>
        <v>5</v>
      </c>
      <c r="P28" s="12"/>
      <c r="Q28" s="12"/>
      <c r="R28" s="12"/>
      <c r="S28" s="12"/>
      <c r="T28" s="13"/>
      <c r="U28" s="199">
        <f>IFERROR(VLOOKUP(tblRiskRegister[[#This Row],[Asset Class]],tblVCDBIndex[],4,FALSE),"")</f>
        <v>3</v>
      </c>
      <c r="V28" s="24" t="str">
        <f>IFERROR(VLOOKUP(10*tblRiskRegister[[#This Row],[Safeguard Maturity Score]]+tblRiskRegister[[#This Row],[VCDB Index]],tblHITIndexWeightTable[],4,FALSE),"")</f>
        <v/>
      </c>
      <c r="W28" s="301"/>
      <c r="X28" s="301"/>
      <c r="Y28" s="301"/>
      <c r="Z28" s="301"/>
      <c r="AA28" s="24" t="str">
        <f>IFERROR(MAX(tblRiskRegister[[#This Row],[Impact to Mission]:[Impact to Obligations]])*tblRiskRegister[[#This Row],[Expectancy Score]],"")</f>
        <v/>
      </c>
      <c r="AB28" s="24" t="str">
        <f>tblRiskRegister[[#This Row],[Risk Score]]</f>
        <v/>
      </c>
      <c r="AC28" s="79"/>
      <c r="AD28" s="206">
        <v>3.4</v>
      </c>
      <c r="AE28" s="194" t="s">
        <v>42</v>
      </c>
      <c r="AF28" s="194" t="s">
        <v>347</v>
      </c>
      <c r="AG28" s="25"/>
      <c r="AH28" s="13"/>
      <c r="AI28" s="22" t="str">
        <f>IFERROR(VLOOKUP(10*tblRiskRegister[[#This Row],[Risk Treatment Safeguard Maturity Score]]+tblRiskRegister[[#This Row],[VCDB Index]],tblHITIndexWeightTable[],4,FALSE),"")</f>
        <v/>
      </c>
      <c r="AJ28" s="302"/>
      <c r="AK28" s="302"/>
      <c r="AL28" s="302"/>
      <c r="AM28" s="302"/>
      <c r="AN28" s="100" t="str">
        <f>IFERROR(MAX(tblRiskRegister[[#This Row],[Risk Treatment Safeguard Impact to Mission]:[Risk Treatment Safeguard Impact to Obligations]])*tblRiskRegister[[#This Row],[Risk Treatment
Safeguard Expectancy Score]],"")</f>
        <v/>
      </c>
      <c r="AO28" s="203" t="str">
        <f>IF(tblRiskRegister[[#This Row],[Risk Score]]&gt;AcceptableRisk,IF(tblRiskRegister[[#This Row],[Risk Treatment Safeguard Risk Score]]&lt;AcceptableRisk, IF(tblRiskRegister[[#This Row],[Risk Treatment Safeguard Risk Score]]&lt;=tblRiskRegister[[#This Row],[Risk Score]],"Yes","No"),"No"),"Yes")</f>
        <v>No</v>
      </c>
      <c r="AP28" s="15"/>
      <c r="AQ28" s="15"/>
      <c r="AR28" s="16"/>
    </row>
    <row r="29" spans="2:48" ht="25.5" x14ac:dyDescent="0.2">
      <c r="B29" s="207">
        <v>3.5</v>
      </c>
      <c r="C29" s="194" t="s">
        <v>43</v>
      </c>
      <c r="D29" s="88" t="s">
        <v>87</v>
      </c>
      <c r="E29" s="274" t="s">
        <v>657</v>
      </c>
      <c r="F29" s="14" t="s">
        <v>463</v>
      </c>
      <c r="G29" s="88" t="s">
        <v>463</v>
      </c>
      <c r="H29" s="88" t="s">
        <v>463</v>
      </c>
      <c r="I29" s="223"/>
      <c r="J29" s="292" t="s">
        <v>666</v>
      </c>
      <c r="K29" s="292" t="s">
        <v>666</v>
      </c>
      <c r="L29" s="292" t="s">
        <v>666</v>
      </c>
      <c r="M29" s="292" t="s">
        <v>666</v>
      </c>
      <c r="N29" s="292" t="s">
        <v>666</v>
      </c>
      <c r="O29" s="295">
        <f>COUNTIF(tblRiskRegister[[#This Row],[Defends Against Malware]:[Defends Against Targeted Intrusions]],"Yes")</f>
        <v>0</v>
      </c>
      <c r="P29" s="12"/>
      <c r="Q29" s="12"/>
      <c r="R29" s="12"/>
      <c r="S29" s="12"/>
      <c r="T29" s="13"/>
      <c r="U29" s="199">
        <f>IFERROR(VLOOKUP(tblRiskRegister[[#This Row],[Asset Class]],tblVCDBIndex[],4,FALSE),"")</f>
        <v>3</v>
      </c>
      <c r="V29" s="24" t="str">
        <f>IFERROR(VLOOKUP(10*tblRiskRegister[[#This Row],[Safeguard Maturity Score]]+tblRiskRegister[[#This Row],[VCDB Index]],tblHITIndexWeightTable[],4,FALSE),"")</f>
        <v/>
      </c>
      <c r="W29" s="301"/>
      <c r="X29" s="301"/>
      <c r="Y29" s="301"/>
      <c r="Z29" s="301"/>
      <c r="AA29" s="24" t="str">
        <f>IFERROR(MAX(tblRiskRegister[[#This Row],[Impact to Mission]:[Impact to Obligations]])*tblRiskRegister[[#This Row],[Expectancy Score]],"")</f>
        <v/>
      </c>
      <c r="AB29" s="24" t="str">
        <f>tblRiskRegister[[#This Row],[Risk Score]]</f>
        <v/>
      </c>
      <c r="AC29" s="79"/>
      <c r="AD29" s="206">
        <v>3.5</v>
      </c>
      <c r="AE29" s="194" t="s">
        <v>43</v>
      </c>
      <c r="AF29" s="194" t="s">
        <v>348</v>
      </c>
      <c r="AG29" s="25"/>
      <c r="AH29" s="13"/>
      <c r="AI29" s="22" t="str">
        <f>IFERROR(VLOOKUP(10*tblRiskRegister[[#This Row],[Risk Treatment Safeguard Maturity Score]]+tblRiskRegister[[#This Row],[VCDB Index]],tblHITIndexWeightTable[],4,FALSE),"")</f>
        <v/>
      </c>
      <c r="AJ29" s="302"/>
      <c r="AK29" s="302"/>
      <c r="AL29" s="302"/>
      <c r="AM29" s="302"/>
      <c r="AN29" s="100" t="str">
        <f>IFERROR(MAX(tblRiskRegister[[#This Row],[Risk Treatment Safeguard Impact to Mission]:[Risk Treatment Safeguard Impact to Obligations]])*tblRiskRegister[[#This Row],[Risk Treatment
Safeguard Expectancy Score]],"")</f>
        <v/>
      </c>
      <c r="AO29" s="203" t="str">
        <f>IF(tblRiskRegister[[#This Row],[Risk Score]]&gt;AcceptableRisk,IF(tblRiskRegister[[#This Row],[Risk Treatment Safeguard Risk Score]]&lt;AcceptableRisk, IF(tblRiskRegister[[#This Row],[Risk Treatment Safeguard Risk Score]]&lt;=tblRiskRegister[[#This Row],[Risk Score]],"Yes","No"),"No"),"Yes")</f>
        <v>No</v>
      </c>
      <c r="AP29" s="15"/>
      <c r="AQ29" s="15"/>
      <c r="AR29" s="16"/>
    </row>
    <row r="30" spans="2:48" ht="25.5" x14ac:dyDescent="0.2">
      <c r="B30" s="207">
        <v>3.6</v>
      </c>
      <c r="C30" s="194" t="s">
        <v>44</v>
      </c>
      <c r="D30" s="88" t="s">
        <v>88</v>
      </c>
      <c r="E30" s="274" t="s">
        <v>657</v>
      </c>
      <c r="F30" s="14" t="s">
        <v>463</v>
      </c>
      <c r="G30" s="88" t="s">
        <v>463</v>
      </c>
      <c r="H30" s="88" t="s">
        <v>463</v>
      </c>
      <c r="I30" s="223"/>
      <c r="J30" s="292" t="s">
        <v>666</v>
      </c>
      <c r="K30" s="292" t="s">
        <v>666</v>
      </c>
      <c r="L30" s="292" t="s">
        <v>666</v>
      </c>
      <c r="M30" s="292" t="s">
        <v>666</v>
      </c>
      <c r="N30" s="292" t="s">
        <v>666</v>
      </c>
      <c r="O30" s="295">
        <f>COUNTIF(tblRiskRegister[[#This Row],[Defends Against Malware]:[Defends Against Targeted Intrusions]],"Yes")</f>
        <v>0</v>
      </c>
      <c r="P30" s="12"/>
      <c r="Q30" s="12"/>
      <c r="R30" s="12"/>
      <c r="S30" s="12"/>
      <c r="T30" s="13"/>
      <c r="U30" s="199">
        <f>IFERROR(VLOOKUP(tblRiskRegister[[#This Row],[Asset Class]],tblVCDBIndex[],4,FALSE),"")</f>
        <v>1</v>
      </c>
      <c r="V30" s="24" t="str">
        <f>IFERROR(VLOOKUP(10*tblRiskRegister[[#This Row],[Safeguard Maturity Score]]+tblRiskRegister[[#This Row],[VCDB Index]],tblHITIndexWeightTable[],4,FALSE),"")</f>
        <v/>
      </c>
      <c r="W30" s="301"/>
      <c r="X30" s="301"/>
      <c r="Y30" s="301"/>
      <c r="Z30" s="301"/>
      <c r="AA30" s="24" t="str">
        <f>IFERROR(MAX(tblRiskRegister[[#This Row],[Impact to Mission]:[Impact to Obligations]])*tblRiskRegister[[#This Row],[Expectancy Score]],"")</f>
        <v/>
      </c>
      <c r="AB30" s="24" t="str">
        <f>tblRiskRegister[[#This Row],[Risk Score]]</f>
        <v/>
      </c>
      <c r="AC30" s="79"/>
      <c r="AD30" s="206">
        <v>3.6</v>
      </c>
      <c r="AE30" s="194" t="s">
        <v>44</v>
      </c>
      <c r="AF30" s="194" t="s">
        <v>616</v>
      </c>
      <c r="AG30" s="25"/>
      <c r="AH30" s="13"/>
      <c r="AI30" s="22" t="str">
        <f>IFERROR(VLOOKUP(10*tblRiskRegister[[#This Row],[Risk Treatment Safeguard Maturity Score]]+tblRiskRegister[[#This Row],[VCDB Index]],tblHITIndexWeightTable[],4,FALSE),"")</f>
        <v/>
      </c>
      <c r="AJ30" s="302"/>
      <c r="AK30" s="302"/>
      <c r="AL30" s="302"/>
      <c r="AM30" s="302"/>
      <c r="AN30" s="100" t="str">
        <f>IFERROR(MAX(tblRiskRegister[[#This Row],[Risk Treatment Safeguard Impact to Mission]:[Risk Treatment Safeguard Impact to Obligations]])*tblRiskRegister[[#This Row],[Risk Treatment
Safeguard Expectancy Score]],"")</f>
        <v/>
      </c>
      <c r="AO30" s="203" t="str">
        <f>IF(tblRiskRegister[[#This Row],[Risk Score]]&gt;AcceptableRisk,IF(tblRiskRegister[[#This Row],[Risk Treatment Safeguard Risk Score]]&lt;AcceptableRisk, IF(tblRiskRegister[[#This Row],[Risk Treatment Safeguard Risk Score]]&lt;=tblRiskRegister[[#This Row],[Risk Score]],"Yes","No"),"No"),"Yes")</f>
        <v>No</v>
      </c>
      <c r="AP30" s="15"/>
      <c r="AQ30" s="15"/>
      <c r="AR30" s="16"/>
    </row>
    <row r="31" spans="2:48" ht="51" x14ac:dyDescent="0.2">
      <c r="B31" s="207">
        <v>3.7</v>
      </c>
      <c r="C31" s="194" t="s">
        <v>172</v>
      </c>
      <c r="D31" s="88" t="s">
        <v>87</v>
      </c>
      <c r="E31" s="274" t="s">
        <v>654</v>
      </c>
      <c r="F31" s="14"/>
      <c r="G31" s="88" t="s">
        <v>463</v>
      </c>
      <c r="H31" s="88" t="s">
        <v>463</v>
      </c>
      <c r="I31" s="223"/>
      <c r="J31" s="292" t="s">
        <v>666</v>
      </c>
      <c r="K31" s="292" t="s">
        <v>666</v>
      </c>
      <c r="L31" s="292" t="s">
        <v>666</v>
      </c>
      <c r="M31" s="292" t="s">
        <v>666</v>
      </c>
      <c r="N31" s="292" t="s">
        <v>666</v>
      </c>
      <c r="O31" s="295">
        <f>COUNTIF(tblRiskRegister[[#This Row],[Defends Against Malware]:[Defends Against Targeted Intrusions]],"Yes")</f>
        <v>0</v>
      </c>
      <c r="P31" s="12"/>
      <c r="Q31" s="12"/>
      <c r="R31" s="12"/>
      <c r="S31" s="12"/>
      <c r="T31" s="13"/>
      <c r="U31" s="199">
        <f>IFERROR(VLOOKUP(tblRiskRegister[[#This Row],[Asset Class]],tblVCDBIndex[],4,FALSE),"")</f>
        <v>3</v>
      </c>
      <c r="V31" s="24" t="str">
        <f>IFERROR(VLOOKUP(10*tblRiskRegister[[#This Row],[Safeguard Maturity Score]]+tblRiskRegister[[#This Row],[VCDB Index]],tblHITIndexWeightTable[],4,FALSE),"")</f>
        <v/>
      </c>
      <c r="W31" s="301"/>
      <c r="X31" s="301"/>
      <c r="Y31" s="301"/>
      <c r="Z31" s="301"/>
      <c r="AA31" s="24" t="str">
        <f>IFERROR(MAX(tblRiskRegister[[#This Row],[Impact to Mission]:[Impact to Obligations]])*tblRiskRegister[[#This Row],[Expectancy Score]],"")</f>
        <v/>
      </c>
      <c r="AB31" s="24" t="str">
        <f>tblRiskRegister[[#This Row],[Risk Score]]</f>
        <v/>
      </c>
      <c r="AC31" s="79"/>
      <c r="AD31" s="206">
        <v>3.7</v>
      </c>
      <c r="AE31" s="194" t="s">
        <v>172</v>
      </c>
      <c r="AF31" s="194" t="s">
        <v>349</v>
      </c>
      <c r="AG31" s="25"/>
      <c r="AH31" s="13"/>
      <c r="AI31" s="22" t="str">
        <f>IFERROR(VLOOKUP(10*tblRiskRegister[[#This Row],[Risk Treatment Safeguard Maturity Score]]+tblRiskRegister[[#This Row],[VCDB Index]],tblHITIndexWeightTable[],4,FALSE),"")</f>
        <v/>
      </c>
      <c r="AJ31" s="302"/>
      <c r="AK31" s="302"/>
      <c r="AL31" s="302"/>
      <c r="AM31" s="302"/>
      <c r="AN31" s="100" t="str">
        <f>IFERROR(MAX(tblRiskRegister[[#This Row],[Risk Treatment Safeguard Impact to Mission]:[Risk Treatment Safeguard Impact to Obligations]])*tblRiskRegister[[#This Row],[Risk Treatment
Safeguard Expectancy Score]],"")</f>
        <v/>
      </c>
      <c r="AO31" s="203" t="str">
        <f>IF(tblRiskRegister[[#This Row],[Risk Score]]&gt;AcceptableRisk,IF(tblRiskRegister[[#This Row],[Risk Treatment Safeguard Risk Score]]&lt;AcceptableRisk, IF(tblRiskRegister[[#This Row],[Risk Treatment Safeguard Risk Score]]&lt;=tblRiskRegister[[#This Row],[Risk Score]],"Yes","No"),"No"),"Yes")</f>
        <v>No</v>
      </c>
      <c r="AP31" s="15"/>
      <c r="AQ31" s="15"/>
      <c r="AR31" s="16"/>
    </row>
    <row r="32" spans="2:48" ht="38.25" x14ac:dyDescent="0.2">
      <c r="B32" s="207">
        <v>3.8</v>
      </c>
      <c r="C32" s="194" t="s">
        <v>173</v>
      </c>
      <c r="D32" s="88" t="s">
        <v>87</v>
      </c>
      <c r="E32" s="274" t="s">
        <v>654</v>
      </c>
      <c r="F32" s="14"/>
      <c r="G32" s="88" t="s">
        <v>463</v>
      </c>
      <c r="H32" s="88" t="s">
        <v>463</v>
      </c>
      <c r="I32" s="223"/>
      <c r="J32" s="292" t="s">
        <v>666</v>
      </c>
      <c r="K32" s="292" t="s">
        <v>666</v>
      </c>
      <c r="L32" s="292" t="s">
        <v>666</v>
      </c>
      <c r="M32" s="292" t="s">
        <v>666</v>
      </c>
      <c r="N32" s="292" t="s">
        <v>666</v>
      </c>
      <c r="O32" s="295">
        <f>COUNTIF(tblRiskRegister[[#This Row],[Defends Against Malware]:[Defends Against Targeted Intrusions]],"Yes")</f>
        <v>0</v>
      </c>
      <c r="P32" s="12"/>
      <c r="Q32" s="12"/>
      <c r="R32" s="12"/>
      <c r="S32" s="12"/>
      <c r="T32" s="13"/>
      <c r="U32" s="199">
        <f>IFERROR(VLOOKUP(tblRiskRegister[[#This Row],[Asset Class]],tblVCDBIndex[],4,FALSE),"")</f>
        <v>3</v>
      </c>
      <c r="V32" s="24" t="str">
        <f>IFERROR(VLOOKUP(10*tblRiskRegister[[#This Row],[Safeguard Maturity Score]]+tblRiskRegister[[#This Row],[VCDB Index]],tblHITIndexWeightTable[],4,FALSE),"")</f>
        <v/>
      </c>
      <c r="W32" s="301"/>
      <c r="X32" s="301"/>
      <c r="Y32" s="301"/>
      <c r="Z32" s="301"/>
      <c r="AA32" s="24" t="str">
        <f>IFERROR(MAX(tblRiskRegister[[#This Row],[Impact to Mission]:[Impact to Obligations]])*tblRiskRegister[[#This Row],[Expectancy Score]],"")</f>
        <v/>
      </c>
      <c r="AB32" s="24" t="str">
        <f>tblRiskRegister[[#This Row],[Risk Score]]</f>
        <v/>
      </c>
      <c r="AC32" s="79"/>
      <c r="AD32" s="206">
        <v>3.8</v>
      </c>
      <c r="AE32" s="194" t="s">
        <v>173</v>
      </c>
      <c r="AF32" s="194" t="s">
        <v>350</v>
      </c>
      <c r="AG32" s="25"/>
      <c r="AH32" s="13"/>
      <c r="AI32" s="22" t="str">
        <f>IFERROR(VLOOKUP(10*tblRiskRegister[[#This Row],[Risk Treatment Safeguard Maturity Score]]+tblRiskRegister[[#This Row],[VCDB Index]],tblHITIndexWeightTable[],4,FALSE),"")</f>
        <v/>
      </c>
      <c r="AJ32" s="302"/>
      <c r="AK32" s="302"/>
      <c r="AL32" s="302"/>
      <c r="AM32" s="302"/>
      <c r="AN32" s="100" t="str">
        <f>IFERROR(MAX(tblRiskRegister[[#This Row],[Risk Treatment Safeguard Impact to Mission]:[Risk Treatment Safeguard Impact to Obligations]])*tblRiskRegister[[#This Row],[Risk Treatment
Safeguard Expectancy Score]],"")</f>
        <v/>
      </c>
      <c r="AO32" s="203" t="str">
        <f>IF(tblRiskRegister[[#This Row],[Risk Score]]&gt;AcceptableRisk,IF(tblRiskRegister[[#This Row],[Risk Treatment Safeguard Risk Score]]&lt;AcceptableRisk, IF(tblRiskRegister[[#This Row],[Risk Treatment Safeguard Risk Score]]&lt;=tblRiskRegister[[#This Row],[Risk Score]],"Yes","No"),"No"),"Yes")</f>
        <v>No</v>
      </c>
      <c r="AP32" s="15"/>
      <c r="AQ32" s="15"/>
      <c r="AR32" s="16"/>
    </row>
    <row r="33" spans="2:44" ht="25.5" x14ac:dyDescent="0.2">
      <c r="B33" s="207">
        <v>3.9</v>
      </c>
      <c r="C33" s="194" t="s">
        <v>174</v>
      </c>
      <c r="D33" s="88" t="s">
        <v>87</v>
      </c>
      <c r="E33" s="274" t="s">
        <v>657</v>
      </c>
      <c r="F33" s="14"/>
      <c r="G33" s="88" t="s">
        <v>463</v>
      </c>
      <c r="H33" s="88" t="s">
        <v>463</v>
      </c>
      <c r="I33" s="223"/>
      <c r="J33" s="292" t="s">
        <v>666</v>
      </c>
      <c r="K33" s="292" t="s">
        <v>666</v>
      </c>
      <c r="L33" s="292" t="s">
        <v>666</v>
      </c>
      <c r="M33" s="292" t="s">
        <v>666</v>
      </c>
      <c r="N33" s="292" t="s">
        <v>666</v>
      </c>
      <c r="O33" s="295">
        <f>COUNTIF(tblRiskRegister[[#This Row],[Defends Against Malware]:[Defends Against Targeted Intrusions]],"Yes")</f>
        <v>0</v>
      </c>
      <c r="P33" s="12"/>
      <c r="Q33" s="12"/>
      <c r="R33" s="12"/>
      <c r="S33" s="12"/>
      <c r="T33" s="13"/>
      <c r="U33" s="199">
        <f>IFERROR(VLOOKUP(tblRiskRegister[[#This Row],[Asset Class]],tblVCDBIndex[],4,FALSE),"")</f>
        <v>3</v>
      </c>
      <c r="V33" s="24" t="str">
        <f>IFERROR(VLOOKUP(10*tblRiskRegister[[#This Row],[Safeguard Maturity Score]]+tblRiskRegister[[#This Row],[VCDB Index]],tblHITIndexWeightTable[],4,FALSE),"")</f>
        <v/>
      </c>
      <c r="W33" s="301"/>
      <c r="X33" s="301"/>
      <c r="Y33" s="301"/>
      <c r="Z33" s="301"/>
      <c r="AA33" s="24" t="str">
        <f>IFERROR(MAX(tblRiskRegister[[#This Row],[Impact to Mission]:[Impact to Obligations]])*tblRiskRegister[[#This Row],[Expectancy Score]],"")</f>
        <v/>
      </c>
      <c r="AB33" s="24" t="str">
        <f>tblRiskRegister[[#This Row],[Risk Score]]</f>
        <v/>
      </c>
      <c r="AC33" s="79"/>
      <c r="AD33" s="206">
        <v>3.9</v>
      </c>
      <c r="AE33" s="194" t="s">
        <v>174</v>
      </c>
      <c r="AF33" s="194" t="s">
        <v>351</v>
      </c>
      <c r="AG33" s="25"/>
      <c r="AH33" s="13"/>
      <c r="AI33" s="22" t="str">
        <f>IFERROR(VLOOKUP(10*tblRiskRegister[[#This Row],[Risk Treatment Safeguard Maturity Score]]+tblRiskRegister[[#This Row],[VCDB Index]],tblHITIndexWeightTable[],4,FALSE),"")</f>
        <v/>
      </c>
      <c r="AJ33" s="302"/>
      <c r="AK33" s="302"/>
      <c r="AL33" s="302"/>
      <c r="AM33" s="302"/>
      <c r="AN33" s="100" t="str">
        <f>IFERROR(MAX(tblRiskRegister[[#This Row],[Risk Treatment Safeguard Impact to Mission]:[Risk Treatment Safeguard Impact to Obligations]])*tblRiskRegister[[#This Row],[Risk Treatment
Safeguard Expectancy Score]],"")</f>
        <v/>
      </c>
      <c r="AO33" s="203" t="str">
        <f>IF(tblRiskRegister[[#This Row],[Risk Score]]&gt;AcceptableRisk,IF(tblRiskRegister[[#This Row],[Risk Treatment Safeguard Risk Score]]&lt;AcceptableRisk, IF(tblRiskRegister[[#This Row],[Risk Treatment Safeguard Risk Score]]&lt;=tblRiskRegister[[#This Row],[Risk Score]],"Yes","No"),"No"),"Yes")</f>
        <v>No</v>
      </c>
      <c r="AP33" s="15"/>
      <c r="AQ33" s="15"/>
      <c r="AR33" s="16"/>
    </row>
    <row r="34" spans="2:44" ht="25.5" x14ac:dyDescent="0.2">
      <c r="B34" s="207" t="s">
        <v>528</v>
      </c>
      <c r="C34" s="194" t="s">
        <v>175</v>
      </c>
      <c r="D34" s="88" t="s">
        <v>87</v>
      </c>
      <c r="E34" s="274" t="s">
        <v>657</v>
      </c>
      <c r="F34" s="14"/>
      <c r="G34" s="88" t="s">
        <v>463</v>
      </c>
      <c r="H34" s="88" t="s">
        <v>463</v>
      </c>
      <c r="I34" s="223"/>
      <c r="J34" s="293" t="s">
        <v>667</v>
      </c>
      <c r="K34" s="293" t="s">
        <v>667</v>
      </c>
      <c r="L34" s="293" t="s">
        <v>667</v>
      </c>
      <c r="M34" s="293" t="s">
        <v>667</v>
      </c>
      <c r="N34" s="293" t="s">
        <v>667</v>
      </c>
      <c r="O34" s="295">
        <f>COUNTIF(tblRiskRegister[[#This Row],[Defends Against Malware]:[Defends Against Targeted Intrusions]],"Yes")</f>
        <v>5</v>
      </c>
      <c r="P34" s="12"/>
      <c r="Q34" s="12"/>
      <c r="R34" s="12"/>
      <c r="S34" s="12"/>
      <c r="T34" s="13"/>
      <c r="U34" s="199">
        <f>IFERROR(VLOOKUP(tblRiskRegister[[#This Row],[Asset Class]],tblVCDBIndex[],4,FALSE),"")</f>
        <v>3</v>
      </c>
      <c r="V34" s="24" t="str">
        <f>IFERROR(VLOOKUP(10*tblRiskRegister[[#This Row],[Safeguard Maturity Score]]+tblRiskRegister[[#This Row],[VCDB Index]],tblHITIndexWeightTable[],4,FALSE),"")</f>
        <v/>
      </c>
      <c r="W34" s="301"/>
      <c r="X34" s="301"/>
      <c r="Y34" s="301"/>
      <c r="Z34" s="301"/>
      <c r="AA34" s="24" t="str">
        <f>IFERROR(MAX(tblRiskRegister[[#This Row],[Impact to Mission]:[Impact to Obligations]])*tblRiskRegister[[#This Row],[Expectancy Score]],"")</f>
        <v/>
      </c>
      <c r="AB34" s="24" t="str">
        <f>tblRiskRegister[[#This Row],[Risk Score]]</f>
        <v/>
      </c>
      <c r="AC34" s="79"/>
      <c r="AD34" s="206" t="s">
        <v>528</v>
      </c>
      <c r="AE34" s="194" t="s">
        <v>175</v>
      </c>
      <c r="AF34" s="194" t="s">
        <v>352</v>
      </c>
      <c r="AG34" s="25"/>
      <c r="AH34" s="13"/>
      <c r="AI34" s="22" t="str">
        <f>IFERROR(VLOOKUP(10*tblRiskRegister[[#This Row],[Risk Treatment Safeguard Maturity Score]]+tblRiskRegister[[#This Row],[VCDB Index]],tblHITIndexWeightTable[],4,FALSE),"")</f>
        <v/>
      </c>
      <c r="AJ34" s="302"/>
      <c r="AK34" s="302"/>
      <c r="AL34" s="302"/>
      <c r="AM34" s="302"/>
      <c r="AN34" s="100" t="str">
        <f>IFERROR(MAX(tblRiskRegister[[#This Row],[Risk Treatment Safeguard Impact to Mission]:[Risk Treatment Safeguard Impact to Obligations]])*tblRiskRegister[[#This Row],[Risk Treatment
Safeguard Expectancy Score]],"")</f>
        <v/>
      </c>
      <c r="AO34" s="203" t="str">
        <f>IF(tblRiskRegister[[#This Row],[Risk Score]]&gt;AcceptableRisk,IF(tblRiskRegister[[#This Row],[Risk Treatment Safeguard Risk Score]]&lt;AcceptableRisk, IF(tblRiskRegister[[#This Row],[Risk Treatment Safeguard Risk Score]]&lt;=tblRiskRegister[[#This Row],[Risk Score]],"Yes","No"),"No"),"Yes")</f>
        <v>No</v>
      </c>
      <c r="AP34" s="15"/>
      <c r="AQ34" s="15"/>
      <c r="AR34" s="16"/>
    </row>
    <row r="35" spans="2:44" ht="63.75" x14ac:dyDescent="0.2">
      <c r="B35" s="207">
        <v>3.11</v>
      </c>
      <c r="C35" s="194" t="s">
        <v>176</v>
      </c>
      <c r="D35" s="88" t="s">
        <v>87</v>
      </c>
      <c r="E35" s="274" t="s">
        <v>657</v>
      </c>
      <c r="F35" s="14"/>
      <c r="G35" s="88" t="s">
        <v>463</v>
      </c>
      <c r="H35" s="88" t="s">
        <v>463</v>
      </c>
      <c r="I35" s="223"/>
      <c r="J35" s="293" t="s">
        <v>667</v>
      </c>
      <c r="K35" s="293" t="s">
        <v>667</v>
      </c>
      <c r="L35" s="293" t="s">
        <v>667</v>
      </c>
      <c r="M35" s="293" t="s">
        <v>667</v>
      </c>
      <c r="N35" s="293" t="s">
        <v>667</v>
      </c>
      <c r="O35" s="295">
        <f>COUNTIF(tblRiskRegister[[#This Row],[Defends Against Malware]:[Defends Against Targeted Intrusions]],"Yes")</f>
        <v>5</v>
      </c>
      <c r="P35" s="12"/>
      <c r="Q35" s="12"/>
      <c r="R35" s="12"/>
      <c r="S35" s="12"/>
      <c r="T35" s="13"/>
      <c r="U35" s="199">
        <f>IFERROR(VLOOKUP(tblRiskRegister[[#This Row],[Asset Class]],tblVCDBIndex[],4,FALSE),"")</f>
        <v>3</v>
      </c>
      <c r="V35" s="24" t="str">
        <f>IFERROR(VLOOKUP(10*tblRiskRegister[[#This Row],[Safeguard Maturity Score]]+tblRiskRegister[[#This Row],[VCDB Index]],tblHITIndexWeightTable[],4,FALSE),"")</f>
        <v/>
      </c>
      <c r="W35" s="301"/>
      <c r="X35" s="301"/>
      <c r="Y35" s="301"/>
      <c r="Z35" s="301"/>
      <c r="AA35" s="24" t="str">
        <f>IFERROR(MAX(tblRiskRegister[[#This Row],[Impact to Mission]:[Impact to Obligations]])*tblRiskRegister[[#This Row],[Expectancy Score]],"")</f>
        <v/>
      </c>
      <c r="AB35" s="24" t="str">
        <f>tblRiskRegister[[#This Row],[Risk Score]]</f>
        <v/>
      </c>
      <c r="AC35" s="79"/>
      <c r="AD35" s="206">
        <v>3.11</v>
      </c>
      <c r="AE35" s="194" t="s">
        <v>176</v>
      </c>
      <c r="AF35" s="194" t="s">
        <v>353</v>
      </c>
      <c r="AG35" s="25"/>
      <c r="AH35" s="13"/>
      <c r="AI35" s="22" t="str">
        <f>IFERROR(VLOOKUP(10*tblRiskRegister[[#This Row],[Risk Treatment Safeguard Maturity Score]]+tblRiskRegister[[#This Row],[VCDB Index]],tblHITIndexWeightTable[],4,FALSE),"")</f>
        <v/>
      </c>
      <c r="AJ35" s="302"/>
      <c r="AK35" s="302"/>
      <c r="AL35" s="302"/>
      <c r="AM35" s="302"/>
      <c r="AN35" s="100" t="str">
        <f>IFERROR(MAX(tblRiskRegister[[#This Row],[Risk Treatment Safeguard Impact to Mission]:[Risk Treatment Safeguard Impact to Obligations]])*tblRiskRegister[[#This Row],[Risk Treatment
Safeguard Expectancy Score]],"")</f>
        <v/>
      </c>
      <c r="AO35" s="203" t="str">
        <f>IF(tblRiskRegister[[#This Row],[Risk Score]]&gt;AcceptableRisk,IF(tblRiskRegister[[#This Row],[Risk Treatment Safeguard Risk Score]]&lt;AcceptableRisk, IF(tblRiskRegister[[#This Row],[Risk Treatment Safeguard Risk Score]]&lt;=tblRiskRegister[[#This Row],[Risk Score]],"Yes","No"),"No"),"Yes")</f>
        <v>No</v>
      </c>
      <c r="AP35" s="15"/>
      <c r="AQ35" s="15"/>
      <c r="AR35" s="16"/>
    </row>
    <row r="36" spans="2:44" ht="38.25" x14ac:dyDescent="0.2">
      <c r="B36" s="207">
        <v>3.12</v>
      </c>
      <c r="C36" s="194" t="s">
        <v>202</v>
      </c>
      <c r="D36" s="88" t="s">
        <v>90</v>
      </c>
      <c r="E36" s="274" t="s">
        <v>657</v>
      </c>
      <c r="F36" s="14"/>
      <c r="G36" s="88" t="s">
        <v>463</v>
      </c>
      <c r="H36" s="88" t="s">
        <v>463</v>
      </c>
      <c r="I36" s="223"/>
      <c r="J36" s="293" t="s">
        <v>667</v>
      </c>
      <c r="K36" s="293" t="s">
        <v>667</v>
      </c>
      <c r="L36" s="293" t="s">
        <v>667</v>
      </c>
      <c r="M36" s="293" t="s">
        <v>667</v>
      </c>
      <c r="N36" s="293" t="s">
        <v>667</v>
      </c>
      <c r="O36" s="295">
        <f>COUNTIF(tblRiskRegister[[#This Row],[Defends Against Malware]:[Defends Against Targeted Intrusions]],"Yes")</f>
        <v>5</v>
      </c>
      <c r="P36" s="12"/>
      <c r="Q36" s="12"/>
      <c r="R36" s="12"/>
      <c r="S36" s="12"/>
      <c r="T36" s="13"/>
      <c r="U36" s="199">
        <f>IFERROR(VLOOKUP(tblRiskRegister[[#This Row],[Asset Class]],tblVCDBIndex[],4,FALSE),"")</f>
        <v>1</v>
      </c>
      <c r="V36" s="24" t="str">
        <f>IFERROR(VLOOKUP(10*tblRiskRegister[[#This Row],[Safeguard Maturity Score]]+tblRiskRegister[[#This Row],[VCDB Index]],tblHITIndexWeightTable[],4,FALSE),"")</f>
        <v/>
      </c>
      <c r="W36" s="301"/>
      <c r="X36" s="301"/>
      <c r="Y36" s="301"/>
      <c r="Z36" s="301"/>
      <c r="AA36" s="24" t="str">
        <f>IFERROR(MAX(tblRiskRegister[[#This Row],[Impact to Mission]:[Impact to Obligations]])*tblRiskRegister[[#This Row],[Expectancy Score]],"")</f>
        <v/>
      </c>
      <c r="AB36" s="24" t="str">
        <f>tblRiskRegister[[#This Row],[Risk Score]]</f>
        <v/>
      </c>
      <c r="AC36" s="79"/>
      <c r="AD36" s="206">
        <v>3.12</v>
      </c>
      <c r="AE36" s="194" t="s">
        <v>202</v>
      </c>
      <c r="AF36" s="194" t="s">
        <v>354</v>
      </c>
      <c r="AG36" s="25"/>
      <c r="AH36" s="13"/>
      <c r="AI36" s="22" t="str">
        <f>IFERROR(VLOOKUP(10*tblRiskRegister[[#This Row],[Risk Treatment Safeguard Maturity Score]]+tblRiskRegister[[#This Row],[VCDB Index]],tblHITIndexWeightTable[],4,FALSE),"")</f>
        <v/>
      </c>
      <c r="AJ36" s="302"/>
      <c r="AK36" s="302"/>
      <c r="AL36" s="302"/>
      <c r="AM36" s="302"/>
      <c r="AN36" s="100" t="str">
        <f>IFERROR(MAX(tblRiskRegister[[#This Row],[Risk Treatment Safeguard Impact to Mission]:[Risk Treatment Safeguard Impact to Obligations]])*tblRiskRegister[[#This Row],[Risk Treatment
Safeguard Expectancy Score]],"")</f>
        <v/>
      </c>
      <c r="AO36" s="203" t="str">
        <f>IF(tblRiskRegister[[#This Row],[Risk Score]]&gt;AcceptableRisk,IF(tblRiskRegister[[#This Row],[Risk Treatment Safeguard Risk Score]]&lt;AcceptableRisk, IF(tblRiskRegister[[#This Row],[Risk Treatment Safeguard Risk Score]]&lt;=tblRiskRegister[[#This Row],[Risk Score]],"Yes","No"),"No"),"Yes")</f>
        <v>No</v>
      </c>
      <c r="AP36" s="15"/>
      <c r="AQ36" s="15"/>
      <c r="AR36" s="16"/>
    </row>
    <row r="37" spans="2:44" ht="38.25" x14ac:dyDescent="0.2">
      <c r="B37" s="207">
        <v>3.13</v>
      </c>
      <c r="C37" s="194" t="s">
        <v>541</v>
      </c>
      <c r="D37" s="88" t="s">
        <v>87</v>
      </c>
      <c r="E37" s="274" t="s">
        <v>657</v>
      </c>
      <c r="F37" s="14"/>
      <c r="G37" s="88"/>
      <c r="H37" s="88" t="s">
        <v>463</v>
      </c>
      <c r="I37" s="223"/>
      <c r="J37" s="292" t="s">
        <v>666</v>
      </c>
      <c r="K37" s="292" t="s">
        <v>666</v>
      </c>
      <c r="L37" s="292" t="s">
        <v>666</v>
      </c>
      <c r="M37" s="292" t="s">
        <v>666</v>
      </c>
      <c r="N37" s="292" t="s">
        <v>666</v>
      </c>
      <c r="O37" s="295">
        <f>COUNTIF(tblRiskRegister[[#This Row],[Defends Against Malware]:[Defends Against Targeted Intrusions]],"Yes")</f>
        <v>0</v>
      </c>
      <c r="P37" s="12"/>
      <c r="Q37" s="12"/>
      <c r="R37" s="12"/>
      <c r="S37" s="12"/>
      <c r="T37" s="13"/>
      <c r="U37" s="199">
        <f>IFERROR(VLOOKUP(tblRiskRegister[[#This Row],[Asset Class]],tblVCDBIndex[],4,FALSE),"")</f>
        <v>3</v>
      </c>
      <c r="V37" s="24" t="str">
        <f>IFERROR(VLOOKUP(10*tblRiskRegister[[#This Row],[Safeguard Maturity Score]]+tblRiskRegister[[#This Row],[VCDB Index]],tblHITIndexWeightTable[],4,FALSE),"")</f>
        <v/>
      </c>
      <c r="W37" s="301"/>
      <c r="X37" s="301"/>
      <c r="Y37" s="301"/>
      <c r="Z37" s="301"/>
      <c r="AA37" s="24" t="str">
        <f>IFERROR(MAX(tblRiskRegister[[#This Row],[Impact to Mission]:[Impact to Obligations]])*tblRiskRegister[[#This Row],[Expectancy Score]],"")</f>
        <v/>
      </c>
      <c r="AB37" s="24" t="str">
        <f>tblRiskRegister[[#This Row],[Risk Score]]</f>
        <v/>
      </c>
      <c r="AC37" s="79"/>
      <c r="AD37" s="206">
        <v>3.13</v>
      </c>
      <c r="AE37" s="194" t="s">
        <v>541</v>
      </c>
      <c r="AF37" s="194" t="s">
        <v>554</v>
      </c>
      <c r="AG37" s="25"/>
      <c r="AH37" s="13"/>
      <c r="AI37" s="22" t="str">
        <f>IFERROR(VLOOKUP(10*tblRiskRegister[[#This Row],[Risk Treatment Safeguard Maturity Score]]+tblRiskRegister[[#This Row],[VCDB Index]],tblHITIndexWeightTable[],4,FALSE),"")</f>
        <v/>
      </c>
      <c r="AJ37" s="302"/>
      <c r="AK37" s="302"/>
      <c r="AL37" s="302"/>
      <c r="AM37" s="302"/>
      <c r="AN37" s="100" t="str">
        <f>IFERROR(MAX(tblRiskRegister[[#This Row],[Risk Treatment Safeguard Impact to Mission]:[Risk Treatment Safeguard Impact to Obligations]])*tblRiskRegister[[#This Row],[Risk Treatment
Safeguard Expectancy Score]],"")</f>
        <v/>
      </c>
      <c r="AO37" s="203" t="str">
        <f>IF(tblRiskRegister[[#This Row],[Risk Score]]&gt;AcceptableRisk,IF(tblRiskRegister[[#This Row],[Risk Treatment Safeguard Risk Score]]&lt;AcceptableRisk, IF(tblRiskRegister[[#This Row],[Risk Treatment Safeguard Risk Score]]&lt;=tblRiskRegister[[#This Row],[Risk Score]],"Yes","No"),"No"),"Yes")</f>
        <v>No</v>
      </c>
      <c r="AP37" s="15"/>
      <c r="AQ37" s="15"/>
      <c r="AR37" s="16"/>
    </row>
    <row r="38" spans="2:44" ht="25.5" x14ac:dyDescent="0.2">
      <c r="B38" s="207">
        <v>3.14</v>
      </c>
      <c r="C38" s="194" t="s">
        <v>542</v>
      </c>
      <c r="D38" s="88" t="s">
        <v>87</v>
      </c>
      <c r="E38" s="274" t="s">
        <v>656</v>
      </c>
      <c r="F38" s="14"/>
      <c r="G38" s="88"/>
      <c r="H38" s="88" t="s">
        <v>463</v>
      </c>
      <c r="I38" s="223"/>
      <c r="J38" s="292" t="s">
        <v>666</v>
      </c>
      <c r="K38" s="292" t="s">
        <v>666</v>
      </c>
      <c r="L38" s="292" t="s">
        <v>666</v>
      </c>
      <c r="M38" s="292" t="s">
        <v>666</v>
      </c>
      <c r="N38" s="292" t="s">
        <v>666</v>
      </c>
      <c r="O38" s="295">
        <f>COUNTIF(tblRiskRegister[[#This Row],[Defends Against Malware]:[Defends Against Targeted Intrusions]],"Yes")</f>
        <v>0</v>
      </c>
      <c r="P38" s="12"/>
      <c r="Q38" s="12"/>
      <c r="R38" s="12"/>
      <c r="S38" s="12"/>
      <c r="T38" s="13"/>
      <c r="U38" s="199">
        <f>IFERROR(VLOOKUP(tblRiskRegister[[#This Row],[Asset Class]],tblVCDBIndex[],4,FALSE),"")</f>
        <v>3</v>
      </c>
      <c r="V38" s="24" t="str">
        <f>IFERROR(VLOOKUP(10*tblRiskRegister[[#This Row],[Safeguard Maturity Score]]+tblRiskRegister[[#This Row],[VCDB Index]],tblHITIndexWeightTable[],4,FALSE),"")</f>
        <v/>
      </c>
      <c r="W38" s="301"/>
      <c r="X38" s="301"/>
      <c r="Y38" s="301"/>
      <c r="Z38" s="301"/>
      <c r="AA38" s="24" t="str">
        <f>IFERROR(MAX(tblRiskRegister[[#This Row],[Impact to Mission]:[Impact to Obligations]])*tblRiskRegister[[#This Row],[Expectancy Score]],"")</f>
        <v/>
      </c>
      <c r="AB38" s="24" t="str">
        <f>tblRiskRegister[[#This Row],[Risk Score]]</f>
        <v/>
      </c>
      <c r="AC38" s="79"/>
      <c r="AD38" s="206">
        <v>3.14</v>
      </c>
      <c r="AE38" s="194" t="s">
        <v>542</v>
      </c>
      <c r="AF38" s="194" t="s">
        <v>617</v>
      </c>
      <c r="AG38" s="25"/>
      <c r="AH38" s="13"/>
      <c r="AI38" s="22" t="str">
        <f>IFERROR(VLOOKUP(10*tblRiskRegister[[#This Row],[Risk Treatment Safeguard Maturity Score]]+tblRiskRegister[[#This Row],[VCDB Index]],tblHITIndexWeightTable[],4,FALSE),"")</f>
        <v/>
      </c>
      <c r="AJ38" s="302"/>
      <c r="AK38" s="302"/>
      <c r="AL38" s="302"/>
      <c r="AM38" s="302"/>
      <c r="AN38" s="100" t="str">
        <f>IFERROR(MAX(tblRiskRegister[[#This Row],[Risk Treatment Safeguard Impact to Mission]:[Risk Treatment Safeguard Impact to Obligations]])*tblRiskRegister[[#This Row],[Risk Treatment
Safeguard Expectancy Score]],"")</f>
        <v/>
      </c>
      <c r="AO38" s="203" t="str">
        <f>IF(tblRiskRegister[[#This Row],[Risk Score]]&gt;AcceptableRisk,IF(tblRiskRegister[[#This Row],[Risk Treatment Safeguard Risk Score]]&lt;AcceptableRisk, IF(tblRiskRegister[[#This Row],[Risk Treatment Safeguard Risk Score]]&lt;=tblRiskRegister[[#This Row],[Risk Score]],"Yes","No"),"No"),"Yes")</f>
        <v>No</v>
      </c>
      <c r="AP38" s="15"/>
      <c r="AQ38" s="15"/>
      <c r="AR38" s="16"/>
    </row>
    <row r="39" spans="2:44" ht="51" x14ac:dyDescent="0.2">
      <c r="B39" s="207">
        <v>4.0999999999999996</v>
      </c>
      <c r="C39" s="194" t="s">
        <v>45</v>
      </c>
      <c r="D39" s="88" t="s">
        <v>89</v>
      </c>
      <c r="E39" s="274" t="s">
        <v>657</v>
      </c>
      <c r="F39" s="14" t="s">
        <v>463</v>
      </c>
      <c r="G39" s="88" t="s">
        <v>463</v>
      </c>
      <c r="H39" s="88" t="s">
        <v>463</v>
      </c>
      <c r="I39" s="223"/>
      <c r="J39" s="293" t="s">
        <v>667</v>
      </c>
      <c r="K39" s="293" t="s">
        <v>667</v>
      </c>
      <c r="L39" s="293" t="s">
        <v>667</v>
      </c>
      <c r="M39" s="293" t="s">
        <v>667</v>
      </c>
      <c r="N39" s="293" t="s">
        <v>667</v>
      </c>
      <c r="O39" s="295">
        <f>COUNTIF(tblRiskRegister[[#This Row],[Defends Against Malware]:[Defends Against Targeted Intrusions]],"Yes")</f>
        <v>5</v>
      </c>
      <c r="P39" s="12"/>
      <c r="Q39" s="12"/>
      <c r="R39" s="12"/>
      <c r="S39" s="12"/>
      <c r="T39" s="13"/>
      <c r="U39" s="199">
        <f>IFERROR(VLOOKUP(tblRiskRegister[[#This Row],[Asset Class]],tblVCDBIndex[],4,FALSE),"")</f>
        <v>1</v>
      </c>
      <c r="V39" s="24" t="str">
        <f>IFERROR(VLOOKUP(10*tblRiskRegister[[#This Row],[Safeguard Maturity Score]]+tblRiskRegister[[#This Row],[VCDB Index]],tblHITIndexWeightTable[],4,FALSE),"")</f>
        <v/>
      </c>
      <c r="W39" s="301"/>
      <c r="X39" s="301"/>
      <c r="Y39" s="301"/>
      <c r="Z39" s="301"/>
      <c r="AA39" s="24" t="str">
        <f>IFERROR(MAX(tblRiskRegister[[#This Row],[Impact to Mission]:[Impact to Obligations]])*tblRiskRegister[[#This Row],[Expectancy Score]],"")</f>
        <v/>
      </c>
      <c r="AB39" s="24" t="str">
        <f>tblRiskRegister[[#This Row],[Risk Score]]</f>
        <v/>
      </c>
      <c r="AC39" s="79"/>
      <c r="AD39" s="206">
        <v>4.0999999999999996</v>
      </c>
      <c r="AE39" s="194" t="s">
        <v>45</v>
      </c>
      <c r="AF39" s="194" t="s">
        <v>355</v>
      </c>
      <c r="AG39" s="25"/>
      <c r="AH39" s="13"/>
      <c r="AI39" s="22" t="str">
        <f>IFERROR(VLOOKUP(10*tblRiskRegister[[#This Row],[Risk Treatment Safeguard Maturity Score]]+tblRiskRegister[[#This Row],[VCDB Index]],tblHITIndexWeightTable[],4,FALSE),"")</f>
        <v/>
      </c>
      <c r="AJ39" s="302"/>
      <c r="AK39" s="302"/>
      <c r="AL39" s="302"/>
      <c r="AM39" s="302"/>
      <c r="AN39" s="100" t="str">
        <f>IFERROR(MAX(tblRiskRegister[[#This Row],[Risk Treatment Safeguard Impact to Mission]:[Risk Treatment Safeguard Impact to Obligations]])*tblRiskRegister[[#This Row],[Risk Treatment
Safeguard Expectancy Score]],"")</f>
        <v/>
      </c>
      <c r="AO39" s="203" t="str">
        <f>IF(tblRiskRegister[[#This Row],[Risk Score]]&gt;AcceptableRisk,IF(tblRiskRegister[[#This Row],[Risk Treatment Safeguard Risk Score]]&lt;AcceptableRisk, IF(tblRiskRegister[[#This Row],[Risk Treatment Safeguard Risk Score]]&lt;=tblRiskRegister[[#This Row],[Risk Score]],"Yes","No"),"No"),"Yes")</f>
        <v>No</v>
      </c>
      <c r="AP39" s="15"/>
      <c r="AQ39" s="15"/>
      <c r="AR39" s="16"/>
    </row>
    <row r="40" spans="2:44" ht="51" x14ac:dyDescent="0.2">
      <c r="B40" s="207">
        <v>4.2</v>
      </c>
      <c r="C40" s="194" t="s">
        <v>46</v>
      </c>
      <c r="D40" s="88" t="s">
        <v>90</v>
      </c>
      <c r="E40" s="274" t="s">
        <v>657</v>
      </c>
      <c r="F40" s="14" t="s">
        <v>463</v>
      </c>
      <c r="G40" s="88" t="s">
        <v>463</v>
      </c>
      <c r="H40" s="88" t="s">
        <v>463</v>
      </c>
      <c r="I40" s="223"/>
      <c r="J40" s="293" t="s">
        <v>667</v>
      </c>
      <c r="K40" s="293" t="s">
        <v>667</v>
      </c>
      <c r="L40" s="293" t="s">
        <v>667</v>
      </c>
      <c r="M40" s="293" t="s">
        <v>667</v>
      </c>
      <c r="N40" s="293" t="s">
        <v>667</v>
      </c>
      <c r="O40" s="295">
        <f>COUNTIF(tblRiskRegister[[#This Row],[Defends Against Malware]:[Defends Against Targeted Intrusions]],"Yes")</f>
        <v>5</v>
      </c>
      <c r="P40" s="12"/>
      <c r="Q40" s="12"/>
      <c r="R40" s="12"/>
      <c r="S40" s="12"/>
      <c r="T40" s="13"/>
      <c r="U40" s="199">
        <f>IFERROR(VLOOKUP(tblRiskRegister[[#This Row],[Asset Class]],tblVCDBIndex[],4,FALSE),"")</f>
        <v>1</v>
      </c>
      <c r="V40" s="24" t="str">
        <f>IFERROR(VLOOKUP(10*tblRiskRegister[[#This Row],[Safeguard Maturity Score]]+tblRiskRegister[[#This Row],[VCDB Index]],tblHITIndexWeightTable[],4,FALSE),"")</f>
        <v/>
      </c>
      <c r="W40" s="301"/>
      <c r="X40" s="301"/>
      <c r="Y40" s="301"/>
      <c r="Z40" s="301"/>
      <c r="AA40" s="24" t="str">
        <f>IFERROR(MAX(tblRiskRegister[[#This Row],[Impact to Mission]:[Impact to Obligations]])*tblRiskRegister[[#This Row],[Expectancy Score]],"")</f>
        <v/>
      </c>
      <c r="AB40" s="24" t="str">
        <f>tblRiskRegister[[#This Row],[Risk Score]]</f>
        <v/>
      </c>
      <c r="AC40" s="79"/>
      <c r="AD40" s="206">
        <v>4.2</v>
      </c>
      <c r="AE40" s="194" t="s">
        <v>46</v>
      </c>
      <c r="AF40" s="194" t="s">
        <v>356</v>
      </c>
      <c r="AG40" s="25"/>
      <c r="AH40" s="13"/>
      <c r="AI40" s="22" t="str">
        <f>IFERROR(VLOOKUP(10*tblRiskRegister[[#This Row],[Risk Treatment Safeguard Maturity Score]]+tblRiskRegister[[#This Row],[VCDB Index]],tblHITIndexWeightTable[],4,FALSE),"")</f>
        <v/>
      </c>
      <c r="AJ40" s="302"/>
      <c r="AK40" s="302"/>
      <c r="AL40" s="302"/>
      <c r="AM40" s="302"/>
      <c r="AN40" s="100" t="str">
        <f>IFERROR(MAX(tblRiskRegister[[#This Row],[Risk Treatment Safeguard Impact to Mission]:[Risk Treatment Safeguard Impact to Obligations]])*tblRiskRegister[[#This Row],[Risk Treatment
Safeguard Expectancy Score]],"")</f>
        <v/>
      </c>
      <c r="AO40" s="203" t="str">
        <f>IF(tblRiskRegister[[#This Row],[Risk Score]]&gt;AcceptableRisk,IF(tblRiskRegister[[#This Row],[Risk Treatment Safeguard Risk Score]]&lt;AcceptableRisk, IF(tblRiskRegister[[#This Row],[Risk Treatment Safeguard Risk Score]]&lt;=tblRiskRegister[[#This Row],[Risk Score]],"Yes","No"),"No"),"Yes")</f>
        <v>No</v>
      </c>
      <c r="AP40" s="15"/>
      <c r="AQ40" s="15"/>
      <c r="AR40" s="16"/>
    </row>
    <row r="41" spans="2:44" ht="38.25" x14ac:dyDescent="0.2">
      <c r="B41" s="207">
        <v>4.3</v>
      </c>
      <c r="C41" s="194" t="s">
        <v>47</v>
      </c>
      <c r="D41" s="88" t="s">
        <v>91</v>
      </c>
      <c r="E41" s="274" t="s">
        <v>657</v>
      </c>
      <c r="F41" s="14" t="s">
        <v>463</v>
      </c>
      <c r="G41" s="88" t="s">
        <v>463</v>
      </c>
      <c r="H41" s="88" t="s">
        <v>463</v>
      </c>
      <c r="I41" s="223"/>
      <c r="J41" s="292" t="s">
        <v>666</v>
      </c>
      <c r="K41" s="292" t="s">
        <v>666</v>
      </c>
      <c r="L41" s="292" t="s">
        <v>666</v>
      </c>
      <c r="M41" s="292" t="s">
        <v>666</v>
      </c>
      <c r="N41" s="292" t="s">
        <v>666</v>
      </c>
      <c r="O41" s="295">
        <f>COUNTIF(tblRiskRegister[[#This Row],[Defends Against Malware]:[Defends Against Targeted Intrusions]],"Yes")</f>
        <v>0</v>
      </c>
      <c r="P41" s="12"/>
      <c r="Q41" s="12"/>
      <c r="R41" s="12"/>
      <c r="S41" s="12"/>
      <c r="T41" s="13"/>
      <c r="U41" s="199">
        <f>IFERROR(VLOOKUP(tblRiskRegister[[#This Row],[Asset Class]],tblVCDBIndex[],4,FALSE),"")</f>
        <v>3</v>
      </c>
      <c r="V41" s="24" t="str">
        <f>IFERROR(VLOOKUP(10*tblRiskRegister[[#This Row],[Safeguard Maturity Score]]+tblRiskRegister[[#This Row],[VCDB Index]],tblHITIndexWeightTable[],4,FALSE),"")</f>
        <v/>
      </c>
      <c r="W41" s="301"/>
      <c r="X41" s="301"/>
      <c r="Y41" s="301"/>
      <c r="Z41" s="301"/>
      <c r="AA41" s="24" t="str">
        <f>IFERROR(MAX(tblRiskRegister[[#This Row],[Impact to Mission]:[Impact to Obligations]])*tblRiskRegister[[#This Row],[Expectancy Score]],"")</f>
        <v/>
      </c>
      <c r="AB41" s="24" t="str">
        <f>tblRiskRegister[[#This Row],[Risk Score]]</f>
        <v/>
      </c>
      <c r="AC41" s="79"/>
      <c r="AD41" s="206">
        <v>4.3</v>
      </c>
      <c r="AE41" s="194" t="s">
        <v>47</v>
      </c>
      <c r="AF41" s="194" t="s">
        <v>357</v>
      </c>
      <c r="AG41" s="25"/>
      <c r="AH41" s="13"/>
      <c r="AI41" s="22" t="str">
        <f>IFERROR(VLOOKUP(10*tblRiskRegister[[#This Row],[Risk Treatment Safeguard Maturity Score]]+tblRiskRegister[[#This Row],[VCDB Index]],tblHITIndexWeightTable[],4,FALSE),"")</f>
        <v/>
      </c>
      <c r="AJ41" s="302"/>
      <c r="AK41" s="302"/>
      <c r="AL41" s="302"/>
      <c r="AM41" s="302"/>
      <c r="AN41" s="100" t="str">
        <f>IFERROR(MAX(tblRiskRegister[[#This Row],[Risk Treatment Safeguard Impact to Mission]:[Risk Treatment Safeguard Impact to Obligations]])*tblRiskRegister[[#This Row],[Risk Treatment
Safeguard Expectancy Score]],"")</f>
        <v/>
      </c>
      <c r="AO41" s="203" t="str">
        <f>IF(tblRiskRegister[[#This Row],[Risk Score]]&gt;AcceptableRisk,IF(tblRiskRegister[[#This Row],[Risk Treatment Safeguard Risk Score]]&lt;AcceptableRisk, IF(tblRiskRegister[[#This Row],[Risk Treatment Safeguard Risk Score]]&lt;=tblRiskRegister[[#This Row],[Risk Score]],"Yes","No"),"No"),"Yes")</f>
        <v>No</v>
      </c>
      <c r="AP41" s="15"/>
      <c r="AQ41" s="15"/>
      <c r="AR41" s="16"/>
    </row>
    <row r="42" spans="2:44" ht="25.5" x14ac:dyDescent="0.2">
      <c r="B42" s="207">
        <v>4.4000000000000004</v>
      </c>
      <c r="C42" s="194" t="s">
        <v>48</v>
      </c>
      <c r="D42" s="88" t="s">
        <v>88</v>
      </c>
      <c r="E42" s="274" t="s">
        <v>657</v>
      </c>
      <c r="F42" s="14" t="s">
        <v>463</v>
      </c>
      <c r="G42" s="88" t="s">
        <v>463</v>
      </c>
      <c r="H42" s="88" t="s">
        <v>463</v>
      </c>
      <c r="I42" s="223"/>
      <c r="J42" s="293" t="s">
        <v>667</v>
      </c>
      <c r="K42" s="293" t="s">
        <v>667</v>
      </c>
      <c r="L42" s="293" t="s">
        <v>667</v>
      </c>
      <c r="M42" s="293" t="s">
        <v>667</v>
      </c>
      <c r="N42" s="293" t="s">
        <v>667</v>
      </c>
      <c r="O42" s="295">
        <f>COUNTIF(tblRiskRegister[[#This Row],[Defends Against Malware]:[Defends Against Targeted Intrusions]],"Yes")</f>
        <v>5</v>
      </c>
      <c r="P42" s="12"/>
      <c r="Q42" s="12"/>
      <c r="R42" s="12"/>
      <c r="S42" s="12"/>
      <c r="T42" s="13"/>
      <c r="U42" s="199">
        <f>IFERROR(VLOOKUP(tblRiskRegister[[#This Row],[Asset Class]],tblVCDBIndex[],4,FALSE),"")</f>
        <v>1</v>
      </c>
      <c r="V42" s="24" t="str">
        <f>IFERROR(VLOOKUP(10*tblRiskRegister[[#This Row],[Safeguard Maturity Score]]+tblRiskRegister[[#This Row],[VCDB Index]],tblHITIndexWeightTable[],4,FALSE),"")</f>
        <v/>
      </c>
      <c r="W42" s="301"/>
      <c r="X42" s="301"/>
      <c r="Y42" s="301"/>
      <c r="Z42" s="301"/>
      <c r="AA42" s="24" t="str">
        <f>IFERROR(MAX(tblRiskRegister[[#This Row],[Impact to Mission]:[Impact to Obligations]])*tblRiskRegister[[#This Row],[Expectancy Score]],"")</f>
        <v/>
      </c>
      <c r="AB42" s="24" t="str">
        <f>tblRiskRegister[[#This Row],[Risk Score]]</f>
        <v/>
      </c>
      <c r="AC42" s="79"/>
      <c r="AD42" s="206">
        <v>4.4000000000000004</v>
      </c>
      <c r="AE42" s="194" t="s">
        <v>48</v>
      </c>
      <c r="AF42" s="194" t="s">
        <v>358</v>
      </c>
      <c r="AG42" s="25"/>
      <c r="AH42" s="13"/>
      <c r="AI42" s="22" t="str">
        <f>IFERROR(VLOOKUP(10*tblRiskRegister[[#This Row],[Risk Treatment Safeguard Maturity Score]]+tblRiskRegister[[#This Row],[VCDB Index]],tblHITIndexWeightTable[],4,FALSE),"")</f>
        <v/>
      </c>
      <c r="AJ42" s="302"/>
      <c r="AK42" s="302"/>
      <c r="AL42" s="302"/>
      <c r="AM42" s="302"/>
      <c r="AN42" s="100" t="str">
        <f>IFERROR(MAX(tblRiskRegister[[#This Row],[Risk Treatment Safeguard Impact to Mission]:[Risk Treatment Safeguard Impact to Obligations]])*tblRiskRegister[[#This Row],[Risk Treatment
Safeguard Expectancy Score]],"")</f>
        <v/>
      </c>
      <c r="AO42" s="203" t="str">
        <f>IF(tblRiskRegister[[#This Row],[Risk Score]]&gt;AcceptableRisk,IF(tblRiskRegister[[#This Row],[Risk Treatment Safeguard Risk Score]]&lt;AcceptableRisk, IF(tblRiskRegister[[#This Row],[Risk Treatment Safeguard Risk Score]]&lt;=tblRiskRegister[[#This Row],[Risk Score]],"Yes","No"),"No"),"Yes")</f>
        <v>No</v>
      </c>
      <c r="AP42" s="15"/>
      <c r="AQ42" s="15"/>
      <c r="AR42" s="16"/>
    </row>
    <row r="43" spans="2:44" ht="38.25" x14ac:dyDescent="0.2">
      <c r="B43" s="207">
        <v>4.5</v>
      </c>
      <c r="C43" s="194" t="s">
        <v>49</v>
      </c>
      <c r="D43" s="88" t="s">
        <v>88</v>
      </c>
      <c r="E43" s="274" t="s">
        <v>657</v>
      </c>
      <c r="F43" s="14" t="s">
        <v>463</v>
      </c>
      <c r="G43" s="88" t="s">
        <v>463</v>
      </c>
      <c r="H43" s="88" t="s">
        <v>463</v>
      </c>
      <c r="I43" s="223"/>
      <c r="J43" s="293" t="s">
        <v>667</v>
      </c>
      <c r="K43" s="293" t="s">
        <v>667</v>
      </c>
      <c r="L43" s="293" t="s">
        <v>667</v>
      </c>
      <c r="M43" s="293" t="s">
        <v>667</v>
      </c>
      <c r="N43" s="293" t="s">
        <v>667</v>
      </c>
      <c r="O43" s="295">
        <f>COUNTIF(tblRiskRegister[[#This Row],[Defends Against Malware]:[Defends Against Targeted Intrusions]],"Yes")</f>
        <v>5</v>
      </c>
      <c r="P43" s="12"/>
      <c r="Q43" s="12"/>
      <c r="R43" s="12"/>
      <c r="S43" s="12"/>
      <c r="T43" s="13"/>
      <c r="U43" s="199">
        <f>IFERROR(VLOOKUP(tblRiskRegister[[#This Row],[Asset Class]],tblVCDBIndex[],4,FALSE),"")</f>
        <v>1</v>
      </c>
      <c r="V43" s="24" t="str">
        <f>IFERROR(VLOOKUP(10*tblRiskRegister[[#This Row],[Safeguard Maturity Score]]+tblRiskRegister[[#This Row],[VCDB Index]],tblHITIndexWeightTable[],4,FALSE),"")</f>
        <v/>
      </c>
      <c r="W43" s="301"/>
      <c r="X43" s="301"/>
      <c r="Y43" s="301"/>
      <c r="Z43" s="301"/>
      <c r="AA43" s="24" t="str">
        <f>IFERROR(MAX(tblRiskRegister[[#This Row],[Impact to Mission]:[Impact to Obligations]])*tblRiskRegister[[#This Row],[Expectancy Score]],"")</f>
        <v/>
      </c>
      <c r="AB43" s="24" t="str">
        <f>tblRiskRegister[[#This Row],[Risk Score]]</f>
        <v/>
      </c>
      <c r="AC43" s="79"/>
      <c r="AD43" s="206">
        <v>4.5</v>
      </c>
      <c r="AE43" s="194" t="s">
        <v>49</v>
      </c>
      <c r="AF43" s="194" t="s">
        <v>359</v>
      </c>
      <c r="AG43" s="25"/>
      <c r="AH43" s="13"/>
      <c r="AI43" s="22" t="str">
        <f>IFERROR(VLOOKUP(10*tblRiskRegister[[#This Row],[Risk Treatment Safeguard Maturity Score]]+tblRiskRegister[[#This Row],[VCDB Index]],tblHITIndexWeightTable[],4,FALSE),"")</f>
        <v/>
      </c>
      <c r="AJ43" s="302"/>
      <c r="AK43" s="302"/>
      <c r="AL43" s="302"/>
      <c r="AM43" s="302"/>
      <c r="AN43" s="100" t="str">
        <f>IFERROR(MAX(tblRiskRegister[[#This Row],[Risk Treatment Safeguard Impact to Mission]:[Risk Treatment Safeguard Impact to Obligations]])*tblRiskRegister[[#This Row],[Risk Treatment
Safeguard Expectancy Score]],"")</f>
        <v/>
      </c>
      <c r="AO43" s="203" t="str">
        <f>IF(tblRiskRegister[[#This Row],[Risk Score]]&gt;AcceptableRisk,IF(tblRiskRegister[[#This Row],[Risk Treatment Safeguard Risk Score]]&lt;AcceptableRisk, IF(tblRiskRegister[[#This Row],[Risk Treatment Safeguard Risk Score]]&lt;=tblRiskRegister[[#This Row],[Risk Score]],"Yes","No"),"No"),"Yes")</f>
        <v>No</v>
      </c>
      <c r="AP43" s="15"/>
      <c r="AQ43" s="15"/>
      <c r="AR43" s="16"/>
    </row>
    <row r="44" spans="2:44" ht="63.75" x14ac:dyDescent="0.2">
      <c r="B44" s="207">
        <v>4.5999999999999996</v>
      </c>
      <c r="C44" s="194" t="s">
        <v>50</v>
      </c>
      <c r="D44" s="88" t="s">
        <v>90</v>
      </c>
      <c r="E44" s="274" t="s">
        <v>657</v>
      </c>
      <c r="F44" s="14" t="s">
        <v>463</v>
      </c>
      <c r="G44" s="88" t="s">
        <v>463</v>
      </c>
      <c r="H44" s="88" t="s">
        <v>463</v>
      </c>
      <c r="I44" s="223"/>
      <c r="J44" s="293" t="s">
        <v>667</v>
      </c>
      <c r="K44" s="293" t="s">
        <v>667</v>
      </c>
      <c r="L44" s="293" t="s">
        <v>667</v>
      </c>
      <c r="M44" s="293" t="s">
        <v>667</v>
      </c>
      <c r="N44" s="292" t="s">
        <v>666</v>
      </c>
      <c r="O44" s="295">
        <f>COUNTIF(tblRiskRegister[[#This Row],[Defends Against Malware]:[Defends Against Targeted Intrusions]],"Yes")</f>
        <v>4</v>
      </c>
      <c r="P44" s="12"/>
      <c r="Q44" s="12"/>
      <c r="R44" s="12"/>
      <c r="S44" s="12"/>
      <c r="T44" s="13"/>
      <c r="U44" s="199">
        <f>IFERROR(VLOOKUP(tblRiskRegister[[#This Row],[Asset Class]],tblVCDBIndex[],4,FALSE),"")</f>
        <v>1</v>
      </c>
      <c r="V44" s="24" t="str">
        <f>IFERROR(VLOOKUP(10*tblRiskRegister[[#This Row],[Safeguard Maturity Score]]+tblRiskRegister[[#This Row],[VCDB Index]],tblHITIndexWeightTable[],4,FALSE),"")</f>
        <v/>
      </c>
      <c r="W44" s="301"/>
      <c r="X44" s="301"/>
      <c r="Y44" s="301"/>
      <c r="Z44" s="301"/>
      <c r="AA44" s="24" t="str">
        <f>IFERROR(MAX(tblRiskRegister[[#This Row],[Impact to Mission]:[Impact to Obligations]])*tblRiskRegister[[#This Row],[Expectancy Score]],"")</f>
        <v/>
      </c>
      <c r="AB44" s="24" t="str">
        <f>tblRiskRegister[[#This Row],[Risk Score]]</f>
        <v/>
      </c>
      <c r="AC44" s="79"/>
      <c r="AD44" s="206">
        <v>4.5999999999999996</v>
      </c>
      <c r="AE44" s="194" t="s">
        <v>50</v>
      </c>
      <c r="AF44" s="194" t="s">
        <v>360</v>
      </c>
      <c r="AG44" s="25"/>
      <c r="AH44" s="13"/>
      <c r="AI44" s="22" t="str">
        <f>IFERROR(VLOOKUP(10*tblRiskRegister[[#This Row],[Risk Treatment Safeguard Maturity Score]]+tblRiskRegister[[#This Row],[VCDB Index]],tblHITIndexWeightTable[],4,FALSE),"")</f>
        <v/>
      </c>
      <c r="AJ44" s="302"/>
      <c r="AK44" s="302"/>
      <c r="AL44" s="302"/>
      <c r="AM44" s="302"/>
      <c r="AN44" s="100" t="str">
        <f>IFERROR(MAX(tblRiskRegister[[#This Row],[Risk Treatment Safeguard Impact to Mission]:[Risk Treatment Safeguard Impact to Obligations]])*tblRiskRegister[[#This Row],[Risk Treatment
Safeguard Expectancy Score]],"")</f>
        <v/>
      </c>
      <c r="AO44" s="203" t="str">
        <f>IF(tblRiskRegister[[#This Row],[Risk Score]]&gt;AcceptableRisk,IF(tblRiskRegister[[#This Row],[Risk Treatment Safeguard Risk Score]]&lt;AcceptableRisk, IF(tblRiskRegister[[#This Row],[Risk Treatment Safeguard Risk Score]]&lt;=tblRiskRegister[[#This Row],[Risk Score]],"Yes","No"),"No"),"Yes")</f>
        <v>No</v>
      </c>
      <c r="AP44" s="15"/>
      <c r="AQ44" s="15"/>
      <c r="AR44" s="16"/>
    </row>
    <row r="45" spans="2:44" ht="38.25" x14ac:dyDescent="0.2">
      <c r="B45" s="207">
        <v>4.7</v>
      </c>
      <c r="C45" s="194" t="s">
        <v>51</v>
      </c>
      <c r="D45" s="88" t="s">
        <v>91</v>
      </c>
      <c r="E45" s="274" t="s">
        <v>657</v>
      </c>
      <c r="F45" s="14" t="s">
        <v>463</v>
      </c>
      <c r="G45" s="88" t="s">
        <v>463</v>
      </c>
      <c r="H45" s="88" t="s">
        <v>463</v>
      </c>
      <c r="I45" s="223"/>
      <c r="J45" s="293" t="s">
        <v>667</v>
      </c>
      <c r="K45" s="293" t="s">
        <v>667</v>
      </c>
      <c r="L45" s="293" t="s">
        <v>667</v>
      </c>
      <c r="M45" s="293" t="s">
        <v>667</v>
      </c>
      <c r="N45" s="293" t="s">
        <v>667</v>
      </c>
      <c r="O45" s="295">
        <f>COUNTIF(tblRiskRegister[[#This Row],[Defends Against Malware]:[Defends Against Targeted Intrusions]],"Yes")</f>
        <v>5</v>
      </c>
      <c r="P45" s="12"/>
      <c r="Q45" s="12"/>
      <c r="R45" s="12"/>
      <c r="S45" s="12"/>
      <c r="T45" s="13"/>
      <c r="U45" s="199">
        <f>IFERROR(VLOOKUP(tblRiskRegister[[#This Row],[Asset Class]],tblVCDBIndex[],4,FALSE),"")</f>
        <v>3</v>
      </c>
      <c r="V45" s="24" t="str">
        <f>IFERROR(VLOOKUP(10*tblRiskRegister[[#This Row],[Safeguard Maturity Score]]+tblRiskRegister[[#This Row],[VCDB Index]],tblHITIndexWeightTable[],4,FALSE),"")</f>
        <v/>
      </c>
      <c r="W45" s="301"/>
      <c r="X45" s="301"/>
      <c r="Y45" s="301"/>
      <c r="Z45" s="301"/>
      <c r="AA45" s="24" t="str">
        <f>IFERROR(MAX(tblRiskRegister[[#This Row],[Impact to Mission]:[Impact to Obligations]])*tblRiskRegister[[#This Row],[Expectancy Score]],"")</f>
        <v/>
      </c>
      <c r="AB45" s="24" t="str">
        <f>tblRiskRegister[[#This Row],[Risk Score]]</f>
        <v/>
      </c>
      <c r="AC45" s="79"/>
      <c r="AD45" s="206">
        <v>4.7</v>
      </c>
      <c r="AE45" s="194" t="s">
        <v>51</v>
      </c>
      <c r="AF45" s="194" t="s">
        <v>361</v>
      </c>
      <c r="AG45" s="25"/>
      <c r="AH45" s="13"/>
      <c r="AI45" s="22" t="str">
        <f>IFERROR(VLOOKUP(10*tblRiskRegister[[#This Row],[Risk Treatment Safeguard Maturity Score]]+tblRiskRegister[[#This Row],[VCDB Index]],tblHITIndexWeightTable[],4,FALSE),"")</f>
        <v/>
      </c>
      <c r="AJ45" s="302"/>
      <c r="AK45" s="302"/>
      <c r="AL45" s="302"/>
      <c r="AM45" s="302"/>
      <c r="AN45" s="100" t="str">
        <f>IFERROR(MAX(tblRiskRegister[[#This Row],[Risk Treatment Safeguard Impact to Mission]:[Risk Treatment Safeguard Impact to Obligations]])*tblRiskRegister[[#This Row],[Risk Treatment
Safeguard Expectancy Score]],"")</f>
        <v/>
      </c>
      <c r="AO45" s="203" t="str">
        <f>IF(tblRiskRegister[[#This Row],[Risk Score]]&gt;AcceptableRisk,IF(tblRiskRegister[[#This Row],[Risk Treatment Safeguard Risk Score]]&lt;AcceptableRisk, IF(tblRiskRegister[[#This Row],[Risk Treatment Safeguard Risk Score]]&lt;=tblRiskRegister[[#This Row],[Risk Score]],"Yes","No"),"No"),"Yes")</f>
        <v>No</v>
      </c>
      <c r="AP45" s="15"/>
      <c r="AQ45" s="15"/>
      <c r="AR45" s="16"/>
    </row>
    <row r="46" spans="2:44" ht="51" x14ac:dyDescent="0.2">
      <c r="B46" s="207">
        <v>4.8</v>
      </c>
      <c r="C46" s="194" t="s">
        <v>180</v>
      </c>
      <c r="D46" s="88" t="s">
        <v>88</v>
      </c>
      <c r="E46" s="274" t="s">
        <v>657</v>
      </c>
      <c r="F46" s="14"/>
      <c r="G46" s="88" t="s">
        <v>463</v>
      </c>
      <c r="H46" s="88" t="s">
        <v>463</v>
      </c>
      <c r="I46" s="223"/>
      <c r="J46" s="293" t="s">
        <v>667</v>
      </c>
      <c r="K46" s="293" t="s">
        <v>667</v>
      </c>
      <c r="L46" s="293" t="s">
        <v>667</v>
      </c>
      <c r="M46" s="293" t="s">
        <v>667</v>
      </c>
      <c r="N46" s="293" t="s">
        <v>667</v>
      </c>
      <c r="O46" s="295">
        <f>COUNTIF(tblRiskRegister[[#This Row],[Defends Against Malware]:[Defends Against Targeted Intrusions]],"Yes")</f>
        <v>5</v>
      </c>
      <c r="P46" s="12"/>
      <c r="Q46" s="12"/>
      <c r="R46" s="12"/>
      <c r="S46" s="12"/>
      <c r="T46" s="13"/>
      <c r="U46" s="199">
        <f>IFERROR(VLOOKUP(tblRiskRegister[[#This Row],[Asset Class]],tblVCDBIndex[],4,FALSE),"")</f>
        <v>1</v>
      </c>
      <c r="V46" s="24" t="str">
        <f>IFERROR(VLOOKUP(10*tblRiskRegister[[#This Row],[Safeguard Maturity Score]]+tblRiskRegister[[#This Row],[VCDB Index]],tblHITIndexWeightTable[],4,FALSE),"")</f>
        <v/>
      </c>
      <c r="W46" s="301"/>
      <c r="X46" s="301"/>
      <c r="Y46" s="301"/>
      <c r="Z46" s="301"/>
      <c r="AA46" s="24" t="str">
        <f>IFERROR(MAX(tblRiskRegister[[#This Row],[Impact to Mission]:[Impact to Obligations]])*tblRiskRegister[[#This Row],[Expectancy Score]],"")</f>
        <v/>
      </c>
      <c r="AB46" s="24" t="str">
        <f>tblRiskRegister[[#This Row],[Risk Score]]</f>
        <v/>
      </c>
      <c r="AC46" s="79"/>
      <c r="AD46" s="206">
        <v>4.8</v>
      </c>
      <c r="AE46" s="194" t="s">
        <v>180</v>
      </c>
      <c r="AF46" s="194" t="s">
        <v>362</v>
      </c>
      <c r="AG46" s="25"/>
      <c r="AH46" s="13"/>
      <c r="AI46" s="22" t="str">
        <f>IFERROR(VLOOKUP(10*tblRiskRegister[[#This Row],[Risk Treatment Safeguard Maturity Score]]+tblRiskRegister[[#This Row],[VCDB Index]],tblHITIndexWeightTable[],4,FALSE),"")</f>
        <v/>
      </c>
      <c r="AJ46" s="302"/>
      <c r="AK46" s="302"/>
      <c r="AL46" s="302"/>
      <c r="AM46" s="302"/>
      <c r="AN46" s="100" t="str">
        <f>IFERROR(MAX(tblRiskRegister[[#This Row],[Risk Treatment Safeguard Impact to Mission]:[Risk Treatment Safeguard Impact to Obligations]])*tblRiskRegister[[#This Row],[Risk Treatment
Safeguard Expectancy Score]],"")</f>
        <v/>
      </c>
      <c r="AO46" s="203" t="str">
        <f>IF(tblRiskRegister[[#This Row],[Risk Score]]&gt;AcceptableRisk,IF(tblRiskRegister[[#This Row],[Risk Treatment Safeguard Risk Score]]&lt;AcceptableRisk, IF(tblRiskRegister[[#This Row],[Risk Treatment Safeguard Risk Score]]&lt;=tblRiskRegister[[#This Row],[Risk Score]],"Yes","No"),"No"),"Yes")</f>
        <v>No</v>
      </c>
      <c r="AP46" s="15"/>
      <c r="AQ46" s="15"/>
      <c r="AR46" s="16"/>
    </row>
    <row r="47" spans="2:44" ht="38.25" x14ac:dyDescent="0.2">
      <c r="B47" s="207">
        <v>4.9000000000000004</v>
      </c>
      <c r="C47" s="194" t="s">
        <v>181</v>
      </c>
      <c r="D47" s="88" t="s">
        <v>88</v>
      </c>
      <c r="E47" s="274" t="s">
        <v>657</v>
      </c>
      <c r="F47" s="14"/>
      <c r="G47" s="88" t="s">
        <v>463</v>
      </c>
      <c r="H47" s="88" t="s">
        <v>463</v>
      </c>
      <c r="I47" s="223"/>
      <c r="J47" s="292" t="s">
        <v>666</v>
      </c>
      <c r="K47" s="293" t="s">
        <v>667</v>
      </c>
      <c r="L47" s="292" t="s">
        <v>666</v>
      </c>
      <c r="M47" s="292" t="s">
        <v>666</v>
      </c>
      <c r="N47" s="293" t="s">
        <v>667</v>
      </c>
      <c r="O47" s="295">
        <f>COUNTIF(tblRiskRegister[[#This Row],[Defends Against Malware]:[Defends Against Targeted Intrusions]],"Yes")</f>
        <v>2</v>
      </c>
      <c r="P47" s="12"/>
      <c r="Q47" s="12"/>
      <c r="R47" s="12"/>
      <c r="S47" s="12"/>
      <c r="T47" s="13"/>
      <c r="U47" s="199">
        <f>IFERROR(VLOOKUP(tblRiskRegister[[#This Row],[Asset Class]],tblVCDBIndex[],4,FALSE),"")</f>
        <v>1</v>
      </c>
      <c r="V47" s="24" t="str">
        <f>IFERROR(VLOOKUP(10*tblRiskRegister[[#This Row],[Safeguard Maturity Score]]+tblRiskRegister[[#This Row],[VCDB Index]],tblHITIndexWeightTable[],4,FALSE),"")</f>
        <v/>
      </c>
      <c r="W47" s="301"/>
      <c r="X47" s="301"/>
      <c r="Y47" s="301"/>
      <c r="Z47" s="301"/>
      <c r="AA47" s="24" t="str">
        <f>IFERROR(MAX(tblRiskRegister[[#This Row],[Impact to Mission]:[Impact to Obligations]])*tblRiskRegister[[#This Row],[Expectancy Score]],"")</f>
        <v/>
      </c>
      <c r="AB47" s="24" t="str">
        <f>tblRiskRegister[[#This Row],[Risk Score]]</f>
        <v/>
      </c>
      <c r="AC47" s="79"/>
      <c r="AD47" s="206">
        <v>4.9000000000000004</v>
      </c>
      <c r="AE47" s="194" t="s">
        <v>181</v>
      </c>
      <c r="AF47" s="194" t="s">
        <v>363</v>
      </c>
      <c r="AG47" s="25"/>
      <c r="AH47" s="13"/>
      <c r="AI47" s="22" t="str">
        <f>IFERROR(VLOOKUP(10*tblRiskRegister[[#This Row],[Risk Treatment Safeguard Maturity Score]]+tblRiskRegister[[#This Row],[VCDB Index]],tblHITIndexWeightTable[],4,FALSE),"")</f>
        <v/>
      </c>
      <c r="AJ47" s="302"/>
      <c r="AK47" s="302"/>
      <c r="AL47" s="302"/>
      <c r="AM47" s="302"/>
      <c r="AN47" s="100" t="str">
        <f>IFERROR(MAX(tblRiskRegister[[#This Row],[Risk Treatment Safeguard Impact to Mission]:[Risk Treatment Safeguard Impact to Obligations]])*tblRiskRegister[[#This Row],[Risk Treatment
Safeguard Expectancy Score]],"")</f>
        <v/>
      </c>
      <c r="AO47" s="203" t="str">
        <f>IF(tblRiskRegister[[#This Row],[Risk Score]]&gt;AcceptableRisk,IF(tblRiskRegister[[#This Row],[Risk Treatment Safeguard Risk Score]]&lt;AcceptableRisk, IF(tblRiskRegister[[#This Row],[Risk Treatment Safeguard Risk Score]]&lt;=tblRiskRegister[[#This Row],[Risk Score]],"Yes","No"),"No"),"Yes")</f>
        <v>No</v>
      </c>
      <c r="AP47" s="15"/>
      <c r="AQ47" s="15"/>
      <c r="AR47" s="16"/>
    </row>
    <row r="48" spans="2:44" ht="63.75" x14ac:dyDescent="0.2">
      <c r="B48" s="207" t="s">
        <v>527</v>
      </c>
      <c r="C48" s="194" t="s">
        <v>182</v>
      </c>
      <c r="D48" s="88" t="s">
        <v>88</v>
      </c>
      <c r="E48" s="274" t="s">
        <v>655</v>
      </c>
      <c r="F48" s="14"/>
      <c r="G48" s="88" t="s">
        <v>463</v>
      </c>
      <c r="H48" s="88" t="s">
        <v>463</v>
      </c>
      <c r="I48" s="223"/>
      <c r="J48" s="293" t="s">
        <v>667</v>
      </c>
      <c r="K48" s="293" t="s">
        <v>667</v>
      </c>
      <c r="L48" s="293" t="s">
        <v>667</v>
      </c>
      <c r="M48" s="293" t="s">
        <v>667</v>
      </c>
      <c r="N48" s="293" t="s">
        <v>667</v>
      </c>
      <c r="O48" s="295">
        <f>COUNTIF(tblRiskRegister[[#This Row],[Defends Against Malware]:[Defends Against Targeted Intrusions]],"Yes")</f>
        <v>5</v>
      </c>
      <c r="P48" s="12"/>
      <c r="Q48" s="12"/>
      <c r="R48" s="12"/>
      <c r="S48" s="12"/>
      <c r="T48" s="13"/>
      <c r="U48" s="199">
        <f>IFERROR(VLOOKUP(tblRiskRegister[[#This Row],[Asset Class]],tblVCDBIndex[],4,FALSE),"")</f>
        <v>1</v>
      </c>
      <c r="V48" s="24" t="str">
        <f>IFERROR(VLOOKUP(10*tblRiskRegister[[#This Row],[Safeguard Maturity Score]]+tblRiskRegister[[#This Row],[VCDB Index]],tblHITIndexWeightTable[],4,FALSE),"")</f>
        <v/>
      </c>
      <c r="W48" s="301"/>
      <c r="X48" s="301"/>
      <c r="Y48" s="301"/>
      <c r="Z48" s="301"/>
      <c r="AA48" s="24" t="str">
        <f>IFERROR(MAX(tblRiskRegister[[#This Row],[Impact to Mission]:[Impact to Obligations]])*tblRiskRegister[[#This Row],[Expectancy Score]],"")</f>
        <v/>
      </c>
      <c r="AB48" s="24" t="str">
        <f>tblRiskRegister[[#This Row],[Risk Score]]</f>
        <v/>
      </c>
      <c r="AC48" s="79"/>
      <c r="AD48" s="206" t="s">
        <v>527</v>
      </c>
      <c r="AE48" s="194" t="s">
        <v>182</v>
      </c>
      <c r="AF48" s="194" t="s">
        <v>364</v>
      </c>
      <c r="AG48" s="25"/>
      <c r="AH48" s="13"/>
      <c r="AI48" s="22" t="str">
        <f>IFERROR(VLOOKUP(10*tblRiskRegister[[#This Row],[Risk Treatment Safeguard Maturity Score]]+tblRiskRegister[[#This Row],[VCDB Index]],tblHITIndexWeightTable[],4,FALSE),"")</f>
        <v/>
      </c>
      <c r="AJ48" s="302"/>
      <c r="AK48" s="302"/>
      <c r="AL48" s="302"/>
      <c r="AM48" s="302"/>
      <c r="AN48" s="100" t="str">
        <f>IFERROR(MAX(tblRiskRegister[[#This Row],[Risk Treatment Safeguard Impact to Mission]:[Risk Treatment Safeguard Impact to Obligations]])*tblRiskRegister[[#This Row],[Risk Treatment
Safeguard Expectancy Score]],"")</f>
        <v/>
      </c>
      <c r="AO48" s="203" t="str">
        <f>IF(tblRiskRegister[[#This Row],[Risk Score]]&gt;AcceptableRisk,IF(tblRiskRegister[[#This Row],[Risk Treatment Safeguard Risk Score]]&lt;AcceptableRisk, IF(tblRiskRegister[[#This Row],[Risk Treatment Safeguard Risk Score]]&lt;=tblRiskRegister[[#This Row],[Risk Score]],"Yes","No"),"No"),"Yes")</f>
        <v>No</v>
      </c>
      <c r="AP48" s="15"/>
      <c r="AQ48" s="15"/>
      <c r="AR48" s="16"/>
    </row>
    <row r="49" spans="2:44" ht="38.25" x14ac:dyDescent="0.2">
      <c r="B49" s="207">
        <v>4.1100000000000003</v>
      </c>
      <c r="C49" s="194" t="s">
        <v>183</v>
      </c>
      <c r="D49" s="88" t="s">
        <v>88</v>
      </c>
      <c r="E49" s="274" t="s">
        <v>657</v>
      </c>
      <c r="F49" s="14"/>
      <c r="G49" s="88" t="s">
        <v>463</v>
      </c>
      <c r="H49" s="88" t="s">
        <v>463</v>
      </c>
      <c r="I49" s="223"/>
      <c r="J49" s="292" t="s">
        <v>666</v>
      </c>
      <c r="K49" s="292" t="s">
        <v>666</v>
      </c>
      <c r="L49" s="292" t="s">
        <v>666</v>
      </c>
      <c r="M49" s="292" t="s">
        <v>666</v>
      </c>
      <c r="N49" s="292" t="s">
        <v>666</v>
      </c>
      <c r="O49" s="295">
        <f>COUNTIF(tblRiskRegister[[#This Row],[Defends Against Malware]:[Defends Against Targeted Intrusions]],"Yes")</f>
        <v>0</v>
      </c>
      <c r="P49" s="12"/>
      <c r="Q49" s="12"/>
      <c r="R49" s="12"/>
      <c r="S49" s="12"/>
      <c r="T49" s="13"/>
      <c r="U49" s="199">
        <f>IFERROR(VLOOKUP(tblRiskRegister[[#This Row],[Asset Class]],tblVCDBIndex[],4,FALSE),"")</f>
        <v>1</v>
      </c>
      <c r="V49" s="24" t="str">
        <f>IFERROR(VLOOKUP(10*tblRiskRegister[[#This Row],[Safeguard Maturity Score]]+tblRiskRegister[[#This Row],[VCDB Index]],tblHITIndexWeightTable[],4,FALSE),"")</f>
        <v/>
      </c>
      <c r="W49" s="301"/>
      <c r="X49" s="301"/>
      <c r="Y49" s="301"/>
      <c r="Z49" s="301"/>
      <c r="AA49" s="24" t="str">
        <f>IFERROR(MAX(tblRiskRegister[[#This Row],[Impact to Mission]:[Impact to Obligations]])*tblRiskRegister[[#This Row],[Expectancy Score]],"")</f>
        <v/>
      </c>
      <c r="AB49" s="24" t="str">
        <f>tblRiskRegister[[#This Row],[Risk Score]]</f>
        <v/>
      </c>
      <c r="AC49" s="79"/>
      <c r="AD49" s="206">
        <v>4.1100000000000003</v>
      </c>
      <c r="AE49" s="194" t="s">
        <v>183</v>
      </c>
      <c r="AF49" s="194" t="s">
        <v>365</v>
      </c>
      <c r="AG49" s="25"/>
      <c r="AH49" s="13"/>
      <c r="AI49" s="22" t="str">
        <f>IFERROR(VLOOKUP(10*tblRiskRegister[[#This Row],[Risk Treatment Safeguard Maturity Score]]+tblRiskRegister[[#This Row],[VCDB Index]],tblHITIndexWeightTable[],4,FALSE),"")</f>
        <v/>
      </c>
      <c r="AJ49" s="302"/>
      <c r="AK49" s="302"/>
      <c r="AL49" s="302"/>
      <c r="AM49" s="302"/>
      <c r="AN49" s="100" t="str">
        <f>IFERROR(MAX(tblRiskRegister[[#This Row],[Risk Treatment Safeguard Impact to Mission]:[Risk Treatment Safeguard Impact to Obligations]])*tblRiskRegister[[#This Row],[Risk Treatment
Safeguard Expectancy Score]],"")</f>
        <v/>
      </c>
      <c r="AO49" s="203" t="str">
        <f>IF(tblRiskRegister[[#This Row],[Risk Score]]&gt;AcceptableRisk,IF(tblRiskRegister[[#This Row],[Risk Treatment Safeguard Risk Score]]&lt;AcceptableRisk, IF(tblRiskRegister[[#This Row],[Risk Treatment Safeguard Risk Score]]&lt;=tblRiskRegister[[#This Row],[Risk Score]],"Yes","No"),"No"),"Yes")</f>
        <v>No</v>
      </c>
      <c r="AP49" s="15"/>
      <c r="AQ49" s="15"/>
      <c r="AR49" s="16"/>
    </row>
    <row r="50" spans="2:44" ht="38.25" x14ac:dyDescent="0.2">
      <c r="B50" s="207">
        <v>4.12</v>
      </c>
      <c r="C50" s="194" t="s">
        <v>543</v>
      </c>
      <c r="D50" s="88" t="s">
        <v>88</v>
      </c>
      <c r="E50" s="274" t="s">
        <v>657</v>
      </c>
      <c r="F50" s="14"/>
      <c r="G50" s="88"/>
      <c r="H50" s="88" t="s">
        <v>463</v>
      </c>
      <c r="I50" s="223"/>
      <c r="J50" s="292" t="s">
        <v>666</v>
      </c>
      <c r="K50" s="292" t="s">
        <v>666</v>
      </c>
      <c r="L50" s="292" t="s">
        <v>666</v>
      </c>
      <c r="M50" s="292" t="s">
        <v>666</v>
      </c>
      <c r="N50" s="292" t="s">
        <v>666</v>
      </c>
      <c r="O50" s="295">
        <f>COUNTIF(tblRiskRegister[[#This Row],[Defends Against Malware]:[Defends Against Targeted Intrusions]],"Yes")</f>
        <v>0</v>
      </c>
      <c r="P50" s="12"/>
      <c r="Q50" s="12"/>
      <c r="R50" s="12"/>
      <c r="S50" s="12"/>
      <c r="T50" s="13"/>
      <c r="U50" s="199">
        <f>IFERROR(VLOOKUP(tblRiskRegister[[#This Row],[Asset Class]],tblVCDBIndex[],4,FALSE),"")</f>
        <v>1</v>
      </c>
      <c r="V50" s="24" t="str">
        <f>IFERROR(VLOOKUP(10*tblRiskRegister[[#This Row],[Safeguard Maturity Score]]+tblRiskRegister[[#This Row],[VCDB Index]],tblHITIndexWeightTable[],4,FALSE),"")</f>
        <v/>
      </c>
      <c r="W50" s="301"/>
      <c r="X50" s="301"/>
      <c r="Y50" s="301"/>
      <c r="Z50" s="301"/>
      <c r="AA50" s="24" t="str">
        <f>IFERROR(MAX(tblRiskRegister[[#This Row],[Impact to Mission]:[Impact to Obligations]])*tblRiskRegister[[#This Row],[Expectancy Score]],"")</f>
        <v/>
      </c>
      <c r="AB50" s="24" t="str">
        <f>tblRiskRegister[[#This Row],[Risk Score]]</f>
        <v/>
      </c>
      <c r="AC50" s="79"/>
      <c r="AD50" s="206">
        <v>4.12</v>
      </c>
      <c r="AE50" s="194" t="s">
        <v>543</v>
      </c>
      <c r="AF50" s="194" t="s">
        <v>557</v>
      </c>
      <c r="AG50" s="25"/>
      <c r="AH50" s="13"/>
      <c r="AI50" s="22" t="str">
        <f>IFERROR(VLOOKUP(10*tblRiskRegister[[#This Row],[Risk Treatment Safeguard Maturity Score]]+tblRiskRegister[[#This Row],[VCDB Index]],tblHITIndexWeightTable[],4,FALSE),"")</f>
        <v/>
      </c>
      <c r="AJ50" s="302"/>
      <c r="AK50" s="302"/>
      <c r="AL50" s="302"/>
      <c r="AM50" s="302"/>
      <c r="AN50" s="100" t="str">
        <f>IFERROR(MAX(tblRiskRegister[[#This Row],[Risk Treatment Safeguard Impact to Mission]:[Risk Treatment Safeguard Impact to Obligations]])*tblRiskRegister[[#This Row],[Risk Treatment
Safeguard Expectancy Score]],"")</f>
        <v/>
      </c>
      <c r="AO50" s="203" t="str">
        <f>IF(tblRiskRegister[[#This Row],[Risk Score]]&gt;AcceptableRisk,IF(tblRiskRegister[[#This Row],[Risk Treatment Safeguard Risk Score]]&lt;AcceptableRisk, IF(tblRiskRegister[[#This Row],[Risk Treatment Safeguard Risk Score]]&lt;=tblRiskRegister[[#This Row],[Risk Score]],"Yes","No"),"No"),"Yes")</f>
        <v>No</v>
      </c>
      <c r="AP50" s="15"/>
      <c r="AQ50" s="15"/>
      <c r="AR50" s="16"/>
    </row>
    <row r="51" spans="2:44" ht="51" x14ac:dyDescent="0.2">
      <c r="B51" s="207">
        <v>5.0999999999999996</v>
      </c>
      <c r="C51" s="194" t="s">
        <v>52</v>
      </c>
      <c r="D51" s="88" t="s">
        <v>91</v>
      </c>
      <c r="E51" s="274" t="s">
        <v>654</v>
      </c>
      <c r="F51" s="14" t="s">
        <v>463</v>
      </c>
      <c r="G51" s="88" t="s">
        <v>463</v>
      </c>
      <c r="H51" s="88" t="s">
        <v>463</v>
      </c>
      <c r="I51" s="223"/>
      <c r="J51" s="293" t="s">
        <v>667</v>
      </c>
      <c r="K51" s="293" t="s">
        <v>667</v>
      </c>
      <c r="L51" s="293" t="s">
        <v>667</v>
      </c>
      <c r="M51" s="293" t="s">
        <v>667</v>
      </c>
      <c r="N51" s="293" t="s">
        <v>667</v>
      </c>
      <c r="O51" s="295">
        <f>COUNTIF(tblRiskRegister[[#This Row],[Defends Against Malware]:[Defends Against Targeted Intrusions]],"Yes")</f>
        <v>5</v>
      </c>
      <c r="P51" s="12"/>
      <c r="Q51" s="12"/>
      <c r="R51" s="12"/>
      <c r="S51" s="12"/>
      <c r="T51" s="13"/>
      <c r="U51" s="199">
        <f>IFERROR(VLOOKUP(tblRiskRegister[[#This Row],[Asset Class]],tblVCDBIndex[],4,FALSE),"")</f>
        <v>3</v>
      </c>
      <c r="V51" s="24" t="str">
        <f>IFERROR(VLOOKUP(10*tblRiskRegister[[#This Row],[Safeguard Maturity Score]]+tblRiskRegister[[#This Row],[VCDB Index]],tblHITIndexWeightTable[],4,FALSE),"")</f>
        <v/>
      </c>
      <c r="W51" s="301"/>
      <c r="X51" s="301"/>
      <c r="Y51" s="301"/>
      <c r="Z51" s="301"/>
      <c r="AA51" s="24" t="str">
        <f>IFERROR(MAX(tblRiskRegister[[#This Row],[Impact to Mission]:[Impact to Obligations]])*tblRiskRegister[[#This Row],[Expectancy Score]],"")</f>
        <v/>
      </c>
      <c r="AB51" s="24" t="str">
        <f>tblRiskRegister[[#This Row],[Risk Score]]</f>
        <v/>
      </c>
      <c r="AC51" s="79"/>
      <c r="AD51" s="206">
        <v>5.0999999999999996</v>
      </c>
      <c r="AE51" s="194" t="s">
        <v>52</v>
      </c>
      <c r="AF51" s="194" t="s">
        <v>366</v>
      </c>
      <c r="AG51" s="25"/>
      <c r="AH51" s="13"/>
      <c r="AI51" s="22" t="str">
        <f>IFERROR(VLOOKUP(10*tblRiskRegister[[#This Row],[Risk Treatment Safeguard Maturity Score]]+tblRiskRegister[[#This Row],[VCDB Index]],tblHITIndexWeightTable[],4,FALSE),"")</f>
        <v/>
      </c>
      <c r="AJ51" s="302"/>
      <c r="AK51" s="302"/>
      <c r="AL51" s="302"/>
      <c r="AM51" s="302"/>
      <c r="AN51" s="100" t="str">
        <f>IFERROR(MAX(tblRiskRegister[[#This Row],[Risk Treatment Safeguard Impact to Mission]:[Risk Treatment Safeguard Impact to Obligations]])*tblRiskRegister[[#This Row],[Risk Treatment
Safeguard Expectancy Score]],"")</f>
        <v/>
      </c>
      <c r="AO51" s="203" t="str">
        <f>IF(tblRiskRegister[[#This Row],[Risk Score]]&gt;AcceptableRisk,IF(tblRiskRegister[[#This Row],[Risk Treatment Safeguard Risk Score]]&lt;AcceptableRisk, IF(tblRiskRegister[[#This Row],[Risk Treatment Safeguard Risk Score]]&lt;=tblRiskRegister[[#This Row],[Risk Score]],"Yes","No"),"No"),"Yes")</f>
        <v>No</v>
      </c>
      <c r="AP51" s="15"/>
      <c r="AQ51" s="15"/>
      <c r="AR51" s="16"/>
    </row>
    <row r="52" spans="2:44" ht="38.25" x14ac:dyDescent="0.2">
      <c r="B52" s="207">
        <v>5.2</v>
      </c>
      <c r="C52" s="194" t="s">
        <v>14</v>
      </c>
      <c r="D52" s="88" t="s">
        <v>91</v>
      </c>
      <c r="E52" s="274" t="s">
        <v>657</v>
      </c>
      <c r="F52" s="14" t="s">
        <v>463</v>
      </c>
      <c r="G52" s="88" t="s">
        <v>463</v>
      </c>
      <c r="H52" s="88" t="s">
        <v>463</v>
      </c>
      <c r="I52" s="223"/>
      <c r="J52" s="293" t="s">
        <v>667</v>
      </c>
      <c r="K52" s="293" t="s">
        <v>667</v>
      </c>
      <c r="L52" s="293" t="s">
        <v>667</v>
      </c>
      <c r="M52" s="293" t="s">
        <v>667</v>
      </c>
      <c r="N52" s="293" t="s">
        <v>667</v>
      </c>
      <c r="O52" s="295">
        <f>COUNTIF(tblRiskRegister[[#This Row],[Defends Against Malware]:[Defends Against Targeted Intrusions]],"Yes")</f>
        <v>5</v>
      </c>
      <c r="P52" s="12"/>
      <c r="Q52" s="12"/>
      <c r="R52" s="12"/>
      <c r="S52" s="12"/>
      <c r="T52" s="13"/>
      <c r="U52" s="199">
        <f>IFERROR(VLOOKUP(tblRiskRegister[[#This Row],[Asset Class]],tblVCDBIndex[],4,FALSE),"")</f>
        <v>3</v>
      </c>
      <c r="V52" s="24" t="str">
        <f>IFERROR(VLOOKUP(10*tblRiskRegister[[#This Row],[Safeguard Maturity Score]]+tblRiskRegister[[#This Row],[VCDB Index]],tblHITIndexWeightTable[],4,FALSE),"")</f>
        <v/>
      </c>
      <c r="W52" s="301"/>
      <c r="X52" s="301"/>
      <c r="Y52" s="301"/>
      <c r="Z52" s="301"/>
      <c r="AA52" s="24" t="str">
        <f>IFERROR(MAX(tblRiskRegister[[#This Row],[Impact to Mission]:[Impact to Obligations]])*tblRiskRegister[[#This Row],[Expectancy Score]],"")</f>
        <v/>
      </c>
      <c r="AB52" s="24" t="str">
        <f>tblRiskRegister[[#This Row],[Risk Score]]</f>
        <v/>
      </c>
      <c r="AC52" s="79"/>
      <c r="AD52" s="206">
        <v>5.2</v>
      </c>
      <c r="AE52" s="194" t="s">
        <v>14</v>
      </c>
      <c r="AF52" s="194" t="s">
        <v>367</v>
      </c>
      <c r="AG52" s="25"/>
      <c r="AH52" s="13"/>
      <c r="AI52" s="22" t="str">
        <f>IFERROR(VLOOKUP(10*tblRiskRegister[[#This Row],[Risk Treatment Safeguard Maturity Score]]+tblRiskRegister[[#This Row],[VCDB Index]],tblHITIndexWeightTable[],4,FALSE),"")</f>
        <v/>
      </c>
      <c r="AJ52" s="302"/>
      <c r="AK52" s="302"/>
      <c r="AL52" s="302"/>
      <c r="AM52" s="302"/>
      <c r="AN52" s="100" t="str">
        <f>IFERROR(MAX(tblRiskRegister[[#This Row],[Risk Treatment Safeguard Impact to Mission]:[Risk Treatment Safeguard Impact to Obligations]])*tblRiskRegister[[#This Row],[Risk Treatment
Safeguard Expectancy Score]],"")</f>
        <v/>
      </c>
      <c r="AO52" s="203" t="str">
        <f>IF(tblRiskRegister[[#This Row],[Risk Score]]&gt;AcceptableRisk,IF(tblRiskRegister[[#This Row],[Risk Treatment Safeguard Risk Score]]&lt;AcceptableRisk, IF(tblRiskRegister[[#This Row],[Risk Treatment Safeguard Risk Score]]&lt;=tblRiskRegister[[#This Row],[Risk Score]],"Yes","No"),"No"),"Yes")</f>
        <v>No</v>
      </c>
      <c r="AP52" s="15"/>
      <c r="AQ52" s="15"/>
      <c r="AR52" s="16"/>
    </row>
    <row r="53" spans="2:44" ht="25.5" x14ac:dyDescent="0.2">
      <c r="B53" s="207">
        <v>5.3</v>
      </c>
      <c r="C53" s="194" t="s">
        <v>16</v>
      </c>
      <c r="D53" s="88" t="s">
        <v>91</v>
      </c>
      <c r="E53" s="274" t="s">
        <v>655</v>
      </c>
      <c r="F53" s="14" t="s">
        <v>463</v>
      </c>
      <c r="G53" s="88" t="s">
        <v>463</v>
      </c>
      <c r="H53" s="88" t="s">
        <v>463</v>
      </c>
      <c r="I53" s="223"/>
      <c r="J53" s="293" t="s">
        <v>667</v>
      </c>
      <c r="K53" s="293" t="s">
        <v>667</v>
      </c>
      <c r="L53" s="293" t="s">
        <v>667</v>
      </c>
      <c r="M53" s="293" t="s">
        <v>667</v>
      </c>
      <c r="N53" s="293" t="s">
        <v>667</v>
      </c>
      <c r="O53" s="295">
        <f>COUNTIF(tblRiskRegister[[#This Row],[Defends Against Malware]:[Defends Against Targeted Intrusions]],"Yes")</f>
        <v>5</v>
      </c>
      <c r="P53" s="12"/>
      <c r="Q53" s="12"/>
      <c r="R53" s="12"/>
      <c r="S53" s="12"/>
      <c r="T53" s="13"/>
      <c r="U53" s="199">
        <f>IFERROR(VLOOKUP(tblRiskRegister[[#This Row],[Asset Class]],tblVCDBIndex[],4,FALSE),"")</f>
        <v>3</v>
      </c>
      <c r="V53" s="24" t="str">
        <f>IFERROR(VLOOKUP(10*tblRiskRegister[[#This Row],[Safeguard Maturity Score]]+tblRiskRegister[[#This Row],[VCDB Index]],tblHITIndexWeightTable[],4,FALSE),"")</f>
        <v/>
      </c>
      <c r="W53" s="301"/>
      <c r="X53" s="301"/>
      <c r="Y53" s="301"/>
      <c r="Z53" s="301"/>
      <c r="AA53" s="24" t="str">
        <f>IFERROR(MAX(tblRiskRegister[[#This Row],[Impact to Mission]:[Impact to Obligations]])*tblRiskRegister[[#This Row],[Expectancy Score]],"")</f>
        <v/>
      </c>
      <c r="AB53" s="24" t="str">
        <f>tblRiskRegister[[#This Row],[Risk Score]]</f>
        <v/>
      </c>
      <c r="AC53" s="79"/>
      <c r="AD53" s="206">
        <v>5.3</v>
      </c>
      <c r="AE53" s="194" t="s">
        <v>16</v>
      </c>
      <c r="AF53" s="194" t="s">
        <v>368</v>
      </c>
      <c r="AG53" s="25"/>
      <c r="AH53" s="13"/>
      <c r="AI53" s="22" t="str">
        <f>IFERROR(VLOOKUP(10*tblRiskRegister[[#This Row],[Risk Treatment Safeguard Maturity Score]]+tblRiskRegister[[#This Row],[VCDB Index]],tblHITIndexWeightTable[],4,FALSE),"")</f>
        <v/>
      </c>
      <c r="AJ53" s="302"/>
      <c r="AK53" s="302"/>
      <c r="AL53" s="302"/>
      <c r="AM53" s="302"/>
      <c r="AN53" s="100" t="str">
        <f>IFERROR(MAX(tblRiskRegister[[#This Row],[Risk Treatment Safeguard Impact to Mission]:[Risk Treatment Safeguard Impact to Obligations]])*tblRiskRegister[[#This Row],[Risk Treatment
Safeguard Expectancy Score]],"")</f>
        <v/>
      </c>
      <c r="AO53" s="203" t="str">
        <f>IF(tblRiskRegister[[#This Row],[Risk Score]]&gt;AcceptableRisk,IF(tblRiskRegister[[#This Row],[Risk Treatment Safeguard Risk Score]]&lt;AcceptableRisk, IF(tblRiskRegister[[#This Row],[Risk Treatment Safeguard Risk Score]]&lt;=tblRiskRegister[[#This Row],[Risk Score]],"Yes","No"),"No"),"Yes")</f>
        <v>No</v>
      </c>
      <c r="AP53" s="15"/>
      <c r="AQ53" s="15"/>
      <c r="AR53" s="16"/>
    </row>
    <row r="54" spans="2:44" ht="38.25" x14ac:dyDescent="0.2">
      <c r="B54" s="207">
        <v>5.4</v>
      </c>
      <c r="C54" s="194" t="s">
        <v>53</v>
      </c>
      <c r="D54" s="88" t="s">
        <v>91</v>
      </c>
      <c r="E54" s="274" t="s">
        <v>657</v>
      </c>
      <c r="F54" s="14" t="s">
        <v>463</v>
      </c>
      <c r="G54" s="88" t="s">
        <v>463</v>
      </c>
      <c r="H54" s="88" t="s">
        <v>463</v>
      </c>
      <c r="I54" s="223"/>
      <c r="J54" s="293" t="s">
        <v>667</v>
      </c>
      <c r="K54" s="293" t="s">
        <v>667</v>
      </c>
      <c r="L54" s="293" t="s">
        <v>667</v>
      </c>
      <c r="M54" s="293" t="s">
        <v>667</v>
      </c>
      <c r="N54" s="293" t="s">
        <v>667</v>
      </c>
      <c r="O54" s="295">
        <f>COUNTIF(tblRiskRegister[[#This Row],[Defends Against Malware]:[Defends Against Targeted Intrusions]],"Yes")</f>
        <v>5</v>
      </c>
      <c r="P54" s="12"/>
      <c r="Q54" s="12"/>
      <c r="R54" s="12"/>
      <c r="S54" s="12"/>
      <c r="T54" s="13"/>
      <c r="U54" s="199">
        <f>IFERROR(VLOOKUP(tblRiskRegister[[#This Row],[Asset Class]],tblVCDBIndex[],4,FALSE),"")</f>
        <v>3</v>
      </c>
      <c r="V54" s="24" t="str">
        <f>IFERROR(VLOOKUP(10*tblRiskRegister[[#This Row],[Safeguard Maturity Score]]+tblRiskRegister[[#This Row],[VCDB Index]],tblHITIndexWeightTable[],4,FALSE),"")</f>
        <v/>
      </c>
      <c r="W54" s="301"/>
      <c r="X54" s="301"/>
      <c r="Y54" s="301"/>
      <c r="Z54" s="301"/>
      <c r="AA54" s="24" t="str">
        <f>IFERROR(MAX(tblRiskRegister[[#This Row],[Impact to Mission]:[Impact to Obligations]])*tblRiskRegister[[#This Row],[Expectancy Score]],"")</f>
        <v/>
      </c>
      <c r="AB54" s="24" t="str">
        <f>tblRiskRegister[[#This Row],[Risk Score]]</f>
        <v/>
      </c>
      <c r="AC54" s="79"/>
      <c r="AD54" s="206">
        <v>5.4</v>
      </c>
      <c r="AE54" s="194" t="s">
        <v>53</v>
      </c>
      <c r="AF54" s="194" t="s">
        <v>369</v>
      </c>
      <c r="AG54" s="25"/>
      <c r="AH54" s="13"/>
      <c r="AI54" s="22" t="str">
        <f>IFERROR(VLOOKUP(10*tblRiskRegister[[#This Row],[Risk Treatment Safeguard Maturity Score]]+tblRiskRegister[[#This Row],[VCDB Index]],tblHITIndexWeightTable[],4,FALSE),"")</f>
        <v/>
      </c>
      <c r="AJ54" s="302"/>
      <c r="AK54" s="302"/>
      <c r="AL54" s="302"/>
      <c r="AM54" s="302"/>
      <c r="AN54" s="100" t="str">
        <f>IFERROR(MAX(tblRiskRegister[[#This Row],[Risk Treatment Safeguard Impact to Mission]:[Risk Treatment Safeguard Impact to Obligations]])*tblRiskRegister[[#This Row],[Risk Treatment
Safeguard Expectancy Score]],"")</f>
        <v/>
      </c>
      <c r="AO54" s="203" t="str">
        <f>IF(tblRiskRegister[[#This Row],[Risk Score]]&gt;AcceptableRisk,IF(tblRiskRegister[[#This Row],[Risk Treatment Safeguard Risk Score]]&lt;AcceptableRisk, IF(tblRiskRegister[[#This Row],[Risk Treatment Safeguard Risk Score]]&lt;=tblRiskRegister[[#This Row],[Risk Score]],"Yes","No"),"No"),"Yes")</f>
        <v>No</v>
      </c>
      <c r="AP54" s="15"/>
      <c r="AQ54" s="15"/>
      <c r="AR54" s="16"/>
    </row>
    <row r="55" spans="2:44" ht="51" x14ac:dyDescent="0.2">
      <c r="B55" s="207">
        <v>5.5</v>
      </c>
      <c r="C55" s="194" t="s">
        <v>224</v>
      </c>
      <c r="D55" s="88" t="s">
        <v>91</v>
      </c>
      <c r="E55" s="274" t="s">
        <v>654</v>
      </c>
      <c r="F55" s="14"/>
      <c r="G55" s="88" t="s">
        <v>463</v>
      </c>
      <c r="H55" s="88" t="s">
        <v>463</v>
      </c>
      <c r="I55" s="223"/>
      <c r="J55" s="293" t="s">
        <v>667</v>
      </c>
      <c r="K55" s="293" t="s">
        <v>667</v>
      </c>
      <c r="L55" s="293" t="s">
        <v>667</v>
      </c>
      <c r="M55" s="293" t="s">
        <v>667</v>
      </c>
      <c r="N55" s="293" t="s">
        <v>667</v>
      </c>
      <c r="O55" s="295">
        <f>COUNTIF(tblRiskRegister[[#This Row],[Defends Against Malware]:[Defends Against Targeted Intrusions]],"Yes")</f>
        <v>5</v>
      </c>
      <c r="P55" s="12"/>
      <c r="Q55" s="12"/>
      <c r="R55" s="12"/>
      <c r="S55" s="12"/>
      <c r="T55" s="13"/>
      <c r="U55" s="199">
        <f>IFERROR(VLOOKUP(tblRiskRegister[[#This Row],[Asset Class]],tblVCDBIndex[],4,FALSE),"")</f>
        <v>3</v>
      </c>
      <c r="V55" s="24" t="str">
        <f>IFERROR(VLOOKUP(10*tblRiskRegister[[#This Row],[Safeguard Maturity Score]]+tblRiskRegister[[#This Row],[VCDB Index]],tblHITIndexWeightTable[],4,FALSE),"")</f>
        <v/>
      </c>
      <c r="W55" s="301"/>
      <c r="X55" s="301"/>
      <c r="Y55" s="301"/>
      <c r="Z55" s="301"/>
      <c r="AA55" s="24" t="str">
        <f>IFERROR(MAX(tblRiskRegister[[#This Row],[Impact to Mission]:[Impact to Obligations]])*tblRiskRegister[[#This Row],[Expectancy Score]],"")</f>
        <v/>
      </c>
      <c r="AB55" s="24" t="str">
        <f>tblRiskRegister[[#This Row],[Risk Score]]</f>
        <v/>
      </c>
      <c r="AC55" s="79"/>
      <c r="AD55" s="206">
        <v>5.5</v>
      </c>
      <c r="AE55" s="194" t="s">
        <v>224</v>
      </c>
      <c r="AF55" s="194" t="s">
        <v>370</v>
      </c>
      <c r="AG55" s="25"/>
      <c r="AH55" s="13"/>
      <c r="AI55" s="22" t="str">
        <f>IFERROR(VLOOKUP(10*tblRiskRegister[[#This Row],[Risk Treatment Safeguard Maturity Score]]+tblRiskRegister[[#This Row],[VCDB Index]],tblHITIndexWeightTable[],4,FALSE),"")</f>
        <v/>
      </c>
      <c r="AJ55" s="302"/>
      <c r="AK55" s="302"/>
      <c r="AL55" s="302"/>
      <c r="AM55" s="302"/>
      <c r="AN55" s="100" t="str">
        <f>IFERROR(MAX(tblRiskRegister[[#This Row],[Risk Treatment Safeguard Impact to Mission]:[Risk Treatment Safeguard Impact to Obligations]])*tblRiskRegister[[#This Row],[Risk Treatment
Safeguard Expectancy Score]],"")</f>
        <v/>
      </c>
      <c r="AO55" s="203" t="str">
        <f>IF(tblRiskRegister[[#This Row],[Risk Score]]&gt;AcceptableRisk,IF(tblRiskRegister[[#This Row],[Risk Treatment Safeguard Risk Score]]&lt;AcceptableRisk, IF(tblRiskRegister[[#This Row],[Risk Treatment Safeguard Risk Score]]&lt;=tblRiskRegister[[#This Row],[Risk Score]],"Yes","No"),"No"),"Yes")</f>
        <v>No</v>
      </c>
      <c r="AP55" s="15"/>
      <c r="AQ55" s="15"/>
      <c r="AR55" s="16"/>
    </row>
    <row r="56" spans="2:44" ht="25.5" x14ac:dyDescent="0.2">
      <c r="B56" s="207">
        <v>5.6</v>
      </c>
      <c r="C56" s="194" t="s">
        <v>225</v>
      </c>
      <c r="D56" s="88" t="s">
        <v>91</v>
      </c>
      <c r="E56" s="274" t="s">
        <v>657</v>
      </c>
      <c r="F56" s="14"/>
      <c r="G56" s="88" t="s">
        <v>463</v>
      </c>
      <c r="H56" s="88" t="s">
        <v>463</v>
      </c>
      <c r="I56" s="223"/>
      <c r="J56" s="292" t="s">
        <v>666</v>
      </c>
      <c r="K56" s="292" t="s">
        <v>666</v>
      </c>
      <c r="L56" s="292" t="s">
        <v>666</v>
      </c>
      <c r="M56" s="292" t="s">
        <v>666</v>
      </c>
      <c r="N56" s="292" t="s">
        <v>666</v>
      </c>
      <c r="O56" s="295">
        <f>COUNTIF(tblRiskRegister[[#This Row],[Defends Against Malware]:[Defends Against Targeted Intrusions]],"Yes")</f>
        <v>0</v>
      </c>
      <c r="P56" s="12"/>
      <c r="Q56" s="12"/>
      <c r="R56" s="12"/>
      <c r="S56" s="12"/>
      <c r="T56" s="13"/>
      <c r="U56" s="199">
        <f>IFERROR(VLOOKUP(tblRiskRegister[[#This Row],[Asset Class]],tblVCDBIndex[],4,FALSE),"")</f>
        <v>3</v>
      </c>
      <c r="V56" s="24" t="str">
        <f>IFERROR(VLOOKUP(10*tblRiskRegister[[#This Row],[Safeguard Maturity Score]]+tblRiskRegister[[#This Row],[VCDB Index]],tblHITIndexWeightTable[],4,FALSE),"")</f>
        <v/>
      </c>
      <c r="W56" s="301"/>
      <c r="X56" s="301"/>
      <c r="Y56" s="301"/>
      <c r="Z56" s="301"/>
      <c r="AA56" s="24" t="str">
        <f>IFERROR(MAX(tblRiskRegister[[#This Row],[Impact to Mission]:[Impact to Obligations]])*tblRiskRegister[[#This Row],[Expectancy Score]],"")</f>
        <v/>
      </c>
      <c r="AB56" s="24" t="str">
        <f>tblRiskRegister[[#This Row],[Risk Score]]</f>
        <v/>
      </c>
      <c r="AC56" s="79"/>
      <c r="AD56" s="206">
        <v>5.6</v>
      </c>
      <c r="AE56" s="194" t="s">
        <v>225</v>
      </c>
      <c r="AF56" s="194" t="s">
        <v>371</v>
      </c>
      <c r="AG56" s="25"/>
      <c r="AH56" s="13"/>
      <c r="AI56" s="22" t="str">
        <f>IFERROR(VLOOKUP(10*tblRiskRegister[[#This Row],[Risk Treatment Safeguard Maturity Score]]+tblRiskRegister[[#This Row],[VCDB Index]],tblHITIndexWeightTable[],4,FALSE),"")</f>
        <v/>
      </c>
      <c r="AJ56" s="302"/>
      <c r="AK56" s="302"/>
      <c r="AL56" s="302"/>
      <c r="AM56" s="302"/>
      <c r="AN56" s="100" t="str">
        <f>IFERROR(MAX(tblRiskRegister[[#This Row],[Risk Treatment Safeguard Impact to Mission]:[Risk Treatment Safeguard Impact to Obligations]])*tblRiskRegister[[#This Row],[Risk Treatment
Safeguard Expectancy Score]],"")</f>
        <v/>
      </c>
      <c r="AO56" s="203" t="str">
        <f>IF(tblRiskRegister[[#This Row],[Risk Score]]&gt;AcceptableRisk,IF(tblRiskRegister[[#This Row],[Risk Treatment Safeguard Risk Score]]&lt;AcceptableRisk, IF(tblRiskRegister[[#This Row],[Risk Treatment Safeguard Risk Score]]&lt;=tblRiskRegister[[#This Row],[Risk Score]],"Yes","No"),"No"),"Yes")</f>
        <v>No</v>
      </c>
      <c r="AP56" s="15"/>
      <c r="AQ56" s="15"/>
      <c r="AR56" s="16"/>
    </row>
    <row r="57" spans="2:44" ht="25.5" x14ac:dyDescent="0.2">
      <c r="B57" s="207">
        <v>6.1</v>
      </c>
      <c r="C57" s="194" t="s">
        <v>54</v>
      </c>
      <c r="D57" s="88" t="s">
        <v>91</v>
      </c>
      <c r="E57" s="274" t="s">
        <v>657</v>
      </c>
      <c r="F57" s="14" t="s">
        <v>463</v>
      </c>
      <c r="G57" s="88" t="s">
        <v>463</v>
      </c>
      <c r="H57" s="88" t="s">
        <v>463</v>
      </c>
      <c r="I57" s="223"/>
      <c r="J57" s="293" t="s">
        <v>667</v>
      </c>
      <c r="K57" s="293" t="s">
        <v>667</v>
      </c>
      <c r="L57" s="293" t="s">
        <v>667</v>
      </c>
      <c r="M57" s="293" t="s">
        <v>667</v>
      </c>
      <c r="N57" s="293" t="s">
        <v>667</v>
      </c>
      <c r="O57" s="295">
        <f>COUNTIF(tblRiskRegister[[#This Row],[Defends Against Malware]:[Defends Against Targeted Intrusions]],"Yes")</f>
        <v>5</v>
      </c>
      <c r="P57" s="12"/>
      <c r="Q57" s="12"/>
      <c r="R57" s="12"/>
      <c r="S57" s="12"/>
      <c r="T57" s="13"/>
      <c r="U57" s="199">
        <f>IFERROR(VLOOKUP(tblRiskRegister[[#This Row],[Asset Class]],tblVCDBIndex[],4,FALSE),"")</f>
        <v>3</v>
      </c>
      <c r="V57" s="24" t="str">
        <f>IFERROR(VLOOKUP(10*tblRiskRegister[[#This Row],[Safeguard Maturity Score]]+tblRiskRegister[[#This Row],[VCDB Index]],tblHITIndexWeightTable[],4,FALSE),"")</f>
        <v/>
      </c>
      <c r="W57" s="301"/>
      <c r="X57" s="301"/>
      <c r="Y57" s="301"/>
      <c r="Z57" s="301"/>
      <c r="AA57" s="24" t="str">
        <f>IFERROR(MAX(tblRiskRegister[[#This Row],[Impact to Mission]:[Impact to Obligations]])*tblRiskRegister[[#This Row],[Expectancy Score]],"")</f>
        <v/>
      </c>
      <c r="AB57" s="24" t="str">
        <f>tblRiskRegister[[#This Row],[Risk Score]]</f>
        <v/>
      </c>
      <c r="AC57" s="79"/>
      <c r="AD57" s="206">
        <v>6.1</v>
      </c>
      <c r="AE57" s="194" t="s">
        <v>54</v>
      </c>
      <c r="AF57" s="194" t="s">
        <v>372</v>
      </c>
      <c r="AG57" s="25"/>
      <c r="AH57" s="13"/>
      <c r="AI57" s="22" t="str">
        <f>IFERROR(VLOOKUP(10*tblRiskRegister[[#This Row],[Risk Treatment Safeguard Maturity Score]]+tblRiskRegister[[#This Row],[VCDB Index]],tblHITIndexWeightTable[],4,FALSE),"")</f>
        <v/>
      </c>
      <c r="AJ57" s="302"/>
      <c r="AK57" s="302"/>
      <c r="AL57" s="302"/>
      <c r="AM57" s="302"/>
      <c r="AN57" s="100" t="str">
        <f>IFERROR(MAX(tblRiskRegister[[#This Row],[Risk Treatment Safeguard Impact to Mission]:[Risk Treatment Safeguard Impact to Obligations]])*tblRiskRegister[[#This Row],[Risk Treatment
Safeguard Expectancy Score]],"")</f>
        <v/>
      </c>
      <c r="AO57" s="203" t="str">
        <f>IF(tblRiskRegister[[#This Row],[Risk Score]]&gt;AcceptableRisk,IF(tblRiskRegister[[#This Row],[Risk Treatment Safeguard Risk Score]]&lt;AcceptableRisk, IF(tblRiskRegister[[#This Row],[Risk Treatment Safeguard Risk Score]]&lt;=tblRiskRegister[[#This Row],[Risk Score]],"Yes","No"),"No"),"Yes")</f>
        <v>No</v>
      </c>
      <c r="AP57" s="15"/>
      <c r="AQ57" s="15"/>
      <c r="AR57" s="16"/>
    </row>
    <row r="58" spans="2:44" ht="38.25" x14ac:dyDescent="0.2">
      <c r="B58" s="207">
        <v>6.2</v>
      </c>
      <c r="C58" s="194" t="s">
        <v>55</v>
      </c>
      <c r="D58" s="88" t="s">
        <v>91</v>
      </c>
      <c r="E58" s="274" t="s">
        <v>657</v>
      </c>
      <c r="F58" s="14" t="s">
        <v>463</v>
      </c>
      <c r="G58" s="88" t="s">
        <v>463</v>
      </c>
      <c r="H58" s="88" t="s">
        <v>463</v>
      </c>
      <c r="I58" s="223"/>
      <c r="J58" s="293" t="s">
        <v>667</v>
      </c>
      <c r="K58" s="293" t="s">
        <v>667</v>
      </c>
      <c r="L58" s="293" t="s">
        <v>667</v>
      </c>
      <c r="M58" s="293" t="s">
        <v>667</v>
      </c>
      <c r="N58" s="293" t="s">
        <v>667</v>
      </c>
      <c r="O58" s="295">
        <f>COUNTIF(tblRiskRegister[[#This Row],[Defends Against Malware]:[Defends Against Targeted Intrusions]],"Yes")</f>
        <v>5</v>
      </c>
      <c r="P58" s="12"/>
      <c r="Q58" s="12"/>
      <c r="R58" s="12"/>
      <c r="S58" s="12"/>
      <c r="T58" s="13"/>
      <c r="U58" s="199">
        <f>IFERROR(VLOOKUP(tblRiskRegister[[#This Row],[Asset Class]],tblVCDBIndex[],4,FALSE),"")</f>
        <v>3</v>
      </c>
      <c r="V58" s="24" t="str">
        <f>IFERROR(VLOOKUP(10*tblRiskRegister[[#This Row],[Safeguard Maturity Score]]+tblRiskRegister[[#This Row],[VCDB Index]],tblHITIndexWeightTable[],4,FALSE),"")</f>
        <v/>
      </c>
      <c r="W58" s="301"/>
      <c r="X58" s="301"/>
      <c r="Y58" s="301"/>
      <c r="Z58" s="301"/>
      <c r="AA58" s="24" t="str">
        <f>IFERROR(MAX(tblRiskRegister[[#This Row],[Impact to Mission]:[Impact to Obligations]])*tblRiskRegister[[#This Row],[Expectancy Score]],"")</f>
        <v/>
      </c>
      <c r="AB58" s="24" t="str">
        <f>tblRiskRegister[[#This Row],[Risk Score]]</f>
        <v/>
      </c>
      <c r="AC58" s="79"/>
      <c r="AD58" s="206">
        <v>6.2</v>
      </c>
      <c r="AE58" s="194" t="s">
        <v>55</v>
      </c>
      <c r="AF58" s="194" t="s">
        <v>373</v>
      </c>
      <c r="AG58" s="25"/>
      <c r="AH58" s="13"/>
      <c r="AI58" s="22" t="str">
        <f>IFERROR(VLOOKUP(10*tblRiskRegister[[#This Row],[Risk Treatment Safeguard Maturity Score]]+tblRiskRegister[[#This Row],[VCDB Index]],tblHITIndexWeightTable[],4,FALSE),"")</f>
        <v/>
      </c>
      <c r="AJ58" s="302"/>
      <c r="AK58" s="302"/>
      <c r="AL58" s="302"/>
      <c r="AM58" s="302"/>
      <c r="AN58" s="100" t="str">
        <f>IFERROR(MAX(tblRiskRegister[[#This Row],[Risk Treatment Safeguard Impact to Mission]:[Risk Treatment Safeguard Impact to Obligations]])*tblRiskRegister[[#This Row],[Risk Treatment
Safeguard Expectancy Score]],"")</f>
        <v/>
      </c>
      <c r="AO58" s="203" t="str">
        <f>IF(tblRiskRegister[[#This Row],[Risk Score]]&gt;AcceptableRisk,IF(tblRiskRegister[[#This Row],[Risk Treatment Safeguard Risk Score]]&lt;AcceptableRisk, IF(tblRiskRegister[[#This Row],[Risk Treatment Safeguard Risk Score]]&lt;=tblRiskRegister[[#This Row],[Risk Score]],"Yes","No"),"No"),"Yes")</f>
        <v>No</v>
      </c>
      <c r="AP58" s="15"/>
      <c r="AQ58" s="15"/>
      <c r="AR58" s="16"/>
    </row>
    <row r="59" spans="2:44" ht="38.25" x14ac:dyDescent="0.2">
      <c r="B59" s="207">
        <v>6.3</v>
      </c>
      <c r="C59" s="194" t="s">
        <v>56</v>
      </c>
      <c r="D59" s="88" t="s">
        <v>91</v>
      </c>
      <c r="E59" s="274" t="s">
        <v>657</v>
      </c>
      <c r="F59" s="14" t="s">
        <v>463</v>
      </c>
      <c r="G59" s="88" t="s">
        <v>463</v>
      </c>
      <c r="H59" s="88" t="s">
        <v>463</v>
      </c>
      <c r="I59" s="223"/>
      <c r="J59" s="293" t="s">
        <v>667</v>
      </c>
      <c r="K59" s="293" t="s">
        <v>667</v>
      </c>
      <c r="L59" s="293" t="s">
        <v>667</v>
      </c>
      <c r="M59" s="293" t="s">
        <v>667</v>
      </c>
      <c r="N59" s="293" t="s">
        <v>667</v>
      </c>
      <c r="O59" s="295">
        <f>COUNTIF(tblRiskRegister[[#This Row],[Defends Against Malware]:[Defends Against Targeted Intrusions]],"Yes")</f>
        <v>5</v>
      </c>
      <c r="P59" s="12"/>
      <c r="Q59" s="12"/>
      <c r="R59" s="12"/>
      <c r="S59" s="12"/>
      <c r="T59" s="13"/>
      <c r="U59" s="199">
        <f>IFERROR(VLOOKUP(tblRiskRegister[[#This Row],[Asset Class]],tblVCDBIndex[],4,FALSE),"")</f>
        <v>3</v>
      </c>
      <c r="V59" s="24" t="str">
        <f>IFERROR(VLOOKUP(10*tblRiskRegister[[#This Row],[Safeguard Maturity Score]]+tblRiskRegister[[#This Row],[VCDB Index]],tblHITIndexWeightTable[],4,FALSE),"")</f>
        <v/>
      </c>
      <c r="W59" s="301"/>
      <c r="X59" s="301"/>
      <c r="Y59" s="301"/>
      <c r="Z59" s="301"/>
      <c r="AA59" s="24" t="str">
        <f>IFERROR(MAX(tblRiskRegister[[#This Row],[Impact to Mission]:[Impact to Obligations]])*tblRiskRegister[[#This Row],[Expectancy Score]],"")</f>
        <v/>
      </c>
      <c r="AB59" s="24" t="str">
        <f>tblRiskRegister[[#This Row],[Risk Score]]</f>
        <v/>
      </c>
      <c r="AC59" s="79"/>
      <c r="AD59" s="206">
        <v>6.3</v>
      </c>
      <c r="AE59" s="194" t="s">
        <v>56</v>
      </c>
      <c r="AF59" s="194" t="s">
        <v>374</v>
      </c>
      <c r="AG59" s="25"/>
      <c r="AH59" s="13"/>
      <c r="AI59" s="22" t="str">
        <f>IFERROR(VLOOKUP(10*tblRiskRegister[[#This Row],[Risk Treatment Safeguard Maturity Score]]+tblRiskRegister[[#This Row],[VCDB Index]],tblHITIndexWeightTable[],4,FALSE),"")</f>
        <v/>
      </c>
      <c r="AJ59" s="302"/>
      <c r="AK59" s="302"/>
      <c r="AL59" s="302"/>
      <c r="AM59" s="302"/>
      <c r="AN59" s="100" t="str">
        <f>IFERROR(MAX(tblRiskRegister[[#This Row],[Risk Treatment Safeguard Impact to Mission]:[Risk Treatment Safeguard Impact to Obligations]])*tblRiskRegister[[#This Row],[Risk Treatment
Safeguard Expectancy Score]],"")</f>
        <v/>
      </c>
      <c r="AO59" s="203" t="str">
        <f>IF(tblRiskRegister[[#This Row],[Risk Score]]&gt;AcceptableRisk,IF(tblRiskRegister[[#This Row],[Risk Treatment Safeguard Risk Score]]&lt;AcceptableRisk, IF(tblRiskRegister[[#This Row],[Risk Treatment Safeguard Risk Score]]&lt;=tblRiskRegister[[#This Row],[Risk Score]],"Yes","No"),"No"),"Yes")</f>
        <v>No</v>
      </c>
      <c r="AP59" s="15"/>
      <c r="AQ59" s="15"/>
      <c r="AR59" s="16"/>
    </row>
    <row r="60" spans="2:44" ht="25.5" x14ac:dyDescent="0.2">
      <c r="B60" s="207">
        <v>6.4</v>
      </c>
      <c r="C60" s="194" t="s">
        <v>57</v>
      </c>
      <c r="D60" s="88" t="s">
        <v>91</v>
      </c>
      <c r="E60" s="274" t="s">
        <v>657</v>
      </c>
      <c r="F60" s="14" t="s">
        <v>463</v>
      </c>
      <c r="G60" s="88" t="s">
        <v>463</v>
      </c>
      <c r="H60" s="88" t="s">
        <v>463</v>
      </c>
      <c r="I60" s="223"/>
      <c r="J60" s="293" t="s">
        <v>667</v>
      </c>
      <c r="K60" s="293" t="s">
        <v>667</v>
      </c>
      <c r="L60" s="293" t="s">
        <v>667</v>
      </c>
      <c r="M60" s="293" t="s">
        <v>667</v>
      </c>
      <c r="N60" s="293" t="s">
        <v>667</v>
      </c>
      <c r="O60" s="295">
        <f>COUNTIF(tblRiskRegister[[#This Row],[Defends Against Malware]:[Defends Against Targeted Intrusions]],"Yes")</f>
        <v>5</v>
      </c>
      <c r="P60" s="12"/>
      <c r="Q60" s="12"/>
      <c r="R60" s="12"/>
      <c r="S60" s="12"/>
      <c r="T60" s="13"/>
      <c r="U60" s="199">
        <f>IFERROR(VLOOKUP(tblRiskRegister[[#This Row],[Asset Class]],tblVCDBIndex[],4,FALSE),"")</f>
        <v>3</v>
      </c>
      <c r="V60" s="24" t="str">
        <f>IFERROR(VLOOKUP(10*tblRiskRegister[[#This Row],[Safeguard Maturity Score]]+tblRiskRegister[[#This Row],[VCDB Index]],tblHITIndexWeightTable[],4,FALSE),"")</f>
        <v/>
      </c>
      <c r="W60" s="301"/>
      <c r="X60" s="301"/>
      <c r="Y60" s="301"/>
      <c r="Z60" s="301"/>
      <c r="AA60" s="24" t="str">
        <f>IFERROR(MAX(tblRiskRegister[[#This Row],[Impact to Mission]:[Impact to Obligations]])*tblRiskRegister[[#This Row],[Expectancy Score]],"")</f>
        <v/>
      </c>
      <c r="AB60" s="24" t="str">
        <f>tblRiskRegister[[#This Row],[Risk Score]]</f>
        <v/>
      </c>
      <c r="AC60" s="79"/>
      <c r="AD60" s="206">
        <v>6.4</v>
      </c>
      <c r="AE60" s="194" t="s">
        <v>57</v>
      </c>
      <c r="AF60" s="194" t="s">
        <v>375</v>
      </c>
      <c r="AG60" s="25"/>
      <c r="AH60" s="13"/>
      <c r="AI60" s="22" t="str">
        <f>IFERROR(VLOOKUP(10*tblRiskRegister[[#This Row],[Risk Treatment Safeguard Maturity Score]]+tblRiskRegister[[#This Row],[VCDB Index]],tblHITIndexWeightTable[],4,FALSE),"")</f>
        <v/>
      </c>
      <c r="AJ60" s="302"/>
      <c r="AK60" s="302"/>
      <c r="AL60" s="302"/>
      <c r="AM60" s="302"/>
      <c r="AN60" s="100" t="str">
        <f>IFERROR(MAX(tblRiskRegister[[#This Row],[Risk Treatment Safeguard Impact to Mission]:[Risk Treatment Safeguard Impact to Obligations]])*tblRiskRegister[[#This Row],[Risk Treatment
Safeguard Expectancy Score]],"")</f>
        <v/>
      </c>
      <c r="AO60" s="203" t="str">
        <f>IF(tblRiskRegister[[#This Row],[Risk Score]]&gt;AcceptableRisk,IF(tblRiskRegister[[#This Row],[Risk Treatment Safeguard Risk Score]]&lt;AcceptableRisk, IF(tblRiskRegister[[#This Row],[Risk Treatment Safeguard Risk Score]]&lt;=tblRiskRegister[[#This Row],[Risk Score]],"Yes","No"),"No"),"Yes")</f>
        <v>No</v>
      </c>
      <c r="AP60" s="15"/>
      <c r="AQ60" s="15"/>
      <c r="AR60" s="16"/>
    </row>
    <row r="61" spans="2:44" ht="25.5" x14ac:dyDescent="0.2">
      <c r="B61" s="207">
        <v>6.5</v>
      </c>
      <c r="C61" s="194" t="s">
        <v>58</v>
      </c>
      <c r="D61" s="88" t="s">
        <v>91</v>
      </c>
      <c r="E61" s="274" t="s">
        <v>657</v>
      </c>
      <c r="F61" s="14" t="s">
        <v>463</v>
      </c>
      <c r="G61" s="88" t="s">
        <v>463</v>
      </c>
      <c r="H61" s="88" t="s">
        <v>463</v>
      </c>
      <c r="I61" s="223"/>
      <c r="J61" s="293" t="s">
        <v>667</v>
      </c>
      <c r="K61" s="293" t="s">
        <v>667</v>
      </c>
      <c r="L61" s="293" t="s">
        <v>667</v>
      </c>
      <c r="M61" s="293" t="s">
        <v>667</v>
      </c>
      <c r="N61" s="293" t="s">
        <v>667</v>
      </c>
      <c r="O61" s="295">
        <f>COUNTIF(tblRiskRegister[[#This Row],[Defends Against Malware]:[Defends Against Targeted Intrusions]],"Yes")</f>
        <v>5</v>
      </c>
      <c r="P61" s="12"/>
      <c r="Q61" s="12"/>
      <c r="R61" s="12"/>
      <c r="S61" s="12"/>
      <c r="T61" s="13"/>
      <c r="U61" s="199">
        <f>IFERROR(VLOOKUP(tblRiskRegister[[#This Row],[Asset Class]],tblVCDBIndex[],4,FALSE),"")</f>
        <v>3</v>
      </c>
      <c r="V61" s="24" t="str">
        <f>IFERROR(VLOOKUP(10*tblRiskRegister[[#This Row],[Safeguard Maturity Score]]+tblRiskRegister[[#This Row],[VCDB Index]],tblHITIndexWeightTable[],4,FALSE),"")</f>
        <v/>
      </c>
      <c r="W61" s="301"/>
      <c r="X61" s="301"/>
      <c r="Y61" s="301"/>
      <c r="Z61" s="301"/>
      <c r="AA61" s="24" t="str">
        <f>IFERROR(MAX(tblRiskRegister[[#This Row],[Impact to Mission]:[Impact to Obligations]])*tblRiskRegister[[#This Row],[Expectancy Score]],"")</f>
        <v/>
      </c>
      <c r="AB61" s="24" t="str">
        <f>tblRiskRegister[[#This Row],[Risk Score]]</f>
        <v/>
      </c>
      <c r="AC61" s="79"/>
      <c r="AD61" s="206">
        <v>6.5</v>
      </c>
      <c r="AE61" s="194" t="s">
        <v>58</v>
      </c>
      <c r="AF61" s="194" t="s">
        <v>376</v>
      </c>
      <c r="AG61" s="25"/>
      <c r="AH61" s="13"/>
      <c r="AI61" s="22" t="str">
        <f>IFERROR(VLOOKUP(10*tblRiskRegister[[#This Row],[Risk Treatment Safeguard Maturity Score]]+tblRiskRegister[[#This Row],[VCDB Index]],tblHITIndexWeightTable[],4,FALSE),"")</f>
        <v/>
      </c>
      <c r="AJ61" s="302"/>
      <c r="AK61" s="302"/>
      <c r="AL61" s="302"/>
      <c r="AM61" s="302"/>
      <c r="AN61" s="100" t="str">
        <f>IFERROR(MAX(tblRiskRegister[[#This Row],[Risk Treatment Safeguard Impact to Mission]:[Risk Treatment Safeguard Impact to Obligations]])*tblRiskRegister[[#This Row],[Risk Treatment
Safeguard Expectancy Score]],"")</f>
        <v/>
      </c>
      <c r="AO61" s="203" t="str">
        <f>IF(tblRiskRegister[[#This Row],[Risk Score]]&gt;AcceptableRisk,IF(tblRiskRegister[[#This Row],[Risk Treatment Safeguard Risk Score]]&lt;AcceptableRisk, IF(tblRiskRegister[[#This Row],[Risk Treatment Safeguard Risk Score]]&lt;=tblRiskRegister[[#This Row],[Risk Score]],"Yes","No"),"No"),"Yes")</f>
        <v>No</v>
      </c>
      <c r="AP61" s="15"/>
      <c r="AQ61" s="15"/>
      <c r="AR61" s="16"/>
    </row>
    <row r="62" spans="2:44" ht="51" x14ac:dyDescent="0.2">
      <c r="B62" s="207">
        <v>6.6</v>
      </c>
      <c r="C62" s="194" t="s">
        <v>226</v>
      </c>
      <c r="D62" s="88" t="s">
        <v>91</v>
      </c>
      <c r="E62" s="274" t="s">
        <v>654</v>
      </c>
      <c r="F62" s="14"/>
      <c r="G62" s="88" t="s">
        <v>463</v>
      </c>
      <c r="H62" s="88" t="s">
        <v>463</v>
      </c>
      <c r="I62" s="223"/>
      <c r="J62" s="292" t="s">
        <v>666</v>
      </c>
      <c r="K62" s="292" t="s">
        <v>666</v>
      </c>
      <c r="L62" s="292" t="s">
        <v>666</v>
      </c>
      <c r="M62" s="292" t="s">
        <v>666</v>
      </c>
      <c r="N62" s="292" t="s">
        <v>666</v>
      </c>
      <c r="O62" s="295">
        <f>COUNTIF(tblRiskRegister[[#This Row],[Defends Against Malware]:[Defends Against Targeted Intrusions]],"Yes")</f>
        <v>0</v>
      </c>
      <c r="P62" s="12"/>
      <c r="Q62" s="12"/>
      <c r="R62" s="12"/>
      <c r="S62" s="12"/>
      <c r="T62" s="13"/>
      <c r="U62" s="199">
        <f>IFERROR(VLOOKUP(tblRiskRegister[[#This Row],[Asset Class]],tblVCDBIndex[],4,FALSE),"")</f>
        <v>3</v>
      </c>
      <c r="V62" s="24" t="str">
        <f>IFERROR(VLOOKUP(10*tblRiskRegister[[#This Row],[Safeguard Maturity Score]]+tblRiskRegister[[#This Row],[VCDB Index]],tblHITIndexWeightTable[],4,FALSE),"")</f>
        <v/>
      </c>
      <c r="W62" s="301"/>
      <c r="X62" s="301"/>
      <c r="Y62" s="301"/>
      <c r="Z62" s="301"/>
      <c r="AA62" s="24" t="str">
        <f>IFERROR(MAX(tblRiskRegister[[#This Row],[Impact to Mission]:[Impact to Obligations]])*tblRiskRegister[[#This Row],[Expectancy Score]],"")</f>
        <v/>
      </c>
      <c r="AB62" s="24" t="str">
        <f>tblRiskRegister[[#This Row],[Risk Score]]</f>
        <v/>
      </c>
      <c r="AC62" s="79"/>
      <c r="AD62" s="206">
        <v>6.6</v>
      </c>
      <c r="AE62" s="194" t="s">
        <v>226</v>
      </c>
      <c r="AF62" s="194" t="s">
        <v>377</v>
      </c>
      <c r="AG62" s="25"/>
      <c r="AH62" s="13"/>
      <c r="AI62" s="22" t="str">
        <f>IFERROR(VLOOKUP(10*tblRiskRegister[[#This Row],[Risk Treatment Safeguard Maturity Score]]+tblRiskRegister[[#This Row],[VCDB Index]],tblHITIndexWeightTable[],4,FALSE),"")</f>
        <v/>
      </c>
      <c r="AJ62" s="302"/>
      <c r="AK62" s="302"/>
      <c r="AL62" s="302"/>
      <c r="AM62" s="302"/>
      <c r="AN62" s="100" t="str">
        <f>IFERROR(MAX(tblRiskRegister[[#This Row],[Risk Treatment Safeguard Impact to Mission]:[Risk Treatment Safeguard Impact to Obligations]])*tblRiskRegister[[#This Row],[Risk Treatment
Safeguard Expectancy Score]],"")</f>
        <v/>
      </c>
      <c r="AO62" s="203" t="str">
        <f>IF(tblRiskRegister[[#This Row],[Risk Score]]&gt;AcceptableRisk,IF(tblRiskRegister[[#This Row],[Risk Treatment Safeguard Risk Score]]&lt;AcceptableRisk, IF(tblRiskRegister[[#This Row],[Risk Treatment Safeguard Risk Score]]&lt;=tblRiskRegister[[#This Row],[Risk Score]],"Yes","No"),"No"),"Yes")</f>
        <v>No</v>
      </c>
      <c r="AP62" s="15"/>
      <c r="AQ62" s="15"/>
      <c r="AR62" s="16"/>
    </row>
    <row r="63" spans="2:44" ht="25.5" x14ac:dyDescent="0.2">
      <c r="B63" s="207">
        <v>6.7</v>
      </c>
      <c r="C63" s="194" t="s">
        <v>227</v>
      </c>
      <c r="D63" s="88" t="s">
        <v>91</v>
      </c>
      <c r="E63" s="274" t="s">
        <v>657</v>
      </c>
      <c r="F63" s="14"/>
      <c r="G63" s="88" t="s">
        <v>463</v>
      </c>
      <c r="H63" s="88" t="s">
        <v>463</v>
      </c>
      <c r="I63" s="223"/>
      <c r="J63" s="292" t="s">
        <v>666</v>
      </c>
      <c r="K63" s="292" t="s">
        <v>666</v>
      </c>
      <c r="L63" s="292" t="s">
        <v>666</v>
      </c>
      <c r="M63" s="292" t="s">
        <v>666</v>
      </c>
      <c r="N63" s="292" t="s">
        <v>666</v>
      </c>
      <c r="O63" s="295">
        <f>COUNTIF(tblRiskRegister[[#This Row],[Defends Against Malware]:[Defends Against Targeted Intrusions]],"Yes")</f>
        <v>0</v>
      </c>
      <c r="P63" s="12"/>
      <c r="Q63" s="12"/>
      <c r="R63" s="12"/>
      <c r="S63" s="12"/>
      <c r="T63" s="13"/>
      <c r="U63" s="199">
        <f>IFERROR(VLOOKUP(tblRiskRegister[[#This Row],[Asset Class]],tblVCDBIndex[],4,FALSE),"")</f>
        <v>3</v>
      </c>
      <c r="V63" s="24" t="str">
        <f>IFERROR(VLOOKUP(10*tblRiskRegister[[#This Row],[Safeguard Maturity Score]]+tblRiskRegister[[#This Row],[VCDB Index]],tblHITIndexWeightTable[],4,FALSE),"")</f>
        <v/>
      </c>
      <c r="W63" s="301"/>
      <c r="X63" s="301"/>
      <c r="Y63" s="301"/>
      <c r="Z63" s="301"/>
      <c r="AA63" s="24" t="str">
        <f>IFERROR(MAX(tblRiskRegister[[#This Row],[Impact to Mission]:[Impact to Obligations]])*tblRiskRegister[[#This Row],[Expectancy Score]],"")</f>
        <v/>
      </c>
      <c r="AB63" s="24" t="str">
        <f>tblRiskRegister[[#This Row],[Risk Score]]</f>
        <v/>
      </c>
      <c r="AC63" s="79"/>
      <c r="AD63" s="206">
        <v>6.7</v>
      </c>
      <c r="AE63" s="194" t="s">
        <v>227</v>
      </c>
      <c r="AF63" s="194" t="s">
        <v>378</v>
      </c>
      <c r="AG63" s="25"/>
      <c r="AH63" s="13"/>
      <c r="AI63" s="22" t="str">
        <f>IFERROR(VLOOKUP(10*tblRiskRegister[[#This Row],[Risk Treatment Safeguard Maturity Score]]+tblRiskRegister[[#This Row],[VCDB Index]],tblHITIndexWeightTable[],4,FALSE),"")</f>
        <v/>
      </c>
      <c r="AJ63" s="302"/>
      <c r="AK63" s="302"/>
      <c r="AL63" s="302"/>
      <c r="AM63" s="302"/>
      <c r="AN63" s="100" t="str">
        <f>IFERROR(MAX(tblRiskRegister[[#This Row],[Risk Treatment Safeguard Impact to Mission]:[Risk Treatment Safeguard Impact to Obligations]])*tblRiskRegister[[#This Row],[Risk Treatment
Safeguard Expectancy Score]],"")</f>
        <v/>
      </c>
      <c r="AO63" s="203" t="str">
        <f>IF(tblRiskRegister[[#This Row],[Risk Score]]&gt;AcceptableRisk,IF(tblRiskRegister[[#This Row],[Risk Treatment Safeguard Risk Score]]&lt;AcceptableRisk, IF(tblRiskRegister[[#This Row],[Risk Treatment Safeguard Risk Score]]&lt;=tblRiskRegister[[#This Row],[Risk Score]],"Yes","No"),"No"),"Yes")</f>
        <v>No</v>
      </c>
      <c r="AP63" s="15"/>
      <c r="AQ63" s="15"/>
      <c r="AR63" s="16"/>
    </row>
    <row r="64" spans="2:44" ht="51" x14ac:dyDescent="0.2">
      <c r="B64" s="207">
        <v>6.8</v>
      </c>
      <c r="C64" s="194" t="s">
        <v>537</v>
      </c>
      <c r="D64" s="88" t="s">
        <v>87</v>
      </c>
      <c r="E64" s="274" t="s">
        <v>657</v>
      </c>
      <c r="F64" s="14"/>
      <c r="G64" s="88"/>
      <c r="H64" s="88" t="s">
        <v>463</v>
      </c>
      <c r="I64" s="223"/>
      <c r="J64" s="293" t="s">
        <v>667</v>
      </c>
      <c r="K64" s="293" t="s">
        <v>667</v>
      </c>
      <c r="L64" s="293" t="s">
        <v>667</v>
      </c>
      <c r="M64" s="293" t="s">
        <v>667</v>
      </c>
      <c r="N64" s="293" t="s">
        <v>667</v>
      </c>
      <c r="O64" s="295">
        <f>COUNTIF(tblRiskRegister[[#This Row],[Defends Against Malware]:[Defends Against Targeted Intrusions]],"Yes")</f>
        <v>5</v>
      </c>
      <c r="P64" s="12"/>
      <c r="Q64" s="12"/>
      <c r="R64" s="12"/>
      <c r="S64" s="12"/>
      <c r="T64" s="13"/>
      <c r="U64" s="199">
        <f>IFERROR(VLOOKUP(tblRiskRegister[[#This Row],[Asset Class]],tblVCDBIndex[],4,FALSE),"")</f>
        <v>3</v>
      </c>
      <c r="V64" s="24" t="str">
        <f>IFERROR(VLOOKUP(10*tblRiskRegister[[#This Row],[Safeguard Maturity Score]]+tblRiskRegister[[#This Row],[VCDB Index]],tblHITIndexWeightTable[],4,FALSE),"")</f>
        <v/>
      </c>
      <c r="W64" s="301"/>
      <c r="X64" s="301"/>
      <c r="Y64" s="301"/>
      <c r="Z64" s="301"/>
      <c r="AA64" s="24" t="str">
        <f>IFERROR(MAX(tblRiskRegister[[#This Row],[Impact to Mission]:[Impact to Obligations]])*tblRiskRegister[[#This Row],[Expectancy Score]],"")</f>
        <v/>
      </c>
      <c r="AB64" s="24" t="str">
        <f>tblRiskRegister[[#This Row],[Risk Score]]</f>
        <v/>
      </c>
      <c r="AC64" s="79"/>
      <c r="AD64" s="206">
        <v>6.8</v>
      </c>
      <c r="AE64" s="194" t="s">
        <v>537</v>
      </c>
      <c r="AF64" s="194" t="s">
        <v>558</v>
      </c>
      <c r="AG64" s="25"/>
      <c r="AH64" s="13"/>
      <c r="AI64" s="22" t="str">
        <f>IFERROR(VLOOKUP(10*tblRiskRegister[[#This Row],[Risk Treatment Safeguard Maturity Score]]+tblRiskRegister[[#This Row],[VCDB Index]],tblHITIndexWeightTable[],4,FALSE),"")</f>
        <v/>
      </c>
      <c r="AJ64" s="302"/>
      <c r="AK64" s="302"/>
      <c r="AL64" s="302"/>
      <c r="AM64" s="302"/>
      <c r="AN64" s="100" t="str">
        <f>IFERROR(MAX(tblRiskRegister[[#This Row],[Risk Treatment Safeguard Impact to Mission]:[Risk Treatment Safeguard Impact to Obligations]])*tblRiskRegister[[#This Row],[Risk Treatment
Safeguard Expectancy Score]],"")</f>
        <v/>
      </c>
      <c r="AO64" s="203" t="str">
        <f>IF(tblRiskRegister[[#This Row],[Risk Score]]&gt;AcceptableRisk,IF(tblRiskRegister[[#This Row],[Risk Treatment Safeguard Risk Score]]&lt;AcceptableRisk, IF(tblRiskRegister[[#This Row],[Risk Treatment Safeguard Risk Score]]&lt;=tblRiskRegister[[#This Row],[Risk Score]],"Yes","No"),"No"),"Yes")</f>
        <v>No</v>
      </c>
      <c r="AP64" s="15"/>
      <c r="AQ64" s="15"/>
      <c r="AR64" s="16"/>
    </row>
    <row r="65" spans="2:44" ht="38.25" x14ac:dyDescent="0.2">
      <c r="B65" s="207">
        <v>7.1</v>
      </c>
      <c r="C65" s="194" t="s">
        <v>59</v>
      </c>
      <c r="D65" s="88" t="s">
        <v>89</v>
      </c>
      <c r="E65" s="274" t="s">
        <v>657</v>
      </c>
      <c r="F65" s="14" t="s">
        <v>463</v>
      </c>
      <c r="G65" s="88" t="s">
        <v>463</v>
      </c>
      <c r="H65" s="88" t="s">
        <v>463</v>
      </c>
      <c r="I65" s="223"/>
      <c r="J65" s="293" t="s">
        <v>667</v>
      </c>
      <c r="K65" s="293" t="s">
        <v>667</v>
      </c>
      <c r="L65" s="293" t="s">
        <v>667</v>
      </c>
      <c r="M65" s="293" t="s">
        <v>667</v>
      </c>
      <c r="N65" s="293" t="s">
        <v>667</v>
      </c>
      <c r="O65" s="295">
        <f>COUNTIF(tblRiskRegister[[#This Row],[Defends Against Malware]:[Defends Against Targeted Intrusions]],"Yes")</f>
        <v>5</v>
      </c>
      <c r="P65" s="12"/>
      <c r="Q65" s="12"/>
      <c r="R65" s="12"/>
      <c r="S65" s="12"/>
      <c r="T65" s="13"/>
      <c r="U65" s="199">
        <f>IFERROR(VLOOKUP(tblRiskRegister[[#This Row],[Asset Class]],tblVCDBIndex[],4,FALSE),"")</f>
        <v>1</v>
      </c>
      <c r="V65" s="24" t="str">
        <f>IFERROR(VLOOKUP(10*tblRiskRegister[[#This Row],[Safeguard Maturity Score]]+tblRiskRegister[[#This Row],[VCDB Index]],tblHITIndexWeightTable[],4,FALSE),"")</f>
        <v/>
      </c>
      <c r="W65" s="301"/>
      <c r="X65" s="301"/>
      <c r="Y65" s="301"/>
      <c r="Z65" s="301"/>
      <c r="AA65" s="24" t="str">
        <f>IFERROR(MAX(tblRiskRegister[[#This Row],[Impact to Mission]:[Impact to Obligations]])*tblRiskRegister[[#This Row],[Expectancy Score]],"")</f>
        <v/>
      </c>
      <c r="AB65" s="24" t="str">
        <f>tblRiskRegister[[#This Row],[Risk Score]]</f>
        <v/>
      </c>
      <c r="AC65" s="79"/>
      <c r="AD65" s="206">
        <v>7.1</v>
      </c>
      <c r="AE65" s="194" t="s">
        <v>59</v>
      </c>
      <c r="AF65" s="194" t="s">
        <v>379</v>
      </c>
      <c r="AG65" s="25"/>
      <c r="AH65" s="13"/>
      <c r="AI65" s="22" t="str">
        <f>IFERROR(VLOOKUP(10*tblRiskRegister[[#This Row],[Risk Treatment Safeguard Maturity Score]]+tblRiskRegister[[#This Row],[VCDB Index]],tblHITIndexWeightTable[],4,FALSE),"")</f>
        <v/>
      </c>
      <c r="AJ65" s="302"/>
      <c r="AK65" s="302"/>
      <c r="AL65" s="302"/>
      <c r="AM65" s="302"/>
      <c r="AN65" s="100" t="str">
        <f>IFERROR(MAX(tblRiskRegister[[#This Row],[Risk Treatment Safeguard Impact to Mission]:[Risk Treatment Safeguard Impact to Obligations]])*tblRiskRegister[[#This Row],[Risk Treatment
Safeguard Expectancy Score]],"")</f>
        <v/>
      </c>
      <c r="AO65" s="203" t="str">
        <f>IF(tblRiskRegister[[#This Row],[Risk Score]]&gt;AcceptableRisk,IF(tblRiskRegister[[#This Row],[Risk Treatment Safeguard Risk Score]]&lt;AcceptableRisk, IF(tblRiskRegister[[#This Row],[Risk Treatment Safeguard Risk Score]]&lt;=tblRiskRegister[[#This Row],[Risk Score]],"Yes","No"),"No"),"Yes")</f>
        <v>No</v>
      </c>
      <c r="AP65" s="15"/>
      <c r="AQ65" s="15"/>
      <c r="AR65" s="16"/>
    </row>
    <row r="66" spans="2:44" ht="25.5" x14ac:dyDescent="0.2">
      <c r="B66" s="207">
        <v>7.2</v>
      </c>
      <c r="C66" s="194" t="s">
        <v>60</v>
      </c>
      <c r="D66" s="88" t="s">
        <v>89</v>
      </c>
      <c r="E66" s="274" t="s">
        <v>655</v>
      </c>
      <c r="F66" s="14" t="s">
        <v>463</v>
      </c>
      <c r="G66" s="88" t="s">
        <v>463</v>
      </c>
      <c r="H66" s="88" t="s">
        <v>463</v>
      </c>
      <c r="I66" s="223"/>
      <c r="J66" s="293" t="s">
        <v>667</v>
      </c>
      <c r="K66" s="293" t="s">
        <v>667</v>
      </c>
      <c r="L66" s="293" t="s">
        <v>667</v>
      </c>
      <c r="M66" s="293" t="s">
        <v>667</v>
      </c>
      <c r="N66" s="293" t="s">
        <v>667</v>
      </c>
      <c r="O66" s="295">
        <f>COUNTIF(tblRiskRegister[[#This Row],[Defends Against Malware]:[Defends Against Targeted Intrusions]],"Yes")</f>
        <v>5</v>
      </c>
      <c r="P66" s="12"/>
      <c r="Q66" s="12"/>
      <c r="R66" s="12"/>
      <c r="S66" s="12"/>
      <c r="T66" s="13"/>
      <c r="U66" s="199">
        <f>IFERROR(VLOOKUP(tblRiskRegister[[#This Row],[Asset Class]],tblVCDBIndex[],4,FALSE),"")</f>
        <v>1</v>
      </c>
      <c r="V66" s="24" t="str">
        <f>IFERROR(VLOOKUP(10*tblRiskRegister[[#This Row],[Safeguard Maturity Score]]+tblRiskRegister[[#This Row],[VCDB Index]],tblHITIndexWeightTable[],4,FALSE),"")</f>
        <v/>
      </c>
      <c r="W66" s="301"/>
      <c r="X66" s="301"/>
      <c r="Y66" s="301"/>
      <c r="Z66" s="301"/>
      <c r="AA66" s="24" t="str">
        <f>IFERROR(MAX(tblRiskRegister[[#This Row],[Impact to Mission]:[Impact to Obligations]])*tblRiskRegister[[#This Row],[Expectancy Score]],"")</f>
        <v/>
      </c>
      <c r="AB66" s="24" t="str">
        <f>tblRiskRegister[[#This Row],[Risk Score]]</f>
        <v/>
      </c>
      <c r="AC66" s="79"/>
      <c r="AD66" s="206">
        <v>7.2</v>
      </c>
      <c r="AE66" s="194" t="s">
        <v>60</v>
      </c>
      <c r="AF66" s="194" t="s">
        <v>380</v>
      </c>
      <c r="AG66" s="25"/>
      <c r="AH66" s="13"/>
      <c r="AI66" s="22" t="str">
        <f>IFERROR(VLOOKUP(10*tblRiskRegister[[#This Row],[Risk Treatment Safeguard Maturity Score]]+tblRiskRegister[[#This Row],[VCDB Index]],tblHITIndexWeightTable[],4,FALSE),"")</f>
        <v/>
      </c>
      <c r="AJ66" s="302"/>
      <c r="AK66" s="302"/>
      <c r="AL66" s="302"/>
      <c r="AM66" s="302"/>
      <c r="AN66" s="100" t="str">
        <f>IFERROR(MAX(tblRiskRegister[[#This Row],[Risk Treatment Safeguard Impact to Mission]:[Risk Treatment Safeguard Impact to Obligations]])*tblRiskRegister[[#This Row],[Risk Treatment
Safeguard Expectancy Score]],"")</f>
        <v/>
      </c>
      <c r="AO66" s="203" t="str">
        <f>IF(tblRiskRegister[[#This Row],[Risk Score]]&gt;AcceptableRisk,IF(tblRiskRegister[[#This Row],[Risk Treatment Safeguard Risk Score]]&lt;AcceptableRisk, IF(tblRiskRegister[[#This Row],[Risk Treatment Safeguard Risk Score]]&lt;=tblRiskRegister[[#This Row],[Risk Score]],"Yes","No"),"No"),"Yes")</f>
        <v>No</v>
      </c>
      <c r="AP66" s="15"/>
      <c r="AQ66" s="15"/>
      <c r="AR66" s="16"/>
    </row>
    <row r="67" spans="2:44" ht="38.25" x14ac:dyDescent="0.2">
      <c r="B67" s="207">
        <v>7.3</v>
      </c>
      <c r="C67" s="194" t="s">
        <v>61</v>
      </c>
      <c r="D67" s="88" t="s">
        <v>89</v>
      </c>
      <c r="E67" s="274" t="s">
        <v>657</v>
      </c>
      <c r="F67" s="14" t="s">
        <v>463</v>
      </c>
      <c r="G67" s="88" t="s">
        <v>463</v>
      </c>
      <c r="H67" s="88" t="s">
        <v>463</v>
      </c>
      <c r="I67" s="223"/>
      <c r="J67" s="293" t="s">
        <v>667</v>
      </c>
      <c r="K67" s="293" t="s">
        <v>667</v>
      </c>
      <c r="L67" s="293" t="s">
        <v>667</v>
      </c>
      <c r="M67" s="293" t="s">
        <v>667</v>
      </c>
      <c r="N67" s="293" t="s">
        <v>667</v>
      </c>
      <c r="O67" s="295">
        <f>COUNTIF(tblRiskRegister[[#This Row],[Defends Against Malware]:[Defends Against Targeted Intrusions]],"Yes")</f>
        <v>5</v>
      </c>
      <c r="P67" s="12"/>
      <c r="Q67" s="12"/>
      <c r="R67" s="12"/>
      <c r="S67" s="12"/>
      <c r="T67" s="13"/>
      <c r="U67" s="199">
        <f>IFERROR(VLOOKUP(tblRiskRegister[[#This Row],[Asset Class]],tblVCDBIndex[],4,FALSE),"")</f>
        <v>1</v>
      </c>
      <c r="V67" s="24" t="str">
        <f>IFERROR(VLOOKUP(10*tblRiskRegister[[#This Row],[Safeguard Maturity Score]]+tblRiskRegister[[#This Row],[VCDB Index]],tblHITIndexWeightTable[],4,FALSE),"")</f>
        <v/>
      </c>
      <c r="W67" s="301"/>
      <c r="X67" s="301"/>
      <c r="Y67" s="301"/>
      <c r="Z67" s="301"/>
      <c r="AA67" s="24" t="str">
        <f>IFERROR(MAX(tblRiskRegister[[#This Row],[Impact to Mission]:[Impact to Obligations]])*tblRiskRegister[[#This Row],[Expectancy Score]],"")</f>
        <v/>
      </c>
      <c r="AB67" s="24" t="str">
        <f>tblRiskRegister[[#This Row],[Risk Score]]</f>
        <v/>
      </c>
      <c r="AC67" s="79"/>
      <c r="AD67" s="206">
        <v>7.3</v>
      </c>
      <c r="AE67" s="194" t="s">
        <v>61</v>
      </c>
      <c r="AF67" s="194" t="s">
        <v>381</v>
      </c>
      <c r="AG67" s="25"/>
      <c r="AH67" s="13"/>
      <c r="AI67" s="22" t="str">
        <f>IFERROR(VLOOKUP(10*tblRiskRegister[[#This Row],[Risk Treatment Safeguard Maturity Score]]+tblRiskRegister[[#This Row],[VCDB Index]],tblHITIndexWeightTable[],4,FALSE),"")</f>
        <v/>
      </c>
      <c r="AJ67" s="302"/>
      <c r="AK67" s="302"/>
      <c r="AL67" s="302"/>
      <c r="AM67" s="302"/>
      <c r="AN67" s="100" t="str">
        <f>IFERROR(MAX(tblRiskRegister[[#This Row],[Risk Treatment Safeguard Impact to Mission]:[Risk Treatment Safeguard Impact to Obligations]])*tblRiskRegister[[#This Row],[Risk Treatment
Safeguard Expectancy Score]],"")</f>
        <v/>
      </c>
      <c r="AO67" s="203" t="str">
        <f>IF(tblRiskRegister[[#This Row],[Risk Score]]&gt;AcceptableRisk,IF(tblRiskRegister[[#This Row],[Risk Treatment Safeguard Risk Score]]&lt;AcceptableRisk, IF(tblRiskRegister[[#This Row],[Risk Treatment Safeguard Risk Score]]&lt;=tblRiskRegister[[#This Row],[Risk Score]],"Yes","No"),"No"),"Yes")</f>
        <v>No</v>
      </c>
      <c r="AP67" s="15"/>
      <c r="AQ67" s="15"/>
      <c r="AR67" s="16"/>
    </row>
    <row r="68" spans="2:44" ht="38.25" x14ac:dyDescent="0.2">
      <c r="B68" s="207">
        <v>7.4</v>
      </c>
      <c r="C68" s="194" t="s">
        <v>62</v>
      </c>
      <c r="D68" s="88" t="s">
        <v>89</v>
      </c>
      <c r="E68" s="274" t="s">
        <v>657</v>
      </c>
      <c r="F68" s="14" t="s">
        <v>463</v>
      </c>
      <c r="G68" s="88" t="s">
        <v>463</v>
      </c>
      <c r="H68" s="88" t="s">
        <v>463</v>
      </c>
      <c r="I68" s="223"/>
      <c r="J68" s="293" t="s">
        <v>667</v>
      </c>
      <c r="K68" s="293" t="s">
        <v>667</v>
      </c>
      <c r="L68" s="293" t="s">
        <v>667</v>
      </c>
      <c r="M68" s="293" t="s">
        <v>667</v>
      </c>
      <c r="N68" s="293" t="s">
        <v>667</v>
      </c>
      <c r="O68" s="295">
        <f>COUNTIF(tblRiskRegister[[#This Row],[Defends Against Malware]:[Defends Against Targeted Intrusions]],"Yes")</f>
        <v>5</v>
      </c>
      <c r="P68" s="12"/>
      <c r="Q68" s="12"/>
      <c r="R68" s="12"/>
      <c r="S68" s="12"/>
      <c r="T68" s="13"/>
      <c r="U68" s="199">
        <f>IFERROR(VLOOKUP(tblRiskRegister[[#This Row],[Asset Class]],tblVCDBIndex[],4,FALSE),"")</f>
        <v>1</v>
      </c>
      <c r="V68" s="24" t="str">
        <f>IFERROR(VLOOKUP(10*tblRiskRegister[[#This Row],[Safeguard Maturity Score]]+tblRiskRegister[[#This Row],[VCDB Index]],tblHITIndexWeightTable[],4,FALSE),"")</f>
        <v/>
      </c>
      <c r="W68" s="301"/>
      <c r="X68" s="301"/>
      <c r="Y68" s="301"/>
      <c r="Z68" s="301"/>
      <c r="AA68" s="24" t="str">
        <f>IFERROR(MAX(tblRiskRegister[[#This Row],[Impact to Mission]:[Impact to Obligations]])*tblRiskRegister[[#This Row],[Expectancy Score]],"")</f>
        <v/>
      </c>
      <c r="AB68" s="24" t="str">
        <f>tblRiskRegister[[#This Row],[Risk Score]]</f>
        <v/>
      </c>
      <c r="AC68" s="79"/>
      <c r="AD68" s="206">
        <v>7.4</v>
      </c>
      <c r="AE68" s="194" t="s">
        <v>62</v>
      </c>
      <c r="AF68" s="194" t="s">
        <v>382</v>
      </c>
      <c r="AG68" s="25"/>
      <c r="AH68" s="13"/>
      <c r="AI68" s="22" t="str">
        <f>IFERROR(VLOOKUP(10*tblRiskRegister[[#This Row],[Risk Treatment Safeguard Maturity Score]]+tblRiskRegister[[#This Row],[VCDB Index]],tblHITIndexWeightTable[],4,FALSE),"")</f>
        <v/>
      </c>
      <c r="AJ68" s="302"/>
      <c r="AK68" s="302"/>
      <c r="AL68" s="302"/>
      <c r="AM68" s="302"/>
      <c r="AN68" s="100" t="str">
        <f>IFERROR(MAX(tblRiskRegister[[#This Row],[Risk Treatment Safeguard Impact to Mission]:[Risk Treatment Safeguard Impact to Obligations]])*tblRiskRegister[[#This Row],[Risk Treatment
Safeguard Expectancy Score]],"")</f>
        <v/>
      </c>
      <c r="AO68" s="203" t="str">
        <f>IF(tblRiskRegister[[#This Row],[Risk Score]]&gt;AcceptableRisk,IF(tblRiskRegister[[#This Row],[Risk Treatment Safeguard Risk Score]]&lt;AcceptableRisk, IF(tblRiskRegister[[#This Row],[Risk Treatment Safeguard Risk Score]]&lt;=tblRiskRegister[[#This Row],[Risk Score]],"Yes","No"),"No"),"Yes")</f>
        <v>No</v>
      </c>
      <c r="AP68" s="15"/>
      <c r="AQ68" s="15"/>
      <c r="AR68" s="16"/>
    </row>
    <row r="69" spans="2:44" ht="51" x14ac:dyDescent="0.2">
      <c r="B69" s="207">
        <v>7.5</v>
      </c>
      <c r="C69" s="194" t="s">
        <v>158</v>
      </c>
      <c r="D69" s="88" t="s">
        <v>89</v>
      </c>
      <c r="E69" s="274" t="s">
        <v>654</v>
      </c>
      <c r="F69" s="14"/>
      <c r="G69" s="88" t="s">
        <v>463</v>
      </c>
      <c r="H69" s="88" t="s">
        <v>463</v>
      </c>
      <c r="I69" s="223"/>
      <c r="J69" s="293" t="s">
        <v>667</v>
      </c>
      <c r="K69" s="293" t="s">
        <v>667</v>
      </c>
      <c r="L69" s="293" t="s">
        <v>667</v>
      </c>
      <c r="M69" s="293" t="s">
        <v>667</v>
      </c>
      <c r="N69" s="293" t="s">
        <v>667</v>
      </c>
      <c r="O69" s="295">
        <f>COUNTIF(tblRiskRegister[[#This Row],[Defends Against Malware]:[Defends Against Targeted Intrusions]],"Yes")</f>
        <v>5</v>
      </c>
      <c r="P69" s="12"/>
      <c r="Q69" s="12"/>
      <c r="R69" s="12"/>
      <c r="S69" s="12"/>
      <c r="T69" s="13"/>
      <c r="U69" s="199">
        <f>IFERROR(VLOOKUP(tblRiskRegister[[#This Row],[Asset Class]],tblVCDBIndex[],4,FALSE),"")</f>
        <v>1</v>
      </c>
      <c r="V69" s="24" t="str">
        <f>IFERROR(VLOOKUP(10*tblRiskRegister[[#This Row],[Safeguard Maturity Score]]+tblRiskRegister[[#This Row],[VCDB Index]],tblHITIndexWeightTable[],4,FALSE),"")</f>
        <v/>
      </c>
      <c r="W69" s="301"/>
      <c r="X69" s="301"/>
      <c r="Y69" s="301"/>
      <c r="Z69" s="301"/>
      <c r="AA69" s="24" t="str">
        <f>IFERROR(MAX(tblRiskRegister[[#This Row],[Impact to Mission]:[Impact to Obligations]])*tblRiskRegister[[#This Row],[Expectancy Score]],"")</f>
        <v/>
      </c>
      <c r="AB69" s="24" t="str">
        <f>tblRiskRegister[[#This Row],[Risk Score]]</f>
        <v/>
      </c>
      <c r="AC69" s="79"/>
      <c r="AD69" s="206">
        <v>7.5</v>
      </c>
      <c r="AE69" s="194" t="s">
        <v>158</v>
      </c>
      <c r="AF69" s="194" t="s">
        <v>618</v>
      </c>
      <c r="AG69" s="25"/>
      <c r="AH69" s="13"/>
      <c r="AI69" s="22" t="str">
        <f>IFERROR(VLOOKUP(10*tblRiskRegister[[#This Row],[Risk Treatment Safeguard Maturity Score]]+tblRiskRegister[[#This Row],[VCDB Index]],tblHITIndexWeightTable[],4,FALSE),"")</f>
        <v/>
      </c>
      <c r="AJ69" s="302"/>
      <c r="AK69" s="302"/>
      <c r="AL69" s="302"/>
      <c r="AM69" s="302"/>
      <c r="AN69" s="100" t="str">
        <f>IFERROR(MAX(tblRiskRegister[[#This Row],[Risk Treatment Safeguard Impact to Mission]:[Risk Treatment Safeguard Impact to Obligations]])*tblRiskRegister[[#This Row],[Risk Treatment
Safeguard Expectancy Score]],"")</f>
        <v/>
      </c>
      <c r="AO69" s="203" t="str">
        <f>IF(tblRiskRegister[[#This Row],[Risk Score]]&gt;AcceptableRisk,IF(tblRiskRegister[[#This Row],[Risk Treatment Safeguard Risk Score]]&lt;AcceptableRisk, IF(tblRiskRegister[[#This Row],[Risk Treatment Safeguard Risk Score]]&lt;=tblRiskRegister[[#This Row],[Risk Score]],"Yes","No"),"No"),"Yes")</f>
        <v>No</v>
      </c>
      <c r="AP69" s="15"/>
      <c r="AQ69" s="15"/>
      <c r="AR69" s="16"/>
    </row>
    <row r="70" spans="2:44" ht="51" x14ac:dyDescent="0.2">
      <c r="B70" s="207">
        <v>7.6</v>
      </c>
      <c r="C70" s="194" t="s">
        <v>159</v>
      </c>
      <c r="D70" s="88" t="s">
        <v>89</v>
      </c>
      <c r="E70" s="274" t="s">
        <v>654</v>
      </c>
      <c r="F70" s="14"/>
      <c r="G70" s="88" t="s">
        <v>463</v>
      </c>
      <c r="H70" s="88" t="s">
        <v>463</v>
      </c>
      <c r="I70" s="223"/>
      <c r="J70" s="293" t="s">
        <v>667</v>
      </c>
      <c r="K70" s="293" t="s">
        <v>667</v>
      </c>
      <c r="L70" s="293" t="s">
        <v>667</v>
      </c>
      <c r="M70" s="293" t="s">
        <v>667</v>
      </c>
      <c r="N70" s="293" t="s">
        <v>667</v>
      </c>
      <c r="O70" s="295">
        <f>COUNTIF(tblRiskRegister[[#This Row],[Defends Against Malware]:[Defends Against Targeted Intrusions]],"Yes")</f>
        <v>5</v>
      </c>
      <c r="P70" s="12"/>
      <c r="Q70" s="12"/>
      <c r="R70" s="12"/>
      <c r="S70" s="12"/>
      <c r="T70" s="13"/>
      <c r="U70" s="199">
        <f>IFERROR(VLOOKUP(tblRiskRegister[[#This Row],[Asset Class]],tblVCDBIndex[],4,FALSE),"")</f>
        <v>1</v>
      </c>
      <c r="V70" s="24" t="str">
        <f>IFERROR(VLOOKUP(10*tblRiskRegister[[#This Row],[Safeguard Maturity Score]]+tblRiskRegister[[#This Row],[VCDB Index]],tblHITIndexWeightTable[],4,FALSE),"")</f>
        <v/>
      </c>
      <c r="W70" s="301"/>
      <c r="X70" s="301"/>
      <c r="Y70" s="301"/>
      <c r="Z70" s="301"/>
      <c r="AA70" s="24" t="str">
        <f>IFERROR(MAX(tblRiskRegister[[#This Row],[Impact to Mission]:[Impact to Obligations]])*tblRiskRegister[[#This Row],[Expectancy Score]],"")</f>
        <v/>
      </c>
      <c r="AB70" s="24" t="str">
        <f>tblRiskRegister[[#This Row],[Risk Score]]</f>
        <v/>
      </c>
      <c r="AC70" s="79"/>
      <c r="AD70" s="206">
        <v>7.6</v>
      </c>
      <c r="AE70" s="194" t="s">
        <v>159</v>
      </c>
      <c r="AF70" s="194" t="s">
        <v>383</v>
      </c>
      <c r="AG70" s="25"/>
      <c r="AH70" s="13"/>
      <c r="AI70" s="22" t="str">
        <f>IFERROR(VLOOKUP(10*tblRiskRegister[[#This Row],[Risk Treatment Safeguard Maturity Score]]+tblRiskRegister[[#This Row],[VCDB Index]],tblHITIndexWeightTable[],4,FALSE),"")</f>
        <v/>
      </c>
      <c r="AJ70" s="302"/>
      <c r="AK70" s="302"/>
      <c r="AL70" s="302"/>
      <c r="AM70" s="302"/>
      <c r="AN70" s="100" t="str">
        <f>IFERROR(MAX(tblRiskRegister[[#This Row],[Risk Treatment Safeguard Impact to Mission]:[Risk Treatment Safeguard Impact to Obligations]])*tblRiskRegister[[#This Row],[Risk Treatment
Safeguard Expectancy Score]],"")</f>
        <v/>
      </c>
      <c r="AO70" s="203" t="str">
        <f>IF(tblRiskRegister[[#This Row],[Risk Score]]&gt;AcceptableRisk,IF(tblRiskRegister[[#This Row],[Risk Treatment Safeguard Risk Score]]&lt;AcceptableRisk, IF(tblRiskRegister[[#This Row],[Risk Treatment Safeguard Risk Score]]&lt;=tblRiskRegister[[#This Row],[Risk Score]],"Yes","No"),"No"),"Yes")</f>
        <v>No</v>
      </c>
      <c r="AP70" s="15"/>
      <c r="AQ70" s="15"/>
      <c r="AR70" s="16"/>
    </row>
    <row r="71" spans="2:44" ht="25.5" x14ac:dyDescent="0.2">
      <c r="B71" s="207">
        <v>7.7</v>
      </c>
      <c r="C71" s="194" t="s">
        <v>160</v>
      </c>
      <c r="D71" s="88" t="s">
        <v>89</v>
      </c>
      <c r="E71" s="274" t="s">
        <v>655</v>
      </c>
      <c r="F71" s="14"/>
      <c r="G71" s="88" t="s">
        <v>463</v>
      </c>
      <c r="H71" s="88" t="s">
        <v>463</v>
      </c>
      <c r="I71" s="223"/>
      <c r="J71" s="293" t="s">
        <v>667</v>
      </c>
      <c r="K71" s="293" t="s">
        <v>667</v>
      </c>
      <c r="L71" s="293" t="s">
        <v>667</v>
      </c>
      <c r="M71" s="293" t="s">
        <v>667</v>
      </c>
      <c r="N71" s="293" t="s">
        <v>667</v>
      </c>
      <c r="O71" s="295">
        <f>COUNTIF(tblRiskRegister[[#This Row],[Defends Against Malware]:[Defends Against Targeted Intrusions]],"Yes")</f>
        <v>5</v>
      </c>
      <c r="P71" s="12"/>
      <c r="Q71" s="12"/>
      <c r="R71" s="12"/>
      <c r="S71" s="12"/>
      <c r="T71" s="13"/>
      <c r="U71" s="199">
        <f>IFERROR(VLOOKUP(tblRiskRegister[[#This Row],[Asset Class]],tblVCDBIndex[],4,FALSE),"")</f>
        <v>1</v>
      </c>
      <c r="V71" s="24" t="str">
        <f>IFERROR(VLOOKUP(10*tblRiskRegister[[#This Row],[Safeguard Maturity Score]]+tblRiskRegister[[#This Row],[VCDB Index]],tblHITIndexWeightTable[],4,FALSE),"")</f>
        <v/>
      </c>
      <c r="W71" s="301"/>
      <c r="X71" s="301"/>
      <c r="Y71" s="301"/>
      <c r="Z71" s="301"/>
      <c r="AA71" s="24" t="str">
        <f>IFERROR(MAX(tblRiskRegister[[#This Row],[Impact to Mission]:[Impact to Obligations]])*tblRiskRegister[[#This Row],[Expectancy Score]],"")</f>
        <v/>
      </c>
      <c r="AB71" s="24" t="str">
        <f>tblRiskRegister[[#This Row],[Risk Score]]</f>
        <v/>
      </c>
      <c r="AC71" s="79"/>
      <c r="AD71" s="206">
        <v>7.7</v>
      </c>
      <c r="AE71" s="194" t="s">
        <v>160</v>
      </c>
      <c r="AF71" s="194" t="s">
        <v>384</v>
      </c>
      <c r="AG71" s="25"/>
      <c r="AH71" s="13"/>
      <c r="AI71" s="22" t="str">
        <f>IFERROR(VLOOKUP(10*tblRiskRegister[[#This Row],[Risk Treatment Safeguard Maturity Score]]+tblRiskRegister[[#This Row],[VCDB Index]],tblHITIndexWeightTable[],4,FALSE),"")</f>
        <v/>
      </c>
      <c r="AJ71" s="302"/>
      <c r="AK71" s="302"/>
      <c r="AL71" s="302"/>
      <c r="AM71" s="302"/>
      <c r="AN71" s="100" t="str">
        <f>IFERROR(MAX(tblRiskRegister[[#This Row],[Risk Treatment Safeguard Impact to Mission]:[Risk Treatment Safeguard Impact to Obligations]])*tblRiskRegister[[#This Row],[Risk Treatment
Safeguard Expectancy Score]],"")</f>
        <v/>
      </c>
      <c r="AO71" s="203" t="str">
        <f>IF(tblRiskRegister[[#This Row],[Risk Score]]&gt;AcceptableRisk,IF(tblRiskRegister[[#This Row],[Risk Treatment Safeguard Risk Score]]&lt;AcceptableRisk, IF(tblRiskRegister[[#This Row],[Risk Treatment Safeguard Risk Score]]&lt;=tblRiskRegister[[#This Row],[Risk Score]],"Yes","No"),"No"),"Yes")</f>
        <v>No</v>
      </c>
      <c r="AP71" s="15"/>
      <c r="AQ71" s="15"/>
      <c r="AR71" s="16"/>
    </row>
    <row r="72" spans="2:44" ht="51" x14ac:dyDescent="0.2">
      <c r="B72" s="207">
        <v>8.1</v>
      </c>
      <c r="C72" s="194" t="s">
        <v>63</v>
      </c>
      <c r="D72" s="88" t="s">
        <v>90</v>
      </c>
      <c r="E72" s="274" t="s">
        <v>657</v>
      </c>
      <c r="F72" s="14" t="s">
        <v>463</v>
      </c>
      <c r="G72" s="88" t="s">
        <v>463</v>
      </c>
      <c r="H72" s="88" t="s">
        <v>463</v>
      </c>
      <c r="I72" s="223"/>
      <c r="J72" s="293" t="s">
        <v>667</v>
      </c>
      <c r="K72" s="293" t="s">
        <v>667</v>
      </c>
      <c r="L72" s="293" t="s">
        <v>667</v>
      </c>
      <c r="M72" s="293" t="s">
        <v>667</v>
      </c>
      <c r="N72" s="293" t="s">
        <v>667</v>
      </c>
      <c r="O72" s="295">
        <f>COUNTIF(tblRiskRegister[[#This Row],[Defends Against Malware]:[Defends Against Targeted Intrusions]],"Yes")</f>
        <v>5</v>
      </c>
      <c r="P72" s="12"/>
      <c r="Q72" s="12"/>
      <c r="R72" s="12"/>
      <c r="S72" s="12"/>
      <c r="T72" s="13"/>
      <c r="U72" s="199">
        <f>IFERROR(VLOOKUP(tblRiskRegister[[#This Row],[Asset Class]],tblVCDBIndex[],4,FALSE),"")</f>
        <v>1</v>
      </c>
      <c r="V72" s="24" t="str">
        <f>IFERROR(VLOOKUP(10*tblRiskRegister[[#This Row],[Safeguard Maturity Score]]+tblRiskRegister[[#This Row],[VCDB Index]],tblHITIndexWeightTable[],4,FALSE),"")</f>
        <v/>
      </c>
      <c r="W72" s="301"/>
      <c r="X72" s="301"/>
      <c r="Y72" s="301"/>
      <c r="Z72" s="301"/>
      <c r="AA72" s="24" t="str">
        <f>IFERROR(MAX(tblRiskRegister[[#This Row],[Impact to Mission]:[Impact to Obligations]])*tblRiskRegister[[#This Row],[Expectancy Score]],"")</f>
        <v/>
      </c>
      <c r="AB72" s="24" t="str">
        <f>tblRiskRegister[[#This Row],[Risk Score]]</f>
        <v/>
      </c>
      <c r="AC72" s="79"/>
      <c r="AD72" s="206">
        <v>8.1</v>
      </c>
      <c r="AE72" s="194" t="s">
        <v>63</v>
      </c>
      <c r="AF72" s="194" t="s">
        <v>619</v>
      </c>
      <c r="AG72" s="213"/>
      <c r="AH72" s="13"/>
      <c r="AI72" s="22" t="str">
        <f>IFERROR(VLOOKUP(10*tblRiskRegister[[#This Row],[Risk Treatment Safeguard Maturity Score]]+tblRiskRegister[[#This Row],[VCDB Index]],tblHITIndexWeightTable[],4,FALSE),"")</f>
        <v/>
      </c>
      <c r="AJ72" s="302"/>
      <c r="AK72" s="302"/>
      <c r="AL72" s="302"/>
      <c r="AM72" s="302"/>
      <c r="AN72" s="100" t="str">
        <f>IFERROR(MAX(tblRiskRegister[[#This Row],[Risk Treatment Safeguard Impact to Mission]:[Risk Treatment Safeguard Impact to Obligations]])*tblRiskRegister[[#This Row],[Risk Treatment
Safeguard Expectancy Score]],"")</f>
        <v/>
      </c>
      <c r="AO72" s="203" t="str">
        <f>IF(tblRiskRegister[[#This Row],[Risk Score]]&gt;AcceptableRisk,IF(tblRiskRegister[[#This Row],[Risk Treatment Safeguard Risk Score]]&lt;AcceptableRisk, IF(tblRiskRegister[[#This Row],[Risk Treatment Safeguard Risk Score]]&lt;=tblRiskRegister[[#This Row],[Risk Score]],"Yes","No"),"No"),"Yes")</f>
        <v>No</v>
      </c>
      <c r="AP72" s="15"/>
      <c r="AQ72" s="15"/>
      <c r="AR72" s="16"/>
    </row>
    <row r="73" spans="2:44" ht="25.5" x14ac:dyDescent="0.2">
      <c r="B73" s="207">
        <v>8.1999999999999993</v>
      </c>
      <c r="C73" s="194" t="s">
        <v>64</v>
      </c>
      <c r="D73" s="88" t="s">
        <v>90</v>
      </c>
      <c r="E73" s="274" t="s">
        <v>656</v>
      </c>
      <c r="F73" s="14" t="s">
        <v>463</v>
      </c>
      <c r="G73" s="88" t="s">
        <v>463</v>
      </c>
      <c r="H73" s="88" t="s">
        <v>463</v>
      </c>
      <c r="I73" s="223"/>
      <c r="J73" s="293" t="s">
        <v>667</v>
      </c>
      <c r="K73" s="293" t="s">
        <v>667</v>
      </c>
      <c r="L73" s="293" t="s">
        <v>667</v>
      </c>
      <c r="M73" s="293" t="s">
        <v>667</v>
      </c>
      <c r="N73" s="293" t="s">
        <v>667</v>
      </c>
      <c r="O73" s="295">
        <f>COUNTIF(tblRiskRegister[[#This Row],[Defends Against Malware]:[Defends Against Targeted Intrusions]],"Yes")</f>
        <v>5</v>
      </c>
      <c r="P73" s="12"/>
      <c r="Q73" s="12"/>
      <c r="R73" s="12"/>
      <c r="S73" s="12"/>
      <c r="T73" s="13"/>
      <c r="U73" s="199">
        <f>IFERROR(VLOOKUP(tblRiskRegister[[#This Row],[Asset Class]],tblVCDBIndex[],4,FALSE),"")</f>
        <v>1</v>
      </c>
      <c r="V73" s="24" t="str">
        <f>IFERROR(VLOOKUP(10*tblRiskRegister[[#This Row],[Safeguard Maturity Score]]+tblRiskRegister[[#This Row],[VCDB Index]],tblHITIndexWeightTable[],4,FALSE),"")</f>
        <v/>
      </c>
      <c r="W73" s="301"/>
      <c r="X73" s="301"/>
      <c r="Y73" s="301"/>
      <c r="Z73" s="301"/>
      <c r="AA73" s="24" t="str">
        <f>IFERROR(MAX(tblRiskRegister[[#This Row],[Impact to Mission]:[Impact to Obligations]])*tblRiskRegister[[#This Row],[Expectancy Score]],"")</f>
        <v/>
      </c>
      <c r="AB73" s="24" t="str">
        <f>tblRiskRegister[[#This Row],[Risk Score]]</f>
        <v/>
      </c>
      <c r="AC73" s="79"/>
      <c r="AD73" s="206">
        <v>8.1999999999999993</v>
      </c>
      <c r="AE73" s="194" t="s">
        <v>64</v>
      </c>
      <c r="AF73" s="194" t="s">
        <v>385</v>
      </c>
      <c r="AG73" s="213"/>
      <c r="AH73" s="13"/>
      <c r="AI73" s="22" t="str">
        <f>IFERROR(VLOOKUP(10*tblRiskRegister[[#This Row],[Risk Treatment Safeguard Maturity Score]]+tblRiskRegister[[#This Row],[VCDB Index]],tblHITIndexWeightTable[],4,FALSE),"")</f>
        <v/>
      </c>
      <c r="AJ73" s="302"/>
      <c r="AK73" s="302"/>
      <c r="AL73" s="302"/>
      <c r="AM73" s="302"/>
      <c r="AN73" s="100" t="str">
        <f>IFERROR(MAX(tblRiskRegister[[#This Row],[Risk Treatment Safeguard Impact to Mission]:[Risk Treatment Safeguard Impact to Obligations]])*tblRiskRegister[[#This Row],[Risk Treatment
Safeguard Expectancy Score]],"")</f>
        <v/>
      </c>
      <c r="AO73" s="203" t="str">
        <f>IF(tblRiskRegister[[#This Row],[Risk Score]]&gt;AcceptableRisk,IF(tblRiskRegister[[#This Row],[Risk Treatment Safeguard Risk Score]]&lt;AcceptableRisk, IF(tblRiskRegister[[#This Row],[Risk Treatment Safeguard Risk Score]]&lt;=tblRiskRegister[[#This Row],[Risk Score]],"Yes","No"),"No"),"Yes")</f>
        <v>No</v>
      </c>
      <c r="AP73" s="15"/>
      <c r="AQ73" s="15"/>
      <c r="AR73" s="16"/>
    </row>
    <row r="74" spans="2:44" ht="25.5" x14ac:dyDescent="0.2">
      <c r="B74" s="207">
        <v>8.3000000000000007</v>
      </c>
      <c r="C74" s="194" t="s">
        <v>65</v>
      </c>
      <c r="D74" s="88" t="s">
        <v>90</v>
      </c>
      <c r="E74" s="274" t="s">
        <v>657</v>
      </c>
      <c r="F74" s="14" t="s">
        <v>463</v>
      </c>
      <c r="G74" s="88" t="s">
        <v>463</v>
      </c>
      <c r="H74" s="88" t="s">
        <v>463</v>
      </c>
      <c r="I74" s="223"/>
      <c r="J74" s="293" t="s">
        <v>667</v>
      </c>
      <c r="K74" s="293" t="s">
        <v>667</v>
      </c>
      <c r="L74" s="293" t="s">
        <v>667</v>
      </c>
      <c r="M74" s="293" t="s">
        <v>667</v>
      </c>
      <c r="N74" s="293" t="s">
        <v>667</v>
      </c>
      <c r="O74" s="295">
        <f>COUNTIF(tblRiskRegister[[#This Row],[Defends Against Malware]:[Defends Against Targeted Intrusions]],"Yes")</f>
        <v>5</v>
      </c>
      <c r="P74" s="12"/>
      <c r="Q74" s="12"/>
      <c r="R74" s="12"/>
      <c r="S74" s="12"/>
      <c r="T74" s="13"/>
      <c r="U74" s="199">
        <f>IFERROR(VLOOKUP(tblRiskRegister[[#This Row],[Asset Class]],tblVCDBIndex[],4,FALSE),"")</f>
        <v>1</v>
      </c>
      <c r="V74" s="24" t="str">
        <f>IFERROR(VLOOKUP(10*tblRiskRegister[[#This Row],[Safeguard Maturity Score]]+tblRiskRegister[[#This Row],[VCDB Index]],tblHITIndexWeightTable[],4,FALSE),"")</f>
        <v/>
      </c>
      <c r="W74" s="301"/>
      <c r="X74" s="301"/>
      <c r="Y74" s="301"/>
      <c r="Z74" s="301"/>
      <c r="AA74" s="24" t="str">
        <f>IFERROR(MAX(tblRiskRegister[[#This Row],[Impact to Mission]:[Impact to Obligations]])*tblRiskRegister[[#This Row],[Expectancy Score]],"")</f>
        <v/>
      </c>
      <c r="AB74" s="24" t="str">
        <f>tblRiskRegister[[#This Row],[Risk Score]]</f>
        <v/>
      </c>
      <c r="AC74" s="79"/>
      <c r="AD74" s="206">
        <v>8.3000000000000007</v>
      </c>
      <c r="AE74" s="194" t="s">
        <v>65</v>
      </c>
      <c r="AF74" s="194" t="s">
        <v>386</v>
      </c>
      <c r="AG74" s="213"/>
      <c r="AH74" s="13"/>
      <c r="AI74" s="22" t="str">
        <f>IFERROR(VLOOKUP(10*tblRiskRegister[[#This Row],[Risk Treatment Safeguard Maturity Score]]+tblRiskRegister[[#This Row],[VCDB Index]],tblHITIndexWeightTable[],4,FALSE),"")</f>
        <v/>
      </c>
      <c r="AJ74" s="302"/>
      <c r="AK74" s="302"/>
      <c r="AL74" s="302"/>
      <c r="AM74" s="302"/>
      <c r="AN74" s="100" t="str">
        <f>IFERROR(MAX(tblRiskRegister[[#This Row],[Risk Treatment Safeguard Impact to Mission]:[Risk Treatment Safeguard Impact to Obligations]])*tblRiskRegister[[#This Row],[Risk Treatment
Safeguard Expectancy Score]],"")</f>
        <v/>
      </c>
      <c r="AO74" s="203" t="str">
        <f>IF(tblRiskRegister[[#This Row],[Risk Score]]&gt;AcceptableRisk,IF(tblRiskRegister[[#This Row],[Risk Treatment Safeguard Risk Score]]&lt;AcceptableRisk, IF(tblRiskRegister[[#This Row],[Risk Treatment Safeguard Risk Score]]&lt;=tblRiskRegister[[#This Row],[Risk Score]],"Yes","No"),"No"),"Yes")</f>
        <v>No</v>
      </c>
      <c r="AP74" s="15"/>
      <c r="AQ74" s="15"/>
      <c r="AR74" s="16"/>
    </row>
    <row r="75" spans="2:44" ht="25.5" x14ac:dyDescent="0.2">
      <c r="B75" s="207">
        <v>8.4</v>
      </c>
      <c r="C75" s="194" t="s">
        <v>203</v>
      </c>
      <c r="D75" s="88" t="s">
        <v>90</v>
      </c>
      <c r="E75" s="274" t="s">
        <v>657</v>
      </c>
      <c r="F75" s="14"/>
      <c r="G75" s="88" t="s">
        <v>463</v>
      </c>
      <c r="H75" s="88" t="s">
        <v>463</v>
      </c>
      <c r="I75" s="223"/>
      <c r="J75" s="292" t="s">
        <v>666</v>
      </c>
      <c r="K75" s="292" t="s">
        <v>666</v>
      </c>
      <c r="L75" s="292" t="s">
        <v>666</v>
      </c>
      <c r="M75" s="292" t="s">
        <v>666</v>
      </c>
      <c r="N75" s="292" t="s">
        <v>666</v>
      </c>
      <c r="O75" s="295">
        <f>COUNTIF(tblRiskRegister[[#This Row],[Defends Against Malware]:[Defends Against Targeted Intrusions]],"Yes")</f>
        <v>0</v>
      </c>
      <c r="P75" s="12"/>
      <c r="Q75" s="12"/>
      <c r="R75" s="12"/>
      <c r="S75" s="12"/>
      <c r="T75" s="13"/>
      <c r="U75" s="199">
        <f>IFERROR(VLOOKUP(tblRiskRegister[[#This Row],[Asset Class]],tblVCDBIndex[],4,FALSE),"")</f>
        <v>1</v>
      </c>
      <c r="V75" s="24" t="str">
        <f>IFERROR(VLOOKUP(10*tblRiskRegister[[#This Row],[Safeguard Maturity Score]]+tblRiskRegister[[#This Row],[VCDB Index]],tblHITIndexWeightTable[],4,FALSE),"")</f>
        <v/>
      </c>
      <c r="W75" s="301"/>
      <c r="X75" s="301"/>
      <c r="Y75" s="301"/>
      <c r="Z75" s="301"/>
      <c r="AA75" s="24" t="str">
        <f>IFERROR(MAX(tblRiskRegister[[#This Row],[Impact to Mission]:[Impact to Obligations]])*tblRiskRegister[[#This Row],[Expectancy Score]],"")</f>
        <v/>
      </c>
      <c r="AB75" s="24" t="str">
        <f>tblRiskRegister[[#This Row],[Risk Score]]</f>
        <v/>
      </c>
      <c r="AC75" s="79"/>
      <c r="AD75" s="206">
        <v>8.4</v>
      </c>
      <c r="AE75" s="194" t="s">
        <v>203</v>
      </c>
      <c r="AF75" s="194" t="s">
        <v>387</v>
      </c>
      <c r="AG75" s="213"/>
      <c r="AH75" s="13"/>
      <c r="AI75" s="22" t="str">
        <f>IFERROR(VLOOKUP(10*tblRiskRegister[[#This Row],[Risk Treatment Safeguard Maturity Score]]+tblRiskRegister[[#This Row],[VCDB Index]],tblHITIndexWeightTable[],4,FALSE),"")</f>
        <v/>
      </c>
      <c r="AJ75" s="302"/>
      <c r="AK75" s="302"/>
      <c r="AL75" s="302"/>
      <c r="AM75" s="302"/>
      <c r="AN75" s="100" t="str">
        <f>IFERROR(MAX(tblRiskRegister[[#This Row],[Risk Treatment Safeguard Impact to Mission]:[Risk Treatment Safeguard Impact to Obligations]])*tblRiskRegister[[#This Row],[Risk Treatment
Safeguard Expectancy Score]],"")</f>
        <v/>
      </c>
      <c r="AO75" s="203" t="str">
        <f>IF(tblRiskRegister[[#This Row],[Risk Score]]&gt;AcceptableRisk,IF(tblRiskRegister[[#This Row],[Risk Treatment Safeguard Risk Score]]&lt;AcceptableRisk, IF(tblRiskRegister[[#This Row],[Risk Treatment Safeguard Risk Score]]&lt;=tblRiskRegister[[#This Row],[Risk Score]],"Yes","No"),"No"),"Yes")</f>
        <v>No</v>
      </c>
      <c r="AP75" s="15"/>
      <c r="AQ75" s="15"/>
      <c r="AR75" s="16"/>
    </row>
    <row r="76" spans="2:44" ht="38.25" x14ac:dyDescent="0.2">
      <c r="B76" s="207">
        <v>8.5</v>
      </c>
      <c r="C76" s="194" t="s">
        <v>204</v>
      </c>
      <c r="D76" s="88" t="s">
        <v>90</v>
      </c>
      <c r="E76" s="274" t="s">
        <v>656</v>
      </c>
      <c r="F76" s="14"/>
      <c r="G76" s="88" t="s">
        <v>463</v>
      </c>
      <c r="H76" s="88" t="s">
        <v>463</v>
      </c>
      <c r="I76" s="223"/>
      <c r="J76" s="292" t="s">
        <v>666</v>
      </c>
      <c r="K76" s="292" t="s">
        <v>666</v>
      </c>
      <c r="L76" s="292" t="s">
        <v>666</v>
      </c>
      <c r="M76" s="293" t="s">
        <v>666</v>
      </c>
      <c r="N76" s="293" t="s">
        <v>667</v>
      </c>
      <c r="O76" s="295">
        <f>COUNTIF(tblRiskRegister[[#This Row],[Defends Against Malware]:[Defends Against Targeted Intrusions]],"Yes")</f>
        <v>1</v>
      </c>
      <c r="P76" s="12"/>
      <c r="Q76" s="12"/>
      <c r="R76" s="12"/>
      <c r="S76" s="12"/>
      <c r="T76" s="13"/>
      <c r="U76" s="199">
        <f>IFERROR(VLOOKUP(tblRiskRegister[[#This Row],[Asset Class]],tblVCDBIndex[],4,FALSE),"")</f>
        <v>1</v>
      </c>
      <c r="V76" s="24" t="str">
        <f>IFERROR(VLOOKUP(10*tblRiskRegister[[#This Row],[Safeguard Maturity Score]]+tblRiskRegister[[#This Row],[VCDB Index]],tblHITIndexWeightTable[],4,FALSE),"")</f>
        <v/>
      </c>
      <c r="W76" s="301"/>
      <c r="X76" s="301"/>
      <c r="Y76" s="301"/>
      <c r="Z76" s="301"/>
      <c r="AA76" s="24" t="str">
        <f>IFERROR(MAX(tblRiskRegister[[#This Row],[Impact to Mission]:[Impact to Obligations]])*tblRiskRegister[[#This Row],[Expectancy Score]],"")</f>
        <v/>
      </c>
      <c r="AB76" s="24" t="str">
        <f>tblRiskRegister[[#This Row],[Risk Score]]</f>
        <v/>
      </c>
      <c r="AC76" s="79"/>
      <c r="AD76" s="206">
        <v>8.5</v>
      </c>
      <c r="AE76" s="194" t="s">
        <v>204</v>
      </c>
      <c r="AF76" s="194" t="s">
        <v>388</v>
      </c>
      <c r="AG76" s="213"/>
      <c r="AH76" s="13"/>
      <c r="AI76" s="22" t="str">
        <f>IFERROR(VLOOKUP(10*tblRiskRegister[[#This Row],[Risk Treatment Safeguard Maturity Score]]+tblRiskRegister[[#This Row],[VCDB Index]],tblHITIndexWeightTable[],4,FALSE),"")</f>
        <v/>
      </c>
      <c r="AJ76" s="302"/>
      <c r="AK76" s="302"/>
      <c r="AL76" s="302"/>
      <c r="AM76" s="302"/>
      <c r="AN76" s="100" t="str">
        <f>IFERROR(MAX(tblRiskRegister[[#This Row],[Risk Treatment Safeguard Impact to Mission]:[Risk Treatment Safeguard Impact to Obligations]])*tblRiskRegister[[#This Row],[Risk Treatment
Safeguard Expectancy Score]],"")</f>
        <v/>
      </c>
      <c r="AO76" s="203" t="str">
        <f>IF(tblRiskRegister[[#This Row],[Risk Score]]&gt;AcceptableRisk,IF(tblRiskRegister[[#This Row],[Risk Treatment Safeguard Risk Score]]&lt;AcceptableRisk, IF(tblRiskRegister[[#This Row],[Risk Treatment Safeguard Risk Score]]&lt;=tblRiskRegister[[#This Row],[Risk Score]],"Yes","No"),"No"),"Yes")</f>
        <v>No</v>
      </c>
      <c r="AP76" s="15"/>
      <c r="AQ76" s="15"/>
      <c r="AR76" s="16"/>
    </row>
    <row r="77" spans="2:44" ht="25.5" x14ac:dyDescent="0.2">
      <c r="B77" s="207">
        <v>8.6</v>
      </c>
      <c r="C77" s="194" t="s">
        <v>205</v>
      </c>
      <c r="D77" s="88" t="s">
        <v>90</v>
      </c>
      <c r="E77" s="274" t="s">
        <v>656</v>
      </c>
      <c r="F77" s="14"/>
      <c r="G77" s="88" t="s">
        <v>463</v>
      </c>
      <c r="H77" s="88" t="s">
        <v>463</v>
      </c>
      <c r="I77" s="223"/>
      <c r="J77" s="292" t="s">
        <v>666</v>
      </c>
      <c r="K77" s="292" t="s">
        <v>666</v>
      </c>
      <c r="L77" s="292" t="s">
        <v>666</v>
      </c>
      <c r="M77" s="292" t="s">
        <v>666</v>
      </c>
      <c r="N77" s="292" t="s">
        <v>666</v>
      </c>
      <c r="O77" s="295">
        <f>COUNTIF(tblRiskRegister[[#This Row],[Defends Against Malware]:[Defends Against Targeted Intrusions]],"Yes")</f>
        <v>0</v>
      </c>
      <c r="P77" s="12"/>
      <c r="Q77" s="12"/>
      <c r="R77" s="12"/>
      <c r="S77" s="12"/>
      <c r="T77" s="13"/>
      <c r="U77" s="199">
        <f>IFERROR(VLOOKUP(tblRiskRegister[[#This Row],[Asset Class]],tblVCDBIndex[],4,FALSE),"")</f>
        <v>1</v>
      </c>
      <c r="V77" s="24" t="str">
        <f>IFERROR(VLOOKUP(10*tblRiskRegister[[#This Row],[Safeguard Maturity Score]]+tblRiskRegister[[#This Row],[VCDB Index]],tblHITIndexWeightTable[],4,FALSE),"")</f>
        <v/>
      </c>
      <c r="W77" s="301"/>
      <c r="X77" s="301"/>
      <c r="Y77" s="301"/>
      <c r="Z77" s="301"/>
      <c r="AA77" s="24" t="str">
        <f>IFERROR(MAX(tblRiskRegister[[#This Row],[Impact to Mission]:[Impact to Obligations]])*tblRiskRegister[[#This Row],[Expectancy Score]],"")</f>
        <v/>
      </c>
      <c r="AB77" s="24" t="str">
        <f>tblRiskRegister[[#This Row],[Risk Score]]</f>
        <v/>
      </c>
      <c r="AC77" s="79"/>
      <c r="AD77" s="206">
        <v>8.6</v>
      </c>
      <c r="AE77" s="194" t="s">
        <v>205</v>
      </c>
      <c r="AF77" s="194" t="s">
        <v>389</v>
      </c>
      <c r="AG77" s="213"/>
      <c r="AH77" s="13"/>
      <c r="AI77" s="22" t="str">
        <f>IFERROR(VLOOKUP(10*tblRiskRegister[[#This Row],[Risk Treatment Safeguard Maturity Score]]+tblRiskRegister[[#This Row],[VCDB Index]],tblHITIndexWeightTable[],4,FALSE),"")</f>
        <v/>
      </c>
      <c r="AJ77" s="302"/>
      <c r="AK77" s="302"/>
      <c r="AL77" s="302"/>
      <c r="AM77" s="302"/>
      <c r="AN77" s="100" t="str">
        <f>IFERROR(MAX(tblRiskRegister[[#This Row],[Risk Treatment Safeguard Impact to Mission]:[Risk Treatment Safeguard Impact to Obligations]])*tblRiskRegister[[#This Row],[Risk Treatment
Safeguard Expectancy Score]],"")</f>
        <v/>
      </c>
      <c r="AO77" s="203" t="str">
        <f>IF(tblRiskRegister[[#This Row],[Risk Score]]&gt;AcceptableRisk,IF(tblRiskRegister[[#This Row],[Risk Treatment Safeguard Risk Score]]&lt;AcceptableRisk, IF(tblRiskRegister[[#This Row],[Risk Treatment Safeguard Risk Score]]&lt;=tblRiskRegister[[#This Row],[Risk Score]],"Yes","No"),"No"),"Yes")</f>
        <v>No</v>
      </c>
      <c r="AP77" s="15"/>
      <c r="AQ77" s="15"/>
      <c r="AR77" s="16"/>
    </row>
    <row r="78" spans="2:44" ht="25.5" x14ac:dyDescent="0.2">
      <c r="B78" s="207">
        <v>8.6999999999999993</v>
      </c>
      <c r="C78" s="194" t="s">
        <v>206</v>
      </c>
      <c r="D78" s="88" t="s">
        <v>90</v>
      </c>
      <c r="E78" s="274" t="s">
        <v>656</v>
      </c>
      <c r="F78" s="14"/>
      <c r="G78" s="88" t="s">
        <v>463</v>
      </c>
      <c r="H78" s="88" t="s">
        <v>463</v>
      </c>
      <c r="I78" s="223"/>
      <c r="J78" s="292" t="s">
        <v>666</v>
      </c>
      <c r="K78" s="292" t="s">
        <v>666</v>
      </c>
      <c r="L78" s="292" t="s">
        <v>666</v>
      </c>
      <c r="M78" s="292" t="s">
        <v>666</v>
      </c>
      <c r="N78" s="292" t="s">
        <v>666</v>
      </c>
      <c r="O78" s="295">
        <f>COUNTIF(tblRiskRegister[[#This Row],[Defends Against Malware]:[Defends Against Targeted Intrusions]],"Yes")</f>
        <v>0</v>
      </c>
      <c r="P78" s="12"/>
      <c r="Q78" s="12"/>
      <c r="R78" s="12"/>
      <c r="S78" s="12"/>
      <c r="T78" s="13"/>
      <c r="U78" s="199">
        <f>IFERROR(VLOOKUP(tblRiskRegister[[#This Row],[Asset Class]],tblVCDBIndex[],4,FALSE),"")</f>
        <v>1</v>
      </c>
      <c r="V78" s="24" t="str">
        <f>IFERROR(VLOOKUP(10*tblRiskRegister[[#This Row],[Safeguard Maturity Score]]+tblRiskRegister[[#This Row],[VCDB Index]],tblHITIndexWeightTable[],4,FALSE),"")</f>
        <v/>
      </c>
      <c r="W78" s="301"/>
      <c r="X78" s="301"/>
      <c r="Y78" s="301"/>
      <c r="Z78" s="301"/>
      <c r="AA78" s="24" t="str">
        <f>IFERROR(MAX(tblRiskRegister[[#This Row],[Impact to Mission]:[Impact to Obligations]])*tblRiskRegister[[#This Row],[Expectancy Score]],"")</f>
        <v/>
      </c>
      <c r="AB78" s="24" t="str">
        <f>tblRiskRegister[[#This Row],[Risk Score]]</f>
        <v/>
      </c>
      <c r="AC78" s="79"/>
      <c r="AD78" s="206">
        <v>8.6999999999999993</v>
      </c>
      <c r="AE78" s="194" t="s">
        <v>206</v>
      </c>
      <c r="AF78" s="194" t="s">
        <v>390</v>
      </c>
      <c r="AG78" s="213"/>
      <c r="AH78" s="13"/>
      <c r="AI78" s="22" t="str">
        <f>IFERROR(VLOOKUP(10*tblRiskRegister[[#This Row],[Risk Treatment Safeguard Maturity Score]]+tblRiskRegister[[#This Row],[VCDB Index]],tblHITIndexWeightTable[],4,FALSE),"")</f>
        <v/>
      </c>
      <c r="AJ78" s="302"/>
      <c r="AK78" s="302"/>
      <c r="AL78" s="302"/>
      <c r="AM78" s="302"/>
      <c r="AN78" s="100" t="str">
        <f>IFERROR(MAX(tblRiskRegister[[#This Row],[Risk Treatment Safeguard Impact to Mission]:[Risk Treatment Safeguard Impact to Obligations]])*tblRiskRegister[[#This Row],[Risk Treatment
Safeguard Expectancy Score]],"")</f>
        <v/>
      </c>
      <c r="AO78" s="203" t="str">
        <f>IF(tblRiskRegister[[#This Row],[Risk Score]]&gt;AcceptableRisk,IF(tblRiskRegister[[#This Row],[Risk Treatment Safeguard Risk Score]]&lt;AcceptableRisk, IF(tblRiskRegister[[#This Row],[Risk Treatment Safeguard Risk Score]]&lt;=tblRiskRegister[[#This Row],[Risk Score]],"Yes","No"),"No"),"Yes")</f>
        <v>No</v>
      </c>
      <c r="AP78" s="15"/>
      <c r="AQ78" s="15"/>
      <c r="AR78" s="16"/>
    </row>
    <row r="79" spans="2:44" ht="25.5" x14ac:dyDescent="0.2">
      <c r="B79" s="207">
        <v>8.8000000000000007</v>
      </c>
      <c r="C79" s="194" t="s">
        <v>184</v>
      </c>
      <c r="D79" s="88" t="s">
        <v>88</v>
      </c>
      <c r="E79" s="274" t="s">
        <v>656</v>
      </c>
      <c r="F79" s="14"/>
      <c r="G79" s="88" t="s">
        <v>463</v>
      </c>
      <c r="H79" s="88" t="s">
        <v>463</v>
      </c>
      <c r="I79" s="223"/>
      <c r="J79" s="292" t="s">
        <v>666</v>
      </c>
      <c r="K79" s="292" t="s">
        <v>666</v>
      </c>
      <c r="L79" s="292" t="s">
        <v>666</v>
      </c>
      <c r="M79" s="292" t="s">
        <v>666</v>
      </c>
      <c r="N79" s="292" t="s">
        <v>666</v>
      </c>
      <c r="O79" s="295">
        <f>COUNTIF(tblRiskRegister[[#This Row],[Defends Against Malware]:[Defends Against Targeted Intrusions]],"Yes")</f>
        <v>0</v>
      </c>
      <c r="P79" s="12"/>
      <c r="Q79" s="12"/>
      <c r="R79" s="12"/>
      <c r="S79" s="12"/>
      <c r="T79" s="13"/>
      <c r="U79" s="199">
        <f>IFERROR(VLOOKUP(tblRiskRegister[[#This Row],[Asset Class]],tblVCDBIndex[],4,FALSE),"")</f>
        <v>1</v>
      </c>
      <c r="V79" s="24" t="str">
        <f>IFERROR(VLOOKUP(10*tblRiskRegister[[#This Row],[Safeguard Maturity Score]]+tblRiskRegister[[#This Row],[VCDB Index]],tblHITIndexWeightTable[],4,FALSE),"")</f>
        <v/>
      </c>
      <c r="W79" s="301"/>
      <c r="X79" s="301"/>
      <c r="Y79" s="301"/>
      <c r="Z79" s="301"/>
      <c r="AA79" s="24" t="str">
        <f>IFERROR(MAX(tblRiskRegister[[#This Row],[Impact to Mission]:[Impact to Obligations]])*tblRiskRegister[[#This Row],[Expectancy Score]],"")</f>
        <v/>
      </c>
      <c r="AB79" s="24" t="str">
        <f>tblRiskRegister[[#This Row],[Risk Score]]</f>
        <v/>
      </c>
      <c r="AC79" s="79"/>
      <c r="AD79" s="206">
        <v>8.8000000000000007</v>
      </c>
      <c r="AE79" s="194" t="s">
        <v>184</v>
      </c>
      <c r="AF79" s="194" t="s">
        <v>620</v>
      </c>
      <c r="AG79" s="213"/>
      <c r="AH79" s="13"/>
      <c r="AI79" s="22" t="str">
        <f>IFERROR(VLOOKUP(10*tblRiskRegister[[#This Row],[Risk Treatment Safeguard Maturity Score]]+tblRiskRegister[[#This Row],[VCDB Index]],tblHITIndexWeightTable[],4,FALSE),"")</f>
        <v/>
      </c>
      <c r="AJ79" s="302"/>
      <c r="AK79" s="302"/>
      <c r="AL79" s="302"/>
      <c r="AM79" s="302"/>
      <c r="AN79" s="100" t="str">
        <f>IFERROR(MAX(tblRiskRegister[[#This Row],[Risk Treatment Safeguard Impact to Mission]:[Risk Treatment Safeguard Impact to Obligations]])*tblRiskRegister[[#This Row],[Risk Treatment
Safeguard Expectancy Score]],"")</f>
        <v/>
      </c>
      <c r="AO79" s="203" t="str">
        <f>IF(tblRiskRegister[[#This Row],[Risk Score]]&gt;AcceptableRisk,IF(tblRiskRegister[[#This Row],[Risk Treatment Safeguard Risk Score]]&lt;AcceptableRisk, IF(tblRiskRegister[[#This Row],[Risk Treatment Safeguard Risk Score]]&lt;=tblRiskRegister[[#This Row],[Risk Score]],"Yes","No"),"No"),"Yes")</f>
        <v>No</v>
      </c>
      <c r="AP79" s="15"/>
      <c r="AQ79" s="15"/>
      <c r="AR79" s="16"/>
    </row>
    <row r="80" spans="2:44" x14ac:dyDescent="0.2">
      <c r="B80" s="207">
        <v>8.9</v>
      </c>
      <c r="C80" s="194" t="s">
        <v>207</v>
      </c>
      <c r="D80" s="88" t="s">
        <v>90</v>
      </c>
      <c r="E80" s="274" t="s">
        <v>656</v>
      </c>
      <c r="F80" s="14"/>
      <c r="G80" s="88" t="s">
        <v>463</v>
      </c>
      <c r="H80" s="88" t="s">
        <v>463</v>
      </c>
      <c r="I80" s="223"/>
      <c r="J80" s="293" t="s">
        <v>667</v>
      </c>
      <c r="K80" s="293" t="s">
        <v>667</v>
      </c>
      <c r="L80" s="293" t="s">
        <v>667</v>
      </c>
      <c r="M80" s="293" t="s">
        <v>667</v>
      </c>
      <c r="N80" s="293" t="s">
        <v>667</v>
      </c>
      <c r="O80" s="295">
        <f>COUNTIF(tblRiskRegister[[#This Row],[Defends Against Malware]:[Defends Against Targeted Intrusions]],"Yes")</f>
        <v>5</v>
      </c>
      <c r="P80" s="12"/>
      <c r="Q80" s="12"/>
      <c r="R80" s="12"/>
      <c r="S80" s="12"/>
      <c r="T80" s="13"/>
      <c r="U80" s="199">
        <f>IFERROR(VLOOKUP(tblRiskRegister[[#This Row],[Asset Class]],tblVCDBIndex[],4,FALSE),"")</f>
        <v>1</v>
      </c>
      <c r="V80" s="24" t="str">
        <f>IFERROR(VLOOKUP(10*tblRiskRegister[[#This Row],[Safeguard Maturity Score]]+tblRiskRegister[[#This Row],[VCDB Index]],tblHITIndexWeightTable[],4,FALSE),"")</f>
        <v/>
      </c>
      <c r="W80" s="301"/>
      <c r="X80" s="301"/>
      <c r="Y80" s="301"/>
      <c r="Z80" s="301"/>
      <c r="AA80" s="24" t="str">
        <f>IFERROR(MAX(tblRiskRegister[[#This Row],[Impact to Mission]:[Impact to Obligations]])*tblRiskRegister[[#This Row],[Expectancy Score]],"")</f>
        <v/>
      </c>
      <c r="AB80" s="24" t="str">
        <f>tblRiskRegister[[#This Row],[Risk Score]]</f>
        <v/>
      </c>
      <c r="AC80" s="79"/>
      <c r="AD80" s="206">
        <v>8.9</v>
      </c>
      <c r="AE80" s="194" t="s">
        <v>207</v>
      </c>
      <c r="AF80" s="194" t="s">
        <v>391</v>
      </c>
      <c r="AG80" s="213"/>
      <c r="AH80" s="13"/>
      <c r="AI80" s="22" t="str">
        <f>IFERROR(VLOOKUP(10*tblRiskRegister[[#This Row],[Risk Treatment Safeguard Maturity Score]]+tblRiskRegister[[#This Row],[VCDB Index]],tblHITIndexWeightTable[],4,FALSE),"")</f>
        <v/>
      </c>
      <c r="AJ80" s="302"/>
      <c r="AK80" s="302"/>
      <c r="AL80" s="302"/>
      <c r="AM80" s="302"/>
      <c r="AN80" s="100" t="str">
        <f>IFERROR(MAX(tblRiskRegister[[#This Row],[Risk Treatment Safeguard Impact to Mission]:[Risk Treatment Safeguard Impact to Obligations]])*tblRiskRegister[[#This Row],[Risk Treatment
Safeguard Expectancy Score]],"")</f>
        <v/>
      </c>
      <c r="AO80" s="203" t="str">
        <f>IF(tblRiskRegister[[#This Row],[Risk Score]]&gt;AcceptableRisk,IF(tblRiskRegister[[#This Row],[Risk Treatment Safeguard Risk Score]]&lt;AcceptableRisk, IF(tblRiskRegister[[#This Row],[Risk Treatment Safeguard Risk Score]]&lt;=tblRiskRegister[[#This Row],[Risk Score]],"Yes","No"),"No"),"Yes")</f>
        <v>No</v>
      </c>
      <c r="AP80" s="15"/>
      <c r="AQ80" s="15"/>
      <c r="AR80" s="16"/>
    </row>
    <row r="81" spans="2:44" x14ac:dyDescent="0.2">
      <c r="B81" s="207" t="s">
        <v>530</v>
      </c>
      <c r="C81" s="194" t="s">
        <v>208</v>
      </c>
      <c r="D81" s="88" t="s">
        <v>90</v>
      </c>
      <c r="E81" s="274" t="s">
        <v>657</v>
      </c>
      <c r="F81" s="14"/>
      <c r="G81" s="88" t="s">
        <v>463</v>
      </c>
      <c r="H81" s="88" t="s">
        <v>463</v>
      </c>
      <c r="I81" s="223"/>
      <c r="J81" s="293" t="s">
        <v>667</v>
      </c>
      <c r="K81" s="293" t="s">
        <v>667</v>
      </c>
      <c r="L81" s="293" t="s">
        <v>667</v>
      </c>
      <c r="M81" s="293" t="s">
        <v>667</v>
      </c>
      <c r="N81" s="293" t="s">
        <v>667</v>
      </c>
      <c r="O81" s="295">
        <f>COUNTIF(tblRiskRegister[[#This Row],[Defends Against Malware]:[Defends Against Targeted Intrusions]],"Yes")</f>
        <v>5</v>
      </c>
      <c r="P81" s="12"/>
      <c r="Q81" s="12"/>
      <c r="R81" s="12"/>
      <c r="S81" s="12"/>
      <c r="T81" s="13"/>
      <c r="U81" s="199">
        <f>IFERROR(VLOOKUP(tblRiskRegister[[#This Row],[Asset Class]],tblVCDBIndex[],4,FALSE),"")</f>
        <v>1</v>
      </c>
      <c r="V81" s="24" t="str">
        <f>IFERROR(VLOOKUP(10*tblRiskRegister[[#This Row],[Safeguard Maturity Score]]+tblRiskRegister[[#This Row],[VCDB Index]],tblHITIndexWeightTable[],4,FALSE),"")</f>
        <v/>
      </c>
      <c r="W81" s="301"/>
      <c r="X81" s="301"/>
      <c r="Y81" s="301"/>
      <c r="Z81" s="301"/>
      <c r="AA81" s="24" t="str">
        <f>IFERROR(MAX(tblRiskRegister[[#This Row],[Impact to Mission]:[Impact to Obligations]])*tblRiskRegister[[#This Row],[Expectancy Score]],"")</f>
        <v/>
      </c>
      <c r="AB81" s="24" t="str">
        <f>tblRiskRegister[[#This Row],[Risk Score]]</f>
        <v/>
      </c>
      <c r="AC81" s="79"/>
      <c r="AD81" s="206" t="s">
        <v>530</v>
      </c>
      <c r="AE81" s="194" t="s">
        <v>208</v>
      </c>
      <c r="AF81" s="194" t="s">
        <v>392</v>
      </c>
      <c r="AG81" s="213"/>
      <c r="AH81" s="13"/>
      <c r="AI81" s="22" t="str">
        <f>IFERROR(VLOOKUP(10*tblRiskRegister[[#This Row],[Risk Treatment Safeguard Maturity Score]]+tblRiskRegister[[#This Row],[VCDB Index]],tblHITIndexWeightTable[],4,FALSE),"")</f>
        <v/>
      </c>
      <c r="AJ81" s="302"/>
      <c r="AK81" s="302"/>
      <c r="AL81" s="302"/>
      <c r="AM81" s="302"/>
      <c r="AN81" s="100" t="str">
        <f>IFERROR(MAX(tblRiskRegister[[#This Row],[Risk Treatment Safeguard Impact to Mission]:[Risk Treatment Safeguard Impact to Obligations]])*tblRiskRegister[[#This Row],[Risk Treatment
Safeguard Expectancy Score]],"")</f>
        <v/>
      </c>
      <c r="AO81" s="203" t="str">
        <f>IF(tblRiskRegister[[#This Row],[Risk Score]]&gt;AcceptableRisk,IF(tblRiskRegister[[#This Row],[Risk Treatment Safeguard Risk Score]]&lt;AcceptableRisk, IF(tblRiskRegister[[#This Row],[Risk Treatment Safeguard Risk Score]]&lt;=tblRiskRegister[[#This Row],[Risk Score]],"Yes","No"),"No"),"Yes")</f>
        <v>No</v>
      </c>
      <c r="AP81" s="15"/>
      <c r="AQ81" s="15"/>
      <c r="AR81" s="16"/>
    </row>
    <row r="82" spans="2:44" ht="25.5" x14ac:dyDescent="0.2">
      <c r="B82" s="207">
        <v>8.11</v>
      </c>
      <c r="C82" s="194" t="s">
        <v>209</v>
      </c>
      <c r="D82" s="88" t="s">
        <v>90</v>
      </c>
      <c r="E82" s="274" t="s">
        <v>656</v>
      </c>
      <c r="F82" s="14"/>
      <c r="G82" s="88" t="s">
        <v>463</v>
      </c>
      <c r="H82" s="88" t="s">
        <v>463</v>
      </c>
      <c r="I82" s="223"/>
      <c r="J82" s="292" t="s">
        <v>666</v>
      </c>
      <c r="K82" s="292" t="s">
        <v>666</v>
      </c>
      <c r="L82" s="292" t="s">
        <v>666</v>
      </c>
      <c r="M82" s="292" t="s">
        <v>666</v>
      </c>
      <c r="N82" s="293" t="s">
        <v>667</v>
      </c>
      <c r="O82" s="295">
        <f>COUNTIF(tblRiskRegister[[#This Row],[Defends Against Malware]:[Defends Against Targeted Intrusions]],"Yes")</f>
        <v>1</v>
      </c>
      <c r="P82" s="12"/>
      <c r="Q82" s="12"/>
      <c r="R82" s="12"/>
      <c r="S82" s="12"/>
      <c r="T82" s="13"/>
      <c r="U82" s="199">
        <f>IFERROR(VLOOKUP(tblRiskRegister[[#This Row],[Asset Class]],tblVCDBIndex[],4,FALSE),"")</f>
        <v>1</v>
      </c>
      <c r="V82" s="24" t="str">
        <f>IFERROR(VLOOKUP(10*tblRiskRegister[[#This Row],[Safeguard Maturity Score]]+tblRiskRegister[[#This Row],[VCDB Index]],tblHITIndexWeightTable[],4,FALSE),"")</f>
        <v/>
      </c>
      <c r="W82" s="301"/>
      <c r="X82" s="301"/>
      <c r="Y82" s="301"/>
      <c r="Z82" s="301"/>
      <c r="AA82" s="24" t="str">
        <f>IFERROR(MAX(tblRiskRegister[[#This Row],[Impact to Mission]:[Impact to Obligations]])*tblRiskRegister[[#This Row],[Expectancy Score]],"")</f>
        <v/>
      </c>
      <c r="AB82" s="24" t="str">
        <f>tblRiskRegister[[#This Row],[Risk Score]]</f>
        <v/>
      </c>
      <c r="AC82" s="79"/>
      <c r="AD82" s="206">
        <v>8.11</v>
      </c>
      <c r="AE82" s="194" t="s">
        <v>209</v>
      </c>
      <c r="AF82" s="194" t="s">
        <v>393</v>
      </c>
      <c r="AG82" s="213"/>
      <c r="AH82" s="13"/>
      <c r="AI82" s="22" t="str">
        <f>IFERROR(VLOOKUP(10*tblRiskRegister[[#This Row],[Risk Treatment Safeguard Maturity Score]]+tblRiskRegister[[#This Row],[VCDB Index]],tblHITIndexWeightTable[],4,FALSE),"")</f>
        <v/>
      </c>
      <c r="AJ82" s="302"/>
      <c r="AK82" s="302"/>
      <c r="AL82" s="302"/>
      <c r="AM82" s="302"/>
      <c r="AN82" s="100" t="str">
        <f>IFERROR(MAX(tblRiskRegister[[#This Row],[Risk Treatment Safeguard Impact to Mission]:[Risk Treatment Safeguard Impact to Obligations]])*tblRiskRegister[[#This Row],[Risk Treatment
Safeguard Expectancy Score]],"")</f>
        <v/>
      </c>
      <c r="AO82" s="203" t="str">
        <f>IF(tblRiskRegister[[#This Row],[Risk Score]]&gt;AcceptableRisk,IF(tblRiskRegister[[#This Row],[Risk Treatment Safeguard Risk Score]]&lt;AcceptableRisk, IF(tblRiskRegister[[#This Row],[Risk Treatment Safeguard Risk Score]]&lt;=tblRiskRegister[[#This Row],[Risk Score]],"Yes","No"),"No"),"Yes")</f>
        <v>No</v>
      </c>
      <c r="AP82" s="15"/>
      <c r="AQ82" s="15"/>
      <c r="AR82" s="16"/>
    </row>
    <row r="83" spans="2:44" ht="38.25" x14ac:dyDescent="0.2">
      <c r="B83" s="207">
        <v>8.1199999999999992</v>
      </c>
      <c r="C83" s="194" t="s">
        <v>544</v>
      </c>
      <c r="D83" s="88" t="s">
        <v>87</v>
      </c>
      <c r="E83" s="274" t="s">
        <v>656</v>
      </c>
      <c r="F83" s="14"/>
      <c r="G83" s="88"/>
      <c r="H83" s="88" t="s">
        <v>463</v>
      </c>
      <c r="I83" s="223"/>
      <c r="J83" s="292" t="s">
        <v>666</v>
      </c>
      <c r="K83" s="292" t="s">
        <v>666</v>
      </c>
      <c r="L83" s="292" t="s">
        <v>666</v>
      </c>
      <c r="M83" s="292" t="s">
        <v>666</v>
      </c>
      <c r="N83" s="292" t="s">
        <v>666</v>
      </c>
      <c r="O83" s="295">
        <f>COUNTIF(tblRiskRegister[[#This Row],[Defends Against Malware]:[Defends Against Targeted Intrusions]],"Yes")</f>
        <v>0</v>
      </c>
      <c r="P83" s="12"/>
      <c r="Q83" s="12"/>
      <c r="R83" s="12"/>
      <c r="S83" s="12"/>
      <c r="T83" s="13"/>
      <c r="U83" s="199">
        <f>IFERROR(VLOOKUP(tblRiskRegister[[#This Row],[Asset Class]],tblVCDBIndex[],4,FALSE),"")</f>
        <v>3</v>
      </c>
      <c r="V83" s="24" t="str">
        <f>IFERROR(VLOOKUP(10*tblRiskRegister[[#This Row],[Safeguard Maturity Score]]+tblRiskRegister[[#This Row],[VCDB Index]],tblHITIndexWeightTable[],4,FALSE),"")</f>
        <v/>
      </c>
      <c r="W83" s="301"/>
      <c r="X83" s="301"/>
      <c r="Y83" s="301"/>
      <c r="Z83" s="301"/>
      <c r="AA83" s="24" t="str">
        <f>IFERROR(MAX(tblRiskRegister[[#This Row],[Impact to Mission]:[Impact to Obligations]])*tblRiskRegister[[#This Row],[Expectancy Score]],"")</f>
        <v/>
      </c>
      <c r="AB83" s="24" t="str">
        <f>tblRiskRegister[[#This Row],[Risk Score]]</f>
        <v/>
      </c>
      <c r="AC83" s="79"/>
      <c r="AD83" s="206">
        <v>8.1199999999999992</v>
      </c>
      <c r="AE83" s="194" t="s">
        <v>544</v>
      </c>
      <c r="AF83" s="194" t="s">
        <v>561</v>
      </c>
      <c r="AG83" s="213"/>
      <c r="AH83" s="13"/>
      <c r="AI83" s="22" t="str">
        <f>IFERROR(VLOOKUP(10*tblRiskRegister[[#This Row],[Risk Treatment Safeguard Maturity Score]]+tblRiskRegister[[#This Row],[VCDB Index]],tblHITIndexWeightTable[],4,FALSE),"")</f>
        <v/>
      </c>
      <c r="AJ83" s="302"/>
      <c r="AK83" s="302"/>
      <c r="AL83" s="302"/>
      <c r="AM83" s="302"/>
      <c r="AN83" s="100" t="str">
        <f>IFERROR(MAX(tblRiskRegister[[#This Row],[Risk Treatment Safeguard Impact to Mission]:[Risk Treatment Safeguard Impact to Obligations]])*tblRiskRegister[[#This Row],[Risk Treatment
Safeguard Expectancy Score]],"")</f>
        <v/>
      </c>
      <c r="AO83" s="203" t="str">
        <f>IF(tblRiskRegister[[#This Row],[Risk Score]]&gt;AcceptableRisk,IF(tblRiskRegister[[#This Row],[Risk Treatment Safeguard Risk Score]]&lt;AcceptableRisk, IF(tblRiskRegister[[#This Row],[Risk Treatment Safeguard Risk Score]]&lt;=tblRiskRegister[[#This Row],[Risk Score]],"Yes","No"),"No"),"Yes")</f>
        <v>No</v>
      </c>
      <c r="AP83" s="15"/>
      <c r="AQ83" s="15"/>
      <c r="AR83" s="16"/>
    </row>
    <row r="84" spans="2:44" ht="38.25" x14ac:dyDescent="0.2">
      <c r="B84" s="207">
        <v>9.1</v>
      </c>
      <c r="C84" s="194" t="s">
        <v>15</v>
      </c>
      <c r="D84" s="88" t="s">
        <v>89</v>
      </c>
      <c r="E84" s="274" t="s">
        <v>657</v>
      </c>
      <c r="F84" s="14" t="s">
        <v>463</v>
      </c>
      <c r="G84" s="88" t="s">
        <v>463</v>
      </c>
      <c r="H84" s="88" t="s">
        <v>463</v>
      </c>
      <c r="I84" s="223"/>
      <c r="J84" s="293" t="s">
        <v>667</v>
      </c>
      <c r="K84" s="293" t="s">
        <v>667</v>
      </c>
      <c r="L84" s="293" t="s">
        <v>667</v>
      </c>
      <c r="M84" s="292" t="s">
        <v>666</v>
      </c>
      <c r="N84" s="292" t="s">
        <v>666</v>
      </c>
      <c r="O84" s="295">
        <f>COUNTIF(tblRiskRegister[[#This Row],[Defends Against Malware]:[Defends Against Targeted Intrusions]],"Yes")</f>
        <v>3</v>
      </c>
      <c r="P84" s="12"/>
      <c r="Q84" s="12"/>
      <c r="R84" s="12"/>
      <c r="S84" s="12"/>
      <c r="T84" s="13"/>
      <c r="U84" s="199">
        <f>IFERROR(VLOOKUP(tblRiskRegister[[#This Row],[Asset Class]],tblVCDBIndex[],4,FALSE),"")</f>
        <v>1</v>
      </c>
      <c r="V84" s="24" t="str">
        <f>IFERROR(VLOOKUP(10*tblRiskRegister[[#This Row],[Safeguard Maturity Score]]+tblRiskRegister[[#This Row],[VCDB Index]],tblHITIndexWeightTable[],4,FALSE),"")</f>
        <v/>
      </c>
      <c r="W84" s="301"/>
      <c r="X84" s="301"/>
      <c r="Y84" s="301"/>
      <c r="Z84" s="301"/>
      <c r="AA84" s="24" t="str">
        <f>IFERROR(MAX(tblRiskRegister[[#This Row],[Impact to Mission]:[Impact to Obligations]])*tblRiskRegister[[#This Row],[Expectancy Score]],"")</f>
        <v/>
      </c>
      <c r="AB84" s="24" t="str">
        <f>tblRiskRegister[[#This Row],[Risk Score]]</f>
        <v/>
      </c>
      <c r="AC84" s="79"/>
      <c r="AD84" s="206">
        <v>9.1</v>
      </c>
      <c r="AE84" s="194" t="s">
        <v>15</v>
      </c>
      <c r="AF84" s="194" t="s">
        <v>394</v>
      </c>
      <c r="AG84" s="213"/>
      <c r="AH84" s="13"/>
      <c r="AI84" s="22" t="str">
        <f>IFERROR(VLOOKUP(10*tblRiskRegister[[#This Row],[Risk Treatment Safeguard Maturity Score]]+tblRiskRegister[[#This Row],[VCDB Index]],tblHITIndexWeightTable[],4,FALSE),"")</f>
        <v/>
      </c>
      <c r="AJ84" s="302"/>
      <c r="AK84" s="302"/>
      <c r="AL84" s="302"/>
      <c r="AM84" s="302"/>
      <c r="AN84" s="100" t="str">
        <f>IFERROR(MAX(tblRiskRegister[[#This Row],[Risk Treatment Safeguard Impact to Mission]:[Risk Treatment Safeguard Impact to Obligations]])*tblRiskRegister[[#This Row],[Risk Treatment
Safeguard Expectancy Score]],"")</f>
        <v/>
      </c>
      <c r="AO84" s="203" t="str">
        <f>IF(tblRiskRegister[[#This Row],[Risk Score]]&gt;AcceptableRisk,IF(tblRiskRegister[[#This Row],[Risk Treatment Safeguard Risk Score]]&lt;AcceptableRisk, IF(tblRiskRegister[[#This Row],[Risk Treatment Safeguard Risk Score]]&lt;=tblRiskRegister[[#This Row],[Risk Score]],"Yes","No"),"No"),"Yes")</f>
        <v>No</v>
      </c>
      <c r="AP84" s="15"/>
      <c r="AQ84" s="15"/>
      <c r="AR84" s="16"/>
    </row>
    <row r="85" spans="2:44" ht="25.5" x14ac:dyDescent="0.2">
      <c r="B85" s="207">
        <v>9.1999999999999993</v>
      </c>
      <c r="C85" s="194" t="s">
        <v>66</v>
      </c>
      <c r="D85" s="88" t="s">
        <v>90</v>
      </c>
      <c r="E85" s="274" t="s">
        <v>657</v>
      </c>
      <c r="F85" s="14" t="s">
        <v>463</v>
      </c>
      <c r="G85" s="88" t="s">
        <v>463</v>
      </c>
      <c r="H85" s="88" t="s">
        <v>463</v>
      </c>
      <c r="I85" s="223"/>
      <c r="J85" s="293" t="s">
        <v>667</v>
      </c>
      <c r="K85" s="293" t="s">
        <v>667</v>
      </c>
      <c r="L85" s="292" t="s">
        <v>666</v>
      </c>
      <c r="M85" s="292" t="s">
        <v>666</v>
      </c>
      <c r="N85" s="293" t="s">
        <v>667</v>
      </c>
      <c r="O85" s="295">
        <f>COUNTIF(tblRiskRegister[[#This Row],[Defends Against Malware]:[Defends Against Targeted Intrusions]],"Yes")</f>
        <v>3</v>
      </c>
      <c r="P85" s="12"/>
      <c r="Q85" s="12"/>
      <c r="R85" s="12"/>
      <c r="S85" s="12"/>
      <c r="T85" s="13"/>
      <c r="U85" s="199">
        <f>IFERROR(VLOOKUP(tblRiskRegister[[#This Row],[Asset Class]],tblVCDBIndex[],4,FALSE),"")</f>
        <v>1</v>
      </c>
      <c r="V85" s="24" t="str">
        <f>IFERROR(VLOOKUP(10*tblRiskRegister[[#This Row],[Safeguard Maturity Score]]+tblRiskRegister[[#This Row],[VCDB Index]],tblHITIndexWeightTable[],4,FALSE),"")</f>
        <v/>
      </c>
      <c r="W85" s="301"/>
      <c r="X85" s="301"/>
      <c r="Y85" s="301"/>
      <c r="Z85" s="301"/>
      <c r="AA85" s="24" t="str">
        <f>IFERROR(MAX(tblRiskRegister[[#This Row],[Impact to Mission]:[Impact to Obligations]])*tblRiskRegister[[#This Row],[Expectancy Score]],"")</f>
        <v/>
      </c>
      <c r="AB85" s="24" t="str">
        <f>tblRiskRegister[[#This Row],[Risk Score]]</f>
        <v/>
      </c>
      <c r="AC85" s="79"/>
      <c r="AD85" s="206">
        <v>9.1999999999999993</v>
      </c>
      <c r="AE85" s="194" t="s">
        <v>66</v>
      </c>
      <c r="AF85" s="194" t="s">
        <v>395</v>
      </c>
      <c r="AG85" s="213"/>
      <c r="AH85" s="13"/>
      <c r="AI85" s="22" t="str">
        <f>IFERROR(VLOOKUP(10*tblRiskRegister[[#This Row],[Risk Treatment Safeguard Maturity Score]]+tblRiskRegister[[#This Row],[VCDB Index]],tblHITIndexWeightTable[],4,FALSE),"")</f>
        <v/>
      </c>
      <c r="AJ85" s="302"/>
      <c r="AK85" s="302"/>
      <c r="AL85" s="302"/>
      <c r="AM85" s="302"/>
      <c r="AN85" s="100" t="str">
        <f>IFERROR(MAX(tblRiskRegister[[#This Row],[Risk Treatment Safeguard Impact to Mission]:[Risk Treatment Safeguard Impact to Obligations]])*tblRiskRegister[[#This Row],[Risk Treatment
Safeguard Expectancy Score]],"")</f>
        <v/>
      </c>
      <c r="AO85" s="203" t="str">
        <f>IF(tblRiskRegister[[#This Row],[Risk Score]]&gt;AcceptableRisk,IF(tblRiskRegister[[#This Row],[Risk Treatment Safeguard Risk Score]]&lt;AcceptableRisk, IF(tblRiskRegister[[#This Row],[Risk Treatment Safeguard Risk Score]]&lt;=tblRiskRegister[[#This Row],[Risk Score]],"Yes","No"),"No"),"Yes")</f>
        <v>No</v>
      </c>
      <c r="AP85" s="15"/>
      <c r="AQ85" s="15"/>
      <c r="AR85" s="16"/>
    </row>
    <row r="86" spans="2:44" ht="51" x14ac:dyDescent="0.2">
      <c r="B86" s="207">
        <v>9.3000000000000007</v>
      </c>
      <c r="C86" s="194" t="s">
        <v>210</v>
      </c>
      <c r="D86" s="88" t="s">
        <v>90</v>
      </c>
      <c r="E86" s="274" t="s">
        <v>657</v>
      </c>
      <c r="F86" s="14"/>
      <c r="G86" s="88" t="s">
        <v>463</v>
      </c>
      <c r="H86" s="88" t="s">
        <v>463</v>
      </c>
      <c r="I86" s="223"/>
      <c r="J86" s="293" t="s">
        <v>667</v>
      </c>
      <c r="K86" s="293" t="s">
        <v>667</v>
      </c>
      <c r="L86" s="293" t="s">
        <v>667</v>
      </c>
      <c r="M86" s="293" t="s">
        <v>667</v>
      </c>
      <c r="N86" s="293" t="s">
        <v>667</v>
      </c>
      <c r="O86" s="295">
        <f>COUNTIF(tblRiskRegister[[#This Row],[Defends Against Malware]:[Defends Against Targeted Intrusions]],"Yes")</f>
        <v>5</v>
      </c>
      <c r="P86" s="12"/>
      <c r="Q86" s="12"/>
      <c r="R86" s="12"/>
      <c r="S86" s="12"/>
      <c r="T86" s="13"/>
      <c r="U86" s="199">
        <f>IFERROR(VLOOKUP(tblRiskRegister[[#This Row],[Asset Class]],tblVCDBIndex[],4,FALSE),"")</f>
        <v>1</v>
      </c>
      <c r="V86" s="24" t="str">
        <f>IFERROR(VLOOKUP(10*tblRiskRegister[[#This Row],[Safeguard Maturity Score]]+tblRiskRegister[[#This Row],[VCDB Index]],tblHITIndexWeightTable[],4,FALSE),"")</f>
        <v/>
      </c>
      <c r="W86" s="301"/>
      <c r="X86" s="301"/>
      <c r="Y86" s="301"/>
      <c r="Z86" s="301"/>
      <c r="AA86" s="24" t="str">
        <f>IFERROR(MAX(tblRiskRegister[[#This Row],[Impact to Mission]:[Impact to Obligations]])*tblRiskRegister[[#This Row],[Expectancy Score]],"")</f>
        <v/>
      </c>
      <c r="AB86" s="24" t="str">
        <f>tblRiskRegister[[#This Row],[Risk Score]]</f>
        <v/>
      </c>
      <c r="AC86" s="79"/>
      <c r="AD86" s="206">
        <v>9.3000000000000007</v>
      </c>
      <c r="AE86" s="194" t="s">
        <v>210</v>
      </c>
      <c r="AF86" s="194" t="s">
        <v>396</v>
      </c>
      <c r="AG86" s="213"/>
      <c r="AH86" s="13"/>
      <c r="AI86" s="22" t="str">
        <f>IFERROR(VLOOKUP(10*tblRiskRegister[[#This Row],[Risk Treatment Safeguard Maturity Score]]+tblRiskRegister[[#This Row],[VCDB Index]],tblHITIndexWeightTable[],4,FALSE),"")</f>
        <v/>
      </c>
      <c r="AJ86" s="302"/>
      <c r="AK86" s="302"/>
      <c r="AL86" s="302"/>
      <c r="AM86" s="302"/>
      <c r="AN86" s="100" t="str">
        <f>IFERROR(MAX(tblRiskRegister[[#This Row],[Risk Treatment Safeguard Impact to Mission]:[Risk Treatment Safeguard Impact to Obligations]])*tblRiskRegister[[#This Row],[Risk Treatment
Safeguard Expectancy Score]],"")</f>
        <v/>
      </c>
      <c r="AO86" s="203" t="str">
        <f>IF(tblRiskRegister[[#This Row],[Risk Score]]&gt;AcceptableRisk,IF(tblRiskRegister[[#This Row],[Risk Treatment Safeguard Risk Score]]&lt;AcceptableRisk, IF(tblRiskRegister[[#This Row],[Risk Treatment Safeguard Risk Score]]&lt;=tblRiskRegister[[#This Row],[Risk Score]],"Yes","No"),"No"),"Yes")</f>
        <v>No</v>
      </c>
      <c r="AP86" s="15"/>
      <c r="AQ86" s="15"/>
      <c r="AR86" s="16"/>
    </row>
    <row r="87" spans="2:44" ht="51" x14ac:dyDescent="0.2">
      <c r="B87" s="207">
        <v>9.4</v>
      </c>
      <c r="C87" s="194" t="s">
        <v>161</v>
      </c>
      <c r="D87" s="88" t="s">
        <v>89</v>
      </c>
      <c r="E87" s="274" t="s">
        <v>657</v>
      </c>
      <c r="F87" s="14"/>
      <c r="G87" s="88" t="s">
        <v>463</v>
      </c>
      <c r="H87" s="88" t="s">
        <v>463</v>
      </c>
      <c r="I87" s="223"/>
      <c r="J87" s="293" t="s">
        <v>667</v>
      </c>
      <c r="K87" s="293" t="s">
        <v>667</v>
      </c>
      <c r="L87" s="293" t="s">
        <v>667</v>
      </c>
      <c r="M87" s="292" t="s">
        <v>666</v>
      </c>
      <c r="N87" s="292" t="s">
        <v>666</v>
      </c>
      <c r="O87" s="295">
        <f>COUNTIF(tblRiskRegister[[#This Row],[Defends Against Malware]:[Defends Against Targeted Intrusions]],"Yes")</f>
        <v>3</v>
      </c>
      <c r="P87" s="12"/>
      <c r="Q87" s="12"/>
      <c r="R87" s="12"/>
      <c r="S87" s="12"/>
      <c r="T87" s="13"/>
      <c r="U87" s="199">
        <f>IFERROR(VLOOKUP(tblRiskRegister[[#This Row],[Asset Class]],tblVCDBIndex[],4,FALSE),"")</f>
        <v>1</v>
      </c>
      <c r="V87" s="24" t="str">
        <f>IFERROR(VLOOKUP(10*tblRiskRegister[[#This Row],[Safeguard Maturity Score]]+tblRiskRegister[[#This Row],[VCDB Index]],tblHITIndexWeightTable[],4,FALSE),"")</f>
        <v/>
      </c>
      <c r="W87" s="301"/>
      <c r="X87" s="301"/>
      <c r="Y87" s="301"/>
      <c r="Z87" s="301"/>
      <c r="AA87" s="24" t="str">
        <f>IFERROR(MAX(tblRiskRegister[[#This Row],[Impact to Mission]:[Impact to Obligations]])*tblRiskRegister[[#This Row],[Expectancy Score]],"")</f>
        <v/>
      </c>
      <c r="AB87" s="24" t="str">
        <f>tblRiskRegister[[#This Row],[Risk Score]]</f>
        <v/>
      </c>
      <c r="AC87" s="79"/>
      <c r="AD87" s="206">
        <v>9.4</v>
      </c>
      <c r="AE87" s="194" t="s">
        <v>161</v>
      </c>
      <c r="AF87" s="194" t="s">
        <v>397</v>
      </c>
      <c r="AG87" s="213"/>
      <c r="AH87" s="13"/>
      <c r="AI87" s="22" t="str">
        <f>IFERROR(VLOOKUP(10*tblRiskRegister[[#This Row],[Risk Treatment Safeguard Maturity Score]]+tblRiskRegister[[#This Row],[VCDB Index]],tblHITIndexWeightTable[],4,FALSE),"")</f>
        <v/>
      </c>
      <c r="AJ87" s="302"/>
      <c r="AK87" s="302"/>
      <c r="AL87" s="302"/>
      <c r="AM87" s="302"/>
      <c r="AN87" s="100" t="str">
        <f>IFERROR(MAX(tblRiskRegister[[#This Row],[Risk Treatment Safeguard Impact to Mission]:[Risk Treatment Safeguard Impact to Obligations]])*tblRiskRegister[[#This Row],[Risk Treatment
Safeguard Expectancy Score]],"")</f>
        <v/>
      </c>
      <c r="AO87" s="203" t="str">
        <f>IF(tblRiskRegister[[#This Row],[Risk Score]]&gt;AcceptableRisk,IF(tblRiskRegister[[#This Row],[Risk Treatment Safeguard Risk Score]]&lt;AcceptableRisk, IF(tblRiskRegister[[#This Row],[Risk Treatment Safeguard Risk Score]]&lt;=tblRiskRegister[[#This Row],[Risk Score]],"Yes","No"),"No"),"Yes")</f>
        <v>No</v>
      </c>
      <c r="AP87" s="15"/>
      <c r="AQ87" s="15"/>
      <c r="AR87" s="16"/>
    </row>
    <row r="88" spans="2:44" ht="38.25" x14ac:dyDescent="0.2">
      <c r="B88" s="207">
        <v>9.5</v>
      </c>
      <c r="C88" s="194" t="s">
        <v>211</v>
      </c>
      <c r="D88" s="88" t="s">
        <v>90</v>
      </c>
      <c r="E88" s="274" t="s">
        <v>657</v>
      </c>
      <c r="F88" s="14"/>
      <c r="G88" s="88" t="s">
        <v>463</v>
      </c>
      <c r="H88" s="88" t="s">
        <v>463</v>
      </c>
      <c r="I88" s="223"/>
      <c r="J88" s="292" t="s">
        <v>666</v>
      </c>
      <c r="K88" s="292" t="s">
        <v>666</v>
      </c>
      <c r="L88" s="292" t="s">
        <v>666</v>
      </c>
      <c r="M88" s="292" t="s">
        <v>666</v>
      </c>
      <c r="N88" s="292" t="s">
        <v>666</v>
      </c>
      <c r="O88" s="295">
        <f>COUNTIF(tblRiskRegister[[#This Row],[Defends Against Malware]:[Defends Against Targeted Intrusions]],"Yes")</f>
        <v>0</v>
      </c>
      <c r="P88" s="12"/>
      <c r="Q88" s="12"/>
      <c r="R88" s="12"/>
      <c r="S88" s="12"/>
      <c r="T88" s="13"/>
      <c r="U88" s="199">
        <f>IFERROR(VLOOKUP(tblRiskRegister[[#This Row],[Asset Class]],tblVCDBIndex[],4,FALSE),"")</f>
        <v>1</v>
      </c>
      <c r="V88" s="24" t="str">
        <f>IFERROR(VLOOKUP(10*tblRiskRegister[[#This Row],[Safeguard Maturity Score]]+tblRiskRegister[[#This Row],[VCDB Index]],tblHITIndexWeightTable[],4,FALSE),"")</f>
        <v/>
      </c>
      <c r="W88" s="301"/>
      <c r="X88" s="301"/>
      <c r="Y88" s="301"/>
      <c r="Z88" s="301"/>
      <c r="AA88" s="24" t="str">
        <f>IFERROR(MAX(tblRiskRegister[[#This Row],[Impact to Mission]:[Impact to Obligations]])*tblRiskRegister[[#This Row],[Expectancy Score]],"")</f>
        <v/>
      </c>
      <c r="AB88" s="24" t="str">
        <f>tblRiskRegister[[#This Row],[Risk Score]]</f>
        <v/>
      </c>
      <c r="AC88" s="79"/>
      <c r="AD88" s="206">
        <v>9.5</v>
      </c>
      <c r="AE88" s="194" t="s">
        <v>211</v>
      </c>
      <c r="AF88" s="194" t="s">
        <v>398</v>
      </c>
      <c r="AG88" s="213"/>
      <c r="AH88" s="13"/>
      <c r="AI88" s="22" t="str">
        <f>IFERROR(VLOOKUP(10*tblRiskRegister[[#This Row],[Risk Treatment Safeguard Maturity Score]]+tblRiskRegister[[#This Row],[VCDB Index]],tblHITIndexWeightTable[],4,FALSE),"")</f>
        <v/>
      </c>
      <c r="AJ88" s="302"/>
      <c r="AK88" s="302"/>
      <c r="AL88" s="302"/>
      <c r="AM88" s="302"/>
      <c r="AN88" s="100" t="str">
        <f>IFERROR(MAX(tblRiskRegister[[#This Row],[Risk Treatment Safeguard Impact to Mission]:[Risk Treatment Safeguard Impact to Obligations]])*tblRiskRegister[[#This Row],[Risk Treatment
Safeguard Expectancy Score]],"")</f>
        <v/>
      </c>
      <c r="AO88" s="203" t="str">
        <f>IF(tblRiskRegister[[#This Row],[Risk Score]]&gt;AcceptableRisk,IF(tblRiskRegister[[#This Row],[Risk Treatment Safeguard Risk Score]]&lt;AcceptableRisk, IF(tblRiskRegister[[#This Row],[Risk Treatment Safeguard Risk Score]]&lt;=tblRiskRegister[[#This Row],[Risk Score]],"Yes","No"),"No"),"Yes")</f>
        <v>No</v>
      </c>
      <c r="AP88" s="15"/>
      <c r="AQ88" s="15"/>
      <c r="AR88" s="16"/>
    </row>
    <row r="89" spans="2:44" ht="25.5" x14ac:dyDescent="0.2">
      <c r="B89" s="207">
        <v>9.6</v>
      </c>
      <c r="C89" s="194" t="s">
        <v>212</v>
      </c>
      <c r="D89" s="88" t="s">
        <v>90</v>
      </c>
      <c r="E89" s="274" t="s">
        <v>657</v>
      </c>
      <c r="F89" s="14"/>
      <c r="G89" s="88" t="s">
        <v>463</v>
      </c>
      <c r="H89" s="88" t="s">
        <v>463</v>
      </c>
      <c r="I89" s="223"/>
      <c r="J89" s="293" t="s">
        <v>667</v>
      </c>
      <c r="K89" s="293" t="s">
        <v>667</v>
      </c>
      <c r="L89" s="293" t="s">
        <v>667</v>
      </c>
      <c r="M89" s="293" t="s">
        <v>667</v>
      </c>
      <c r="N89" s="293" t="s">
        <v>667</v>
      </c>
      <c r="O89" s="295">
        <f>COUNTIF(tblRiskRegister[[#This Row],[Defends Against Malware]:[Defends Against Targeted Intrusions]],"Yes")</f>
        <v>5</v>
      </c>
      <c r="P89" s="12"/>
      <c r="Q89" s="12"/>
      <c r="R89" s="12"/>
      <c r="S89" s="12"/>
      <c r="T89" s="13"/>
      <c r="U89" s="199">
        <f>IFERROR(VLOOKUP(tblRiskRegister[[#This Row],[Asset Class]],tblVCDBIndex[],4,FALSE),"")</f>
        <v>1</v>
      </c>
      <c r="V89" s="24" t="str">
        <f>IFERROR(VLOOKUP(10*tblRiskRegister[[#This Row],[Safeguard Maturity Score]]+tblRiskRegister[[#This Row],[VCDB Index]],tblHITIndexWeightTable[],4,FALSE),"")</f>
        <v/>
      </c>
      <c r="W89" s="301"/>
      <c r="X89" s="301"/>
      <c r="Y89" s="301"/>
      <c r="Z89" s="301"/>
      <c r="AA89" s="24" t="str">
        <f>IFERROR(MAX(tblRiskRegister[[#This Row],[Impact to Mission]:[Impact to Obligations]])*tblRiskRegister[[#This Row],[Expectancy Score]],"")</f>
        <v/>
      </c>
      <c r="AB89" s="24" t="str">
        <f>tblRiskRegister[[#This Row],[Risk Score]]</f>
        <v/>
      </c>
      <c r="AC89" s="79"/>
      <c r="AD89" s="206">
        <v>9.6</v>
      </c>
      <c r="AE89" s="194" t="s">
        <v>212</v>
      </c>
      <c r="AF89" s="194" t="s">
        <v>399</v>
      </c>
      <c r="AG89" s="213"/>
      <c r="AH89" s="13"/>
      <c r="AI89" s="22" t="str">
        <f>IFERROR(VLOOKUP(10*tblRiskRegister[[#This Row],[Risk Treatment Safeguard Maturity Score]]+tblRiskRegister[[#This Row],[VCDB Index]],tblHITIndexWeightTable[],4,FALSE),"")</f>
        <v/>
      </c>
      <c r="AJ89" s="302"/>
      <c r="AK89" s="302"/>
      <c r="AL89" s="302"/>
      <c r="AM89" s="302"/>
      <c r="AN89" s="100" t="str">
        <f>IFERROR(MAX(tblRiskRegister[[#This Row],[Risk Treatment Safeguard Impact to Mission]:[Risk Treatment Safeguard Impact to Obligations]])*tblRiskRegister[[#This Row],[Risk Treatment
Safeguard Expectancy Score]],"")</f>
        <v/>
      </c>
      <c r="AO89" s="203" t="str">
        <f>IF(tblRiskRegister[[#This Row],[Risk Score]]&gt;AcceptableRisk,IF(tblRiskRegister[[#This Row],[Risk Treatment Safeguard Risk Score]]&lt;AcceptableRisk, IF(tblRiskRegister[[#This Row],[Risk Treatment Safeguard Risk Score]]&lt;=tblRiskRegister[[#This Row],[Risk Score]],"Yes","No"),"No"),"Yes")</f>
        <v>No</v>
      </c>
      <c r="AP89" s="15"/>
      <c r="AQ89" s="15"/>
      <c r="AR89" s="16"/>
    </row>
    <row r="90" spans="2:44" ht="38.25" x14ac:dyDescent="0.2">
      <c r="B90" s="207">
        <v>9.6999999999999993</v>
      </c>
      <c r="C90" s="194" t="s">
        <v>529</v>
      </c>
      <c r="D90" s="88" t="s">
        <v>90</v>
      </c>
      <c r="E90" s="274" t="s">
        <v>657</v>
      </c>
      <c r="F90" s="14"/>
      <c r="G90" s="88"/>
      <c r="H90" s="88" t="s">
        <v>463</v>
      </c>
      <c r="I90" s="223"/>
      <c r="J90" s="293" t="s">
        <v>667</v>
      </c>
      <c r="K90" s="293" t="s">
        <v>667</v>
      </c>
      <c r="L90" s="293" t="s">
        <v>667</v>
      </c>
      <c r="M90" s="293" t="s">
        <v>667</v>
      </c>
      <c r="N90" s="293" t="s">
        <v>667</v>
      </c>
      <c r="O90" s="295">
        <f>COUNTIF(tblRiskRegister[[#This Row],[Defends Against Malware]:[Defends Against Targeted Intrusions]],"Yes")</f>
        <v>5</v>
      </c>
      <c r="P90" s="12"/>
      <c r="Q90" s="12"/>
      <c r="R90" s="12"/>
      <c r="S90" s="12"/>
      <c r="T90" s="13"/>
      <c r="U90" s="199">
        <f>IFERROR(VLOOKUP(tblRiskRegister[[#This Row],[Asset Class]],tblVCDBIndex[],4,FALSE),"")</f>
        <v>1</v>
      </c>
      <c r="V90" s="24" t="str">
        <f>IFERROR(VLOOKUP(10*tblRiskRegister[[#This Row],[Safeguard Maturity Score]]+tblRiskRegister[[#This Row],[VCDB Index]],tblHITIndexWeightTable[],4,FALSE),"")</f>
        <v/>
      </c>
      <c r="W90" s="301"/>
      <c r="X90" s="301"/>
      <c r="Y90" s="301"/>
      <c r="Z90" s="301"/>
      <c r="AA90" s="24" t="str">
        <f>IFERROR(MAX(tblRiskRegister[[#This Row],[Impact to Mission]:[Impact to Obligations]])*tblRiskRegister[[#This Row],[Expectancy Score]],"")</f>
        <v/>
      </c>
      <c r="AB90" s="24" t="str">
        <f>tblRiskRegister[[#This Row],[Risk Score]]</f>
        <v/>
      </c>
      <c r="AC90" s="79"/>
      <c r="AD90" s="206">
        <v>9.6999999999999993</v>
      </c>
      <c r="AE90" s="194" t="s">
        <v>529</v>
      </c>
      <c r="AF90" s="194" t="s">
        <v>562</v>
      </c>
      <c r="AG90" s="213"/>
      <c r="AH90" s="13"/>
      <c r="AI90" s="22" t="str">
        <f>IFERROR(VLOOKUP(10*tblRiskRegister[[#This Row],[Risk Treatment Safeguard Maturity Score]]+tblRiskRegister[[#This Row],[VCDB Index]],tblHITIndexWeightTable[],4,FALSE),"")</f>
        <v/>
      </c>
      <c r="AJ90" s="302"/>
      <c r="AK90" s="302"/>
      <c r="AL90" s="302"/>
      <c r="AM90" s="302"/>
      <c r="AN90" s="100" t="str">
        <f>IFERROR(MAX(tblRiskRegister[[#This Row],[Risk Treatment Safeguard Impact to Mission]:[Risk Treatment Safeguard Impact to Obligations]])*tblRiskRegister[[#This Row],[Risk Treatment
Safeguard Expectancy Score]],"")</f>
        <v/>
      </c>
      <c r="AO90" s="203" t="str">
        <f>IF(tblRiskRegister[[#This Row],[Risk Score]]&gt;AcceptableRisk,IF(tblRiskRegister[[#This Row],[Risk Treatment Safeguard Risk Score]]&lt;AcceptableRisk, IF(tblRiskRegister[[#This Row],[Risk Treatment Safeguard Risk Score]]&lt;=tblRiskRegister[[#This Row],[Risk Score]],"Yes","No"),"No"),"Yes")</f>
        <v>No</v>
      </c>
      <c r="AP90" s="15"/>
      <c r="AQ90" s="15"/>
      <c r="AR90" s="16"/>
    </row>
    <row r="91" spans="2:44" ht="25.5" x14ac:dyDescent="0.2">
      <c r="B91" s="207">
        <v>10.1</v>
      </c>
      <c r="C91" s="194" t="s">
        <v>67</v>
      </c>
      <c r="D91" s="88" t="s">
        <v>88</v>
      </c>
      <c r="E91" s="274" t="s">
        <v>657</v>
      </c>
      <c r="F91" s="14" t="s">
        <v>463</v>
      </c>
      <c r="G91" s="88" t="s">
        <v>463</v>
      </c>
      <c r="H91" s="88" t="s">
        <v>463</v>
      </c>
      <c r="I91" s="223"/>
      <c r="J91" s="293" t="s">
        <v>667</v>
      </c>
      <c r="K91" s="293" t="s">
        <v>667</v>
      </c>
      <c r="L91" s="293" t="s">
        <v>667</v>
      </c>
      <c r="M91" s="293" t="s">
        <v>667</v>
      </c>
      <c r="N91" s="293" t="s">
        <v>667</v>
      </c>
      <c r="O91" s="295">
        <f>COUNTIF(tblRiskRegister[[#This Row],[Defends Against Malware]:[Defends Against Targeted Intrusions]],"Yes")</f>
        <v>5</v>
      </c>
      <c r="P91" s="12"/>
      <c r="Q91" s="12"/>
      <c r="R91" s="12"/>
      <c r="S91" s="12"/>
      <c r="T91" s="13"/>
      <c r="U91" s="199">
        <f>IFERROR(VLOOKUP(tblRiskRegister[[#This Row],[Asset Class]],tblVCDBIndex[],4,FALSE),"")</f>
        <v>1</v>
      </c>
      <c r="V91" s="24" t="str">
        <f>IFERROR(VLOOKUP(10*tblRiskRegister[[#This Row],[Safeguard Maturity Score]]+tblRiskRegister[[#This Row],[VCDB Index]],tblHITIndexWeightTable[],4,FALSE),"")</f>
        <v/>
      </c>
      <c r="W91" s="301"/>
      <c r="X91" s="301"/>
      <c r="Y91" s="301"/>
      <c r="Z91" s="301"/>
      <c r="AA91" s="24" t="str">
        <f>IFERROR(MAX(tblRiskRegister[[#This Row],[Impact to Mission]:[Impact to Obligations]])*tblRiskRegister[[#This Row],[Expectancy Score]],"")</f>
        <v/>
      </c>
      <c r="AB91" s="24" t="str">
        <f>tblRiskRegister[[#This Row],[Risk Score]]</f>
        <v/>
      </c>
      <c r="AC91" s="79"/>
      <c r="AD91" s="206">
        <v>10.1</v>
      </c>
      <c r="AE91" s="194" t="s">
        <v>67</v>
      </c>
      <c r="AF91" s="194" t="s">
        <v>400</v>
      </c>
      <c r="AG91" s="213"/>
      <c r="AH91" s="13"/>
      <c r="AI91" s="22" t="str">
        <f>IFERROR(VLOOKUP(10*tblRiskRegister[[#This Row],[Risk Treatment Safeguard Maturity Score]]+tblRiskRegister[[#This Row],[VCDB Index]],tblHITIndexWeightTable[],4,FALSE),"")</f>
        <v/>
      </c>
      <c r="AJ91" s="302"/>
      <c r="AK91" s="302"/>
      <c r="AL91" s="302"/>
      <c r="AM91" s="302"/>
      <c r="AN91" s="100" t="str">
        <f>IFERROR(MAX(tblRiskRegister[[#This Row],[Risk Treatment Safeguard Impact to Mission]:[Risk Treatment Safeguard Impact to Obligations]])*tblRiskRegister[[#This Row],[Risk Treatment
Safeguard Expectancy Score]],"")</f>
        <v/>
      </c>
      <c r="AO91" s="203" t="str">
        <f>IF(tblRiskRegister[[#This Row],[Risk Score]]&gt;AcceptableRisk,IF(tblRiskRegister[[#This Row],[Risk Treatment Safeguard Risk Score]]&lt;AcceptableRisk, IF(tblRiskRegister[[#This Row],[Risk Treatment Safeguard Risk Score]]&lt;=tblRiskRegister[[#This Row],[Risk Score]],"Yes","No"),"No"),"Yes")</f>
        <v>No</v>
      </c>
      <c r="AP91" s="15"/>
      <c r="AQ91" s="15"/>
      <c r="AR91" s="16"/>
    </row>
    <row r="92" spans="2:44" ht="38.25" x14ac:dyDescent="0.2">
      <c r="B92" s="207">
        <v>10.199999999999999</v>
      </c>
      <c r="C92" s="194" t="s">
        <v>68</v>
      </c>
      <c r="D92" s="88" t="s">
        <v>88</v>
      </c>
      <c r="E92" s="274" t="s">
        <v>657</v>
      </c>
      <c r="F92" s="14" t="s">
        <v>463</v>
      </c>
      <c r="G92" s="88" t="s">
        <v>463</v>
      </c>
      <c r="H92" s="88" t="s">
        <v>463</v>
      </c>
      <c r="I92" s="223"/>
      <c r="J92" s="293" t="s">
        <v>667</v>
      </c>
      <c r="K92" s="293" t="s">
        <v>667</v>
      </c>
      <c r="L92" s="293" t="s">
        <v>667</v>
      </c>
      <c r="M92" s="293" t="s">
        <v>667</v>
      </c>
      <c r="N92" s="293" t="s">
        <v>667</v>
      </c>
      <c r="O92" s="295">
        <f>COUNTIF(tblRiskRegister[[#This Row],[Defends Against Malware]:[Defends Against Targeted Intrusions]],"Yes")</f>
        <v>5</v>
      </c>
      <c r="P92" s="12"/>
      <c r="Q92" s="12"/>
      <c r="R92" s="12"/>
      <c r="S92" s="12"/>
      <c r="T92" s="13"/>
      <c r="U92" s="199">
        <f>IFERROR(VLOOKUP(tblRiskRegister[[#This Row],[Asset Class]],tblVCDBIndex[],4,FALSE),"")</f>
        <v>1</v>
      </c>
      <c r="V92" s="24" t="str">
        <f>IFERROR(VLOOKUP(10*tblRiskRegister[[#This Row],[Safeguard Maturity Score]]+tblRiskRegister[[#This Row],[VCDB Index]],tblHITIndexWeightTable[],4,FALSE),"")</f>
        <v/>
      </c>
      <c r="W92" s="301"/>
      <c r="X92" s="301"/>
      <c r="Y92" s="301"/>
      <c r="Z92" s="301"/>
      <c r="AA92" s="24" t="str">
        <f>IFERROR(MAX(tblRiskRegister[[#This Row],[Impact to Mission]:[Impact to Obligations]])*tblRiskRegister[[#This Row],[Expectancy Score]],"")</f>
        <v/>
      </c>
      <c r="AB92" s="24" t="str">
        <f>tblRiskRegister[[#This Row],[Risk Score]]</f>
        <v/>
      </c>
      <c r="AC92" s="79"/>
      <c r="AD92" s="206">
        <v>10.199999999999999</v>
      </c>
      <c r="AE92" s="194" t="s">
        <v>68</v>
      </c>
      <c r="AF92" s="194" t="s">
        <v>401</v>
      </c>
      <c r="AG92" s="213"/>
      <c r="AH92" s="13"/>
      <c r="AI92" s="22" t="str">
        <f>IFERROR(VLOOKUP(10*tblRiskRegister[[#This Row],[Risk Treatment Safeguard Maturity Score]]+tblRiskRegister[[#This Row],[VCDB Index]],tblHITIndexWeightTable[],4,FALSE),"")</f>
        <v/>
      </c>
      <c r="AJ92" s="302"/>
      <c r="AK92" s="302"/>
      <c r="AL92" s="302"/>
      <c r="AM92" s="302"/>
      <c r="AN92" s="100" t="str">
        <f>IFERROR(MAX(tblRiskRegister[[#This Row],[Risk Treatment Safeguard Impact to Mission]:[Risk Treatment Safeguard Impact to Obligations]])*tblRiskRegister[[#This Row],[Risk Treatment
Safeguard Expectancy Score]],"")</f>
        <v/>
      </c>
      <c r="AO92" s="203" t="str">
        <f>IF(tblRiskRegister[[#This Row],[Risk Score]]&gt;AcceptableRisk,IF(tblRiskRegister[[#This Row],[Risk Treatment Safeguard Risk Score]]&lt;AcceptableRisk, IF(tblRiskRegister[[#This Row],[Risk Treatment Safeguard Risk Score]]&lt;=tblRiskRegister[[#This Row],[Risk Score]],"Yes","No"),"No"),"Yes")</f>
        <v>No</v>
      </c>
      <c r="AP92" s="15"/>
      <c r="AQ92" s="15"/>
      <c r="AR92" s="16"/>
    </row>
    <row r="93" spans="2:44" ht="38.25" x14ac:dyDescent="0.2">
      <c r="B93" s="207">
        <v>10.3</v>
      </c>
      <c r="C93" s="194" t="s">
        <v>69</v>
      </c>
      <c r="D93" s="88" t="s">
        <v>88</v>
      </c>
      <c r="E93" s="274" t="s">
        <v>657</v>
      </c>
      <c r="F93" s="14" t="s">
        <v>463</v>
      </c>
      <c r="G93" s="88" t="s">
        <v>463</v>
      </c>
      <c r="H93" s="88" t="s">
        <v>463</v>
      </c>
      <c r="I93" s="223"/>
      <c r="J93" s="293" t="s">
        <v>667</v>
      </c>
      <c r="K93" s="293" t="s">
        <v>667</v>
      </c>
      <c r="L93" s="293" t="s">
        <v>667</v>
      </c>
      <c r="M93" s="293" t="s">
        <v>667</v>
      </c>
      <c r="N93" s="292" t="s">
        <v>666</v>
      </c>
      <c r="O93" s="295">
        <f>COUNTIF(tblRiskRegister[[#This Row],[Defends Against Malware]:[Defends Against Targeted Intrusions]],"Yes")</f>
        <v>4</v>
      </c>
      <c r="P93" s="12"/>
      <c r="Q93" s="12"/>
      <c r="R93" s="12"/>
      <c r="S93" s="12"/>
      <c r="T93" s="13"/>
      <c r="U93" s="199">
        <f>IFERROR(VLOOKUP(tblRiskRegister[[#This Row],[Asset Class]],tblVCDBIndex[],4,FALSE),"")</f>
        <v>1</v>
      </c>
      <c r="V93" s="24" t="str">
        <f>IFERROR(VLOOKUP(10*tblRiskRegister[[#This Row],[Safeguard Maturity Score]]+tblRiskRegister[[#This Row],[VCDB Index]],tblHITIndexWeightTable[],4,FALSE),"")</f>
        <v/>
      </c>
      <c r="W93" s="301"/>
      <c r="X93" s="301"/>
      <c r="Y93" s="301"/>
      <c r="Z93" s="301"/>
      <c r="AA93" s="24" t="str">
        <f>IFERROR(MAX(tblRiskRegister[[#This Row],[Impact to Mission]:[Impact to Obligations]])*tblRiskRegister[[#This Row],[Expectancy Score]],"")</f>
        <v/>
      </c>
      <c r="AB93" s="24" t="str">
        <f>tblRiskRegister[[#This Row],[Risk Score]]</f>
        <v/>
      </c>
      <c r="AC93" s="79"/>
      <c r="AD93" s="206">
        <v>10.3</v>
      </c>
      <c r="AE93" s="194" t="s">
        <v>69</v>
      </c>
      <c r="AF93" s="194" t="s">
        <v>402</v>
      </c>
      <c r="AG93" s="213"/>
      <c r="AH93" s="13"/>
      <c r="AI93" s="22" t="str">
        <f>IFERROR(VLOOKUP(10*tblRiskRegister[[#This Row],[Risk Treatment Safeguard Maturity Score]]+tblRiskRegister[[#This Row],[VCDB Index]],tblHITIndexWeightTable[],4,FALSE),"")</f>
        <v/>
      </c>
      <c r="AJ93" s="302"/>
      <c r="AK93" s="302"/>
      <c r="AL93" s="302"/>
      <c r="AM93" s="302"/>
      <c r="AN93" s="100" t="str">
        <f>IFERROR(MAX(tblRiskRegister[[#This Row],[Risk Treatment Safeguard Impact to Mission]:[Risk Treatment Safeguard Impact to Obligations]])*tblRiskRegister[[#This Row],[Risk Treatment
Safeguard Expectancy Score]],"")</f>
        <v/>
      </c>
      <c r="AO93" s="203" t="str">
        <f>IF(tblRiskRegister[[#This Row],[Risk Score]]&gt;AcceptableRisk,IF(tblRiskRegister[[#This Row],[Risk Treatment Safeguard Risk Score]]&lt;AcceptableRisk, IF(tblRiskRegister[[#This Row],[Risk Treatment Safeguard Risk Score]]&lt;=tblRiskRegister[[#This Row],[Risk Score]],"Yes","No"),"No"),"Yes")</f>
        <v>No</v>
      </c>
      <c r="AP93" s="15"/>
      <c r="AQ93" s="15"/>
      <c r="AR93" s="16"/>
    </row>
    <row r="94" spans="2:44" ht="38.25" x14ac:dyDescent="0.2">
      <c r="B94" s="207">
        <v>10.4</v>
      </c>
      <c r="C94" s="194" t="s">
        <v>185</v>
      </c>
      <c r="D94" s="88" t="s">
        <v>88</v>
      </c>
      <c r="E94" s="274" t="s">
        <v>656</v>
      </c>
      <c r="F94" s="14"/>
      <c r="G94" s="88" t="s">
        <v>463</v>
      </c>
      <c r="H94" s="88" t="s">
        <v>463</v>
      </c>
      <c r="I94" s="223"/>
      <c r="J94" s="292" t="s">
        <v>666</v>
      </c>
      <c r="K94" s="292" t="s">
        <v>666</v>
      </c>
      <c r="L94" s="292" t="s">
        <v>666</v>
      </c>
      <c r="M94" s="292" t="s">
        <v>666</v>
      </c>
      <c r="N94" s="292" t="s">
        <v>666</v>
      </c>
      <c r="O94" s="295">
        <f>COUNTIF(tblRiskRegister[[#This Row],[Defends Against Malware]:[Defends Against Targeted Intrusions]],"Yes")</f>
        <v>0</v>
      </c>
      <c r="P94" s="12"/>
      <c r="Q94" s="12"/>
      <c r="R94" s="12"/>
      <c r="S94" s="12"/>
      <c r="T94" s="13"/>
      <c r="U94" s="199">
        <f>IFERROR(VLOOKUP(tblRiskRegister[[#This Row],[Asset Class]],tblVCDBIndex[],4,FALSE),"")</f>
        <v>1</v>
      </c>
      <c r="V94" s="24" t="str">
        <f>IFERROR(VLOOKUP(10*tblRiskRegister[[#This Row],[Safeguard Maturity Score]]+tblRiskRegister[[#This Row],[VCDB Index]],tblHITIndexWeightTable[],4,FALSE),"")</f>
        <v/>
      </c>
      <c r="W94" s="301"/>
      <c r="X94" s="301"/>
      <c r="Y94" s="301"/>
      <c r="Z94" s="301"/>
      <c r="AA94" s="24" t="str">
        <f>IFERROR(MAX(tblRiskRegister[[#This Row],[Impact to Mission]:[Impact to Obligations]])*tblRiskRegister[[#This Row],[Expectancy Score]],"")</f>
        <v/>
      </c>
      <c r="AB94" s="24" t="str">
        <f>tblRiskRegister[[#This Row],[Risk Score]]</f>
        <v/>
      </c>
      <c r="AC94" s="79"/>
      <c r="AD94" s="206">
        <v>10.4</v>
      </c>
      <c r="AE94" s="194" t="s">
        <v>185</v>
      </c>
      <c r="AF94" s="194" t="s">
        <v>403</v>
      </c>
      <c r="AG94" s="213"/>
      <c r="AH94" s="13"/>
      <c r="AI94" s="22" t="str">
        <f>IFERROR(VLOOKUP(10*tblRiskRegister[[#This Row],[Risk Treatment Safeguard Maturity Score]]+tblRiskRegister[[#This Row],[VCDB Index]],tblHITIndexWeightTable[],4,FALSE),"")</f>
        <v/>
      </c>
      <c r="AJ94" s="302"/>
      <c r="AK94" s="302"/>
      <c r="AL94" s="302"/>
      <c r="AM94" s="302"/>
      <c r="AN94" s="100" t="str">
        <f>IFERROR(MAX(tblRiskRegister[[#This Row],[Risk Treatment Safeguard Impact to Mission]:[Risk Treatment Safeguard Impact to Obligations]])*tblRiskRegister[[#This Row],[Risk Treatment
Safeguard Expectancy Score]],"")</f>
        <v/>
      </c>
      <c r="AO94" s="203" t="str">
        <f>IF(tblRiskRegister[[#This Row],[Risk Score]]&gt;AcceptableRisk,IF(tblRiskRegister[[#This Row],[Risk Treatment Safeguard Risk Score]]&lt;AcceptableRisk, IF(tblRiskRegister[[#This Row],[Risk Treatment Safeguard Risk Score]]&lt;=tblRiskRegister[[#This Row],[Risk Score]],"Yes","No"),"No"),"Yes")</f>
        <v>No</v>
      </c>
      <c r="AP94" s="15"/>
      <c r="AQ94" s="15"/>
      <c r="AR94" s="16"/>
    </row>
    <row r="95" spans="2:44" ht="38.25" x14ac:dyDescent="0.2">
      <c r="B95" s="207">
        <v>10.5</v>
      </c>
      <c r="C95" s="194" t="s">
        <v>186</v>
      </c>
      <c r="D95" s="88" t="s">
        <v>88</v>
      </c>
      <c r="E95" s="274" t="s">
        <v>657</v>
      </c>
      <c r="F95" s="14"/>
      <c r="G95" s="88" t="s">
        <v>463</v>
      </c>
      <c r="H95" s="88" t="s">
        <v>463</v>
      </c>
      <c r="I95" s="223"/>
      <c r="J95" s="293" t="s">
        <v>667</v>
      </c>
      <c r="K95" s="293" t="s">
        <v>667</v>
      </c>
      <c r="L95" s="293" t="s">
        <v>667</v>
      </c>
      <c r="M95" s="293" t="s">
        <v>667</v>
      </c>
      <c r="N95" s="293" t="s">
        <v>667</v>
      </c>
      <c r="O95" s="295">
        <f>COUNTIF(tblRiskRegister[[#This Row],[Defends Against Malware]:[Defends Against Targeted Intrusions]],"Yes")</f>
        <v>5</v>
      </c>
      <c r="P95" s="12"/>
      <c r="Q95" s="12"/>
      <c r="R95" s="12"/>
      <c r="S95" s="12"/>
      <c r="T95" s="13"/>
      <c r="U95" s="199">
        <f>IFERROR(VLOOKUP(tblRiskRegister[[#This Row],[Asset Class]],tblVCDBIndex[],4,FALSE),"")</f>
        <v>1</v>
      </c>
      <c r="V95" s="24" t="str">
        <f>IFERROR(VLOOKUP(10*tblRiskRegister[[#This Row],[Safeguard Maturity Score]]+tblRiskRegister[[#This Row],[VCDB Index]],tblHITIndexWeightTable[],4,FALSE),"")</f>
        <v/>
      </c>
      <c r="W95" s="301"/>
      <c r="X95" s="301"/>
      <c r="Y95" s="301"/>
      <c r="Z95" s="301"/>
      <c r="AA95" s="24" t="str">
        <f>IFERROR(MAX(tblRiskRegister[[#This Row],[Impact to Mission]:[Impact to Obligations]])*tblRiskRegister[[#This Row],[Expectancy Score]],"")</f>
        <v/>
      </c>
      <c r="AB95" s="24" t="str">
        <f>tblRiskRegister[[#This Row],[Risk Score]]</f>
        <v/>
      </c>
      <c r="AC95" s="79"/>
      <c r="AD95" s="206">
        <v>10.5</v>
      </c>
      <c r="AE95" s="194" t="s">
        <v>186</v>
      </c>
      <c r="AF95" s="194" t="s">
        <v>404</v>
      </c>
      <c r="AG95" s="213"/>
      <c r="AH95" s="13"/>
      <c r="AI95" s="22" t="str">
        <f>IFERROR(VLOOKUP(10*tblRiskRegister[[#This Row],[Risk Treatment Safeguard Maturity Score]]+tblRiskRegister[[#This Row],[VCDB Index]],tblHITIndexWeightTable[],4,FALSE),"")</f>
        <v/>
      </c>
      <c r="AJ95" s="302"/>
      <c r="AK95" s="302"/>
      <c r="AL95" s="302"/>
      <c r="AM95" s="302"/>
      <c r="AN95" s="100" t="str">
        <f>IFERROR(MAX(tblRiskRegister[[#This Row],[Risk Treatment Safeguard Impact to Mission]:[Risk Treatment Safeguard Impact to Obligations]])*tblRiskRegister[[#This Row],[Risk Treatment
Safeguard Expectancy Score]],"")</f>
        <v/>
      </c>
      <c r="AO95" s="203" t="str">
        <f>IF(tblRiskRegister[[#This Row],[Risk Score]]&gt;AcceptableRisk,IF(tblRiskRegister[[#This Row],[Risk Treatment Safeguard Risk Score]]&lt;AcceptableRisk, IF(tblRiskRegister[[#This Row],[Risk Treatment Safeguard Risk Score]]&lt;=tblRiskRegister[[#This Row],[Risk Score]],"Yes","No"),"No"),"Yes")</f>
        <v>No</v>
      </c>
      <c r="AP95" s="15"/>
      <c r="AQ95" s="15"/>
      <c r="AR95" s="16"/>
    </row>
    <row r="96" spans="2:44" ht="25.5" x14ac:dyDescent="0.2">
      <c r="B96" s="207">
        <v>10.6</v>
      </c>
      <c r="C96" s="194" t="s">
        <v>187</v>
      </c>
      <c r="D96" s="88" t="s">
        <v>88</v>
      </c>
      <c r="E96" s="274" t="s">
        <v>657</v>
      </c>
      <c r="F96" s="14"/>
      <c r="G96" s="88" t="s">
        <v>463</v>
      </c>
      <c r="H96" s="88" t="s">
        <v>463</v>
      </c>
      <c r="I96" s="223"/>
      <c r="J96" s="292" t="s">
        <v>666</v>
      </c>
      <c r="K96" s="292" t="s">
        <v>666</v>
      </c>
      <c r="L96" s="292" t="s">
        <v>666</v>
      </c>
      <c r="M96" s="292" t="s">
        <v>666</v>
      </c>
      <c r="N96" s="292" t="s">
        <v>666</v>
      </c>
      <c r="O96" s="295">
        <f>COUNTIF(tblRiskRegister[[#This Row],[Defends Against Malware]:[Defends Against Targeted Intrusions]],"Yes")</f>
        <v>0</v>
      </c>
      <c r="P96" s="12"/>
      <c r="Q96" s="12"/>
      <c r="R96" s="12"/>
      <c r="S96" s="12"/>
      <c r="T96" s="13"/>
      <c r="U96" s="199">
        <f>IFERROR(VLOOKUP(tblRiskRegister[[#This Row],[Asset Class]],tblVCDBIndex[],4,FALSE),"")</f>
        <v>1</v>
      </c>
      <c r="V96" s="24" t="str">
        <f>IFERROR(VLOOKUP(10*tblRiskRegister[[#This Row],[Safeguard Maturity Score]]+tblRiskRegister[[#This Row],[VCDB Index]],tblHITIndexWeightTable[],4,FALSE),"")</f>
        <v/>
      </c>
      <c r="W96" s="301"/>
      <c r="X96" s="301"/>
      <c r="Y96" s="301"/>
      <c r="Z96" s="301"/>
      <c r="AA96" s="24" t="str">
        <f>IFERROR(MAX(tblRiskRegister[[#This Row],[Impact to Mission]:[Impact to Obligations]])*tblRiskRegister[[#This Row],[Expectancy Score]],"")</f>
        <v/>
      </c>
      <c r="AB96" s="24" t="str">
        <f>tblRiskRegister[[#This Row],[Risk Score]]</f>
        <v/>
      </c>
      <c r="AC96" s="79"/>
      <c r="AD96" s="206">
        <v>10.6</v>
      </c>
      <c r="AE96" s="194" t="s">
        <v>187</v>
      </c>
      <c r="AF96" s="194" t="s">
        <v>405</v>
      </c>
      <c r="AG96" s="213"/>
      <c r="AH96" s="13"/>
      <c r="AI96" s="22" t="str">
        <f>IFERROR(VLOOKUP(10*tblRiskRegister[[#This Row],[Risk Treatment Safeguard Maturity Score]]+tblRiskRegister[[#This Row],[VCDB Index]],tblHITIndexWeightTable[],4,FALSE),"")</f>
        <v/>
      </c>
      <c r="AJ96" s="302"/>
      <c r="AK96" s="302"/>
      <c r="AL96" s="302"/>
      <c r="AM96" s="302"/>
      <c r="AN96" s="100" t="str">
        <f>IFERROR(MAX(tblRiskRegister[[#This Row],[Risk Treatment Safeguard Impact to Mission]:[Risk Treatment Safeguard Impact to Obligations]])*tblRiskRegister[[#This Row],[Risk Treatment
Safeguard Expectancy Score]],"")</f>
        <v/>
      </c>
      <c r="AO96" s="203" t="str">
        <f>IF(tblRiskRegister[[#This Row],[Risk Score]]&gt;AcceptableRisk,IF(tblRiskRegister[[#This Row],[Risk Treatment Safeguard Risk Score]]&lt;AcceptableRisk, IF(tblRiskRegister[[#This Row],[Risk Treatment Safeguard Risk Score]]&lt;=tblRiskRegister[[#This Row],[Risk Score]],"Yes","No"),"No"),"Yes")</f>
        <v>No</v>
      </c>
      <c r="AP96" s="15"/>
      <c r="AQ96" s="15"/>
      <c r="AR96" s="16"/>
    </row>
    <row r="97" spans="2:44" ht="25.5" x14ac:dyDescent="0.2">
      <c r="B97" s="207">
        <v>10.7</v>
      </c>
      <c r="C97" s="194" t="s">
        <v>188</v>
      </c>
      <c r="D97" s="88" t="s">
        <v>88</v>
      </c>
      <c r="E97" s="274" t="s">
        <v>656</v>
      </c>
      <c r="F97" s="14"/>
      <c r="G97" s="88" t="s">
        <v>463</v>
      </c>
      <c r="H97" s="88" t="s">
        <v>463</v>
      </c>
      <c r="I97" s="223"/>
      <c r="J97" s="293" t="s">
        <v>667</v>
      </c>
      <c r="K97" s="293" t="s">
        <v>667</v>
      </c>
      <c r="L97" s="293" t="s">
        <v>667</v>
      </c>
      <c r="M97" s="293" t="s">
        <v>667</v>
      </c>
      <c r="N97" s="293" t="s">
        <v>667</v>
      </c>
      <c r="O97" s="295">
        <f>COUNTIF(tblRiskRegister[[#This Row],[Defends Against Malware]:[Defends Against Targeted Intrusions]],"Yes")</f>
        <v>5</v>
      </c>
      <c r="P97" s="12"/>
      <c r="Q97" s="12"/>
      <c r="R97" s="12"/>
      <c r="S97" s="12"/>
      <c r="T97" s="13"/>
      <c r="U97" s="199">
        <f>IFERROR(VLOOKUP(tblRiskRegister[[#This Row],[Asset Class]],tblVCDBIndex[],4,FALSE),"")</f>
        <v>1</v>
      </c>
      <c r="V97" s="24" t="str">
        <f>IFERROR(VLOOKUP(10*tblRiskRegister[[#This Row],[Safeguard Maturity Score]]+tblRiskRegister[[#This Row],[VCDB Index]],tblHITIndexWeightTable[],4,FALSE),"")</f>
        <v/>
      </c>
      <c r="W97" s="301"/>
      <c r="X97" s="301"/>
      <c r="Y97" s="301"/>
      <c r="Z97" s="301"/>
      <c r="AA97" s="24" t="str">
        <f>IFERROR(MAX(tblRiskRegister[[#This Row],[Impact to Mission]:[Impact to Obligations]])*tblRiskRegister[[#This Row],[Expectancy Score]],"")</f>
        <v/>
      </c>
      <c r="AB97" s="24" t="str">
        <f>tblRiskRegister[[#This Row],[Risk Score]]</f>
        <v/>
      </c>
      <c r="AC97" s="79"/>
      <c r="AD97" s="206">
        <v>10.7</v>
      </c>
      <c r="AE97" s="194" t="s">
        <v>188</v>
      </c>
      <c r="AF97" s="194" t="s">
        <v>406</v>
      </c>
      <c r="AG97" s="213"/>
      <c r="AH97" s="13"/>
      <c r="AI97" s="22" t="str">
        <f>IFERROR(VLOOKUP(10*tblRiskRegister[[#This Row],[Risk Treatment Safeguard Maturity Score]]+tblRiskRegister[[#This Row],[VCDB Index]],tblHITIndexWeightTable[],4,FALSE),"")</f>
        <v/>
      </c>
      <c r="AJ97" s="302"/>
      <c r="AK97" s="302"/>
      <c r="AL97" s="302"/>
      <c r="AM97" s="302"/>
      <c r="AN97" s="100" t="str">
        <f>IFERROR(MAX(tblRiskRegister[[#This Row],[Risk Treatment Safeguard Impact to Mission]:[Risk Treatment Safeguard Impact to Obligations]])*tblRiskRegister[[#This Row],[Risk Treatment
Safeguard Expectancy Score]],"")</f>
        <v/>
      </c>
      <c r="AO97" s="203" t="str">
        <f>IF(tblRiskRegister[[#This Row],[Risk Score]]&gt;AcceptableRisk,IF(tblRiskRegister[[#This Row],[Risk Treatment Safeguard Risk Score]]&lt;AcceptableRisk, IF(tblRiskRegister[[#This Row],[Risk Treatment Safeguard Risk Score]]&lt;=tblRiskRegister[[#This Row],[Risk Score]],"Yes","No"),"No"),"Yes")</f>
        <v>No</v>
      </c>
      <c r="AP97" s="15"/>
      <c r="AQ97" s="15"/>
      <c r="AR97" s="16"/>
    </row>
    <row r="98" spans="2:44" ht="51" x14ac:dyDescent="0.2">
      <c r="B98" s="207">
        <v>11.1</v>
      </c>
      <c r="C98" s="194" t="s">
        <v>70</v>
      </c>
      <c r="D98" s="88" t="s">
        <v>87</v>
      </c>
      <c r="E98" s="275" t="s">
        <v>658</v>
      </c>
      <c r="F98" s="14" t="s">
        <v>463</v>
      </c>
      <c r="G98" s="88" t="s">
        <v>463</v>
      </c>
      <c r="H98" s="88" t="s">
        <v>463</v>
      </c>
      <c r="I98" s="223"/>
      <c r="J98" s="293" t="s">
        <v>667</v>
      </c>
      <c r="K98" s="292" t="s">
        <v>666</v>
      </c>
      <c r="L98" s="292" t="s">
        <v>666</v>
      </c>
      <c r="M98" s="293" t="s">
        <v>667</v>
      </c>
      <c r="N98" s="293" t="s">
        <v>667</v>
      </c>
      <c r="O98" s="295">
        <f>COUNTIF(tblRiskRegister[[#This Row],[Defends Against Malware]:[Defends Against Targeted Intrusions]],"Yes")</f>
        <v>3</v>
      </c>
      <c r="P98" s="12"/>
      <c r="Q98" s="12"/>
      <c r="R98" s="12"/>
      <c r="S98" s="12"/>
      <c r="T98" s="13"/>
      <c r="U98" s="199">
        <f>IFERROR(VLOOKUP(tblRiskRegister[[#This Row],[Asset Class]],tblVCDBIndex[],4,FALSE),"")</f>
        <v>3</v>
      </c>
      <c r="V98" s="24" t="str">
        <f>IFERROR(VLOOKUP(10*tblRiskRegister[[#This Row],[Safeguard Maturity Score]]+tblRiskRegister[[#This Row],[VCDB Index]],tblHITIndexWeightTable[],4,FALSE),"")</f>
        <v/>
      </c>
      <c r="W98" s="301"/>
      <c r="X98" s="301"/>
      <c r="Y98" s="301"/>
      <c r="Z98" s="301"/>
      <c r="AA98" s="24" t="str">
        <f>IFERROR(MAX(tblRiskRegister[[#This Row],[Impact to Mission]:[Impact to Obligations]])*tblRiskRegister[[#This Row],[Expectancy Score]],"")</f>
        <v/>
      </c>
      <c r="AB98" s="24" t="str">
        <f>tblRiskRegister[[#This Row],[Risk Score]]</f>
        <v/>
      </c>
      <c r="AC98" s="79"/>
      <c r="AD98" s="206">
        <v>11.1</v>
      </c>
      <c r="AE98" s="194" t="s">
        <v>70</v>
      </c>
      <c r="AF98" s="194" t="s">
        <v>407</v>
      </c>
      <c r="AG98" s="213"/>
      <c r="AH98" s="13"/>
      <c r="AI98" s="22" t="str">
        <f>IFERROR(VLOOKUP(10*tblRiskRegister[[#This Row],[Risk Treatment Safeguard Maturity Score]]+tblRiskRegister[[#This Row],[VCDB Index]],tblHITIndexWeightTable[],4,FALSE),"")</f>
        <v/>
      </c>
      <c r="AJ98" s="302"/>
      <c r="AK98" s="302"/>
      <c r="AL98" s="302"/>
      <c r="AM98" s="302"/>
      <c r="AN98" s="100" t="str">
        <f>IFERROR(MAX(tblRiskRegister[[#This Row],[Risk Treatment Safeguard Impact to Mission]:[Risk Treatment Safeguard Impact to Obligations]])*tblRiskRegister[[#This Row],[Risk Treatment
Safeguard Expectancy Score]],"")</f>
        <v/>
      </c>
      <c r="AO98" s="203" t="str">
        <f>IF(tblRiskRegister[[#This Row],[Risk Score]]&gt;AcceptableRisk,IF(tblRiskRegister[[#This Row],[Risk Treatment Safeguard Risk Score]]&lt;AcceptableRisk, IF(tblRiskRegister[[#This Row],[Risk Treatment Safeguard Risk Score]]&lt;=tblRiskRegister[[#This Row],[Risk Score]],"Yes","No"),"No"),"Yes")</f>
        <v>No</v>
      </c>
      <c r="AP98" s="15"/>
      <c r="AQ98" s="15"/>
      <c r="AR98" s="16"/>
    </row>
    <row r="99" spans="2:44" ht="25.5" x14ac:dyDescent="0.2">
      <c r="B99" s="207">
        <v>11.2</v>
      </c>
      <c r="C99" s="194" t="s">
        <v>71</v>
      </c>
      <c r="D99" s="88" t="s">
        <v>87</v>
      </c>
      <c r="E99" s="275" t="s">
        <v>658</v>
      </c>
      <c r="F99" s="14" t="s">
        <v>463</v>
      </c>
      <c r="G99" s="88" t="s">
        <v>463</v>
      </c>
      <c r="H99" s="88" t="s">
        <v>463</v>
      </c>
      <c r="I99" s="223"/>
      <c r="J99" s="293" t="s">
        <v>667</v>
      </c>
      <c r="K99" s="292" t="s">
        <v>666</v>
      </c>
      <c r="L99" s="292" t="s">
        <v>666</v>
      </c>
      <c r="M99" s="293" t="s">
        <v>667</v>
      </c>
      <c r="N99" s="293" t="s">
        <v>667</v>
      </c>
      <c r="O99" s="295">
        <f>COUNTIF(tblRiskRegister[[#This Row],[Defends Against Malware]:[Defends Against Targeted Intrusions]],"Yes")</f>
        <v>3</v>
      </c>
      <c r="P99" s="12"/>
      <c r="Q99" s="12"/>
      <c r="R99" s="12"/>
      <c r="S99" s="12"/>
      <c r="T99" s="13"/>
      <c r="U99" s="199">
        <f>IFERROR(VLOOKUP(tblRiskRegister[[#This Row],[Asset Class]],tblVCDBIndex[],4,FALSE),"")</f>
        <v>3</v>
      </c>
      <c r="V99" s="24" t="str">
        <f>IFERROR(VLOOKUP(10*tblRiskRegister[[#This Row],[Safeguard Maturity Score]]+tblRiskRegister[[#This Row],[VCDB Index]],tblHITIndexWeightTable[],4,FALSE),"")</f>
        <v/>
      </c>
      <c r="W99" s="301"/>
      <c r="X99" s="301"/>
      <c r="Y99" s="301"/>
      <c r="Z99" s="301"/>
      <c r="AA99" s="24" t="str">
        <f>IFERROR(MAX(tblRiskRegister[[#This Row],[Impact to Mission]:[Impact to Obligations]])*tblRiskRegister[[#This Row],[Expectancy Score]],"")</f>
        <v/>
      </c>
      <c r="AB99" s="24" t="str">
        <f>tblRiskRegister[[#This Row],[Risk Score]]</f>
        <v/>
      </c>
      <c r="AC99" s="79"/>
      <c r="AD99" s="206">
        <v>11.2</v>
      </c>
      <c r="AE99" s="194" t="s">
        <v>71</v>
      </c>
      <c r="AF99" s="194" t="s">
        <v>408</v>
      </c>
      <c r="AG99" s="213"/>
      <c r="AH99" s="13"/>
      <c r="AI99" s="22" t="str">
        <f>IFERROR(VLOOKUP(10*tblRiskRegister[[#This Row],[Risk Treatment Safeguard Maturity Score]]+tblRiskRegister[[#This Row],[VCDB Index]],tblHITIndexWeightTable[],4,FALSE),"")</f>
        <v/>
      </c>
      <c r="AJ99" s="302"/>
      <c r="AK99" s="302"/>
      <c r="AL99" s="302"/>
      <c r="AM99" s="302"/>
      <c r="AN99" s="100" t="str">
        <f>IFERROR(MAX(tblRiskRegister[[#This Row],[Risk Treatment Safeguard Impact to Mission]:[Risk Treatment Safeguard Impact to Obligations]])*tblRiskRegister[[#This Row],[Risk Treatment
Safeguard Expectancy Score]],"")</f>
        <v/>
      </c>
      <c r="AO99" s="203" t="str">
        <f>IF(tblRiskRegister[[#This Row],[Risk Score]]&gt;AcceptableRisk,IF(tblRiskRegister[[#This Row],[Risk Treatment Safeguard Risk Score]]&lt;AcceptableRisk, IF(tblRiskRegister[[#This Row],[Risk Treatment Safeguard Risk Score]]&lt;=tblRiskRegister[[#This Row],[Risk Score]],"Yes","No"),"No"),"Yes")</f>
        <v>No</v>
      </c>
      <c r="AP99" s="15"/>
      <c r="AQ99" s="15"/>
      <c r="AR99" s="16"/>
    </row>
    <row r="100" spans="2:44" ht="25.5" x14ac:dyDescent="0.2">
      <c r="B100" s="207">
        <v>11.3</v>
      </c>
      <c r="C100" s="194" t="s">
        <v>72</v>
      </c>
      <c r="D100" s="88" t="s">
        <v>87</v>
      </c>
      <c r="E100" s="274" t="s">
        <v>657</v>
      </c>
      <c r="F100" s="14" t="s">
        <v>463</v>
      </c>
      <c r="G100" s="88" t="s">
        <v>463</v>
      </c>
      <c r="H100" s="88" t="s">
        <v>463</v>
      </c>
      <c r="I100" s="223"/>
      <c r="J100" s="293" t="s">
        <v>667</v>
      </c>
      <c r="K100" s="293" t="s">
        <v>667</v>
      </c>
      <c r="L100" s="293" t="s">
        <v>667</v>
      </c>
      <c r="M100" s="293" t="s">
        <v>667</v>
      </c>
      <c r="N100" s="293" t="s">
        <v>667</v>
      </c>
      <c r="O100" s="295">
        <f>COUNTIF(tblRiskRegister[[#This Row],[Defends Against Malware]:[Defends Against Targeted Intrusions]],"Yes")</f>
        <v>5</v>
      </c>
      <c r="P100" s="12"/>
      <c r="Q100" s="12"/>
      <c r="R100" s="12"/>
      <c r="S100" s="12"/>
      <c r="T100" s="13"/>
      <c r="U100" s="199">
        <f>IFERROR(VLOOKUP(tblRiskRegister[[#This Row],[Asset Class]],tblVCDBIndex[],4,FALSE),"")</f>
        <v>3</v>
      </c>
      <c r="V100" s="24" t="str">
        <f>IFERROR(VLOOKUP(10*tblRiskRegister[[#This Row],[Safeguard Maturity Score]]+tblRiskRegister[[#This Row],[VCDB Index]],tblHITIndexWeightTable[],4,FALSE),"")</f>
        <v/>
      </c>
      <c r="W100" s="301"/>
      <c r="X100" s="301"/>
      <c r="Y100" s="301"/>
      <c r="Z100" s="301"/>
      <c r="AA100" s="24" t="str">
        <f>IFERROR(MAX(tblRiskRegister[[#This Row],[Impact to Mission]:[Impact to Obligations]])*tblRiskRegister[[#This Row],[Expectancy Score]],"")</f>
        <v/>
      </c>
      <c r="AB100" s="24" t="str">
        <f>tblRiskRegister[[#This Row],[Risk Score]]</f>
        <v/>
      </c>
      <c r="AC100" s="79"/>
      <c r="AD100" s="206">
        <v>11.3</v>
      </c>
      <c r="AE100" s="194" t="s">
        <v>72</v>
      </c>
      <c r="AF100" s="194" t="s">
        <v>409</v>
      </c>
      <c r="AG100" s="213"/>
      <c r="AH100" s="13"/>
      <c r="AI100" s="22" t="str">
        <f>IFERROR(VLOOKUP(10*tblRiskRegister[[#This Row],[Risk Treatment Safeguard Maturity Score]]+tblRiskRegister[[#This Row],[VCDB Index]],tblHITIndexWeightTable[],4,FALSE),"")</f>
        <v/>
      </c>
      <c r="AJ100" s="302"/>
      <c r="AK100" s="302"/>
      <c r="AL100" s="302"/>
      <c r="AM100" s="302"/>
      <c r="AN100" s="100" t="str">
        <f>IFERROR(MAX(tblRiskRegister[[#This Row],[Risk Treatment Safeguard Impact to Mission]:[Risk Treatment Safeguard Impact to Obligations]])*tblRiskRegister[[#This Row],[Risk Treatment
Safeguard Expectancy Score]],"")</f>
        <v/>
      </c>
      <c r="AO100" s="203" t="str">
        <f>IF(tblRiskRegister[[#This Row],[Risk Score]]&gt;AcceptableRisk,IF(tblRiskRegister[[#This Row],[Risk Treatment Safeguard Risk Score]]&lt;AcceptableRisk, IF(tblRiskRegister[[#This Row],[Risk Treatment Safeguard Risk Score]]&lt;=tblRiskRegister[[#This Row],[Risk Score]],"Yes","No"),"No"),"Yes")</f>
        <v>No</v>
      </c>
      <c r="AP100" s="15"/>
      <c r="AQ100" s="15"/>
      <c r="AR100" s="16"/>
    </row>
    <row r="101" spans="2:44" ht="38.25" x14ac:dyDescent="0.2">
      <c r="B101" s="207">
        <v>11.4</v>
      </c>
      <c r="C101" s="194" t="s">
        <v>73</v>
      </c>
      <c r="D101" s="88" t="s">
        <v>87</v>
      </c>
      <c r="E101" s="275" t="s">
        <v>658</v>
      </c>
      <c r="F101" s="14" t="s">
        <v>463</v>
      </c>
      <c r="G101" s="88" t="s">
        <v>463</v>
      </c>
      <c r="H101" s="88" t="s">
        <v>463</v>
      </c>
      <c r="I101" s="223"/>
      <c r="J101" s="293" t="s">
        <v>667</v>
      </c>
      <c r="K101" s="293" t="s">
        <v>667</v>
      </c>
      <c r="L101" s="293" t="s">
        <v>667</v>
      </c>
      <c r="M101" s="293" t="s">
        <v>667</v>
      </c>
      <c r="N101" s="293" t="s">
        <v>667</v>
      </c>
      <c r="O101" s="295">
        <f>COUNTIF(tblRiskRegister[[#This Row],[Defends Against Malware]:[Defends Against Targeted Intrusions]],"Yes")</f>
        <v>5</v>
      </c>
      <c r="P101" s="12"/>
      <c r="Q101" s="12"/>
      <c r="R101" s="12"/>
      <c r="S101" s="12"/>
      <c r="T101" s="13"/>
      <c r="U101" s="199">
        <f>IFERROR(VLOOKUP(tblRiskRegister[[#This Row],[Asset Class]],tblVCDBIndex[],4,FALSE),"")</f>
        <v>3</v>
      </c>
      <c r="V101" s="24" t="str">
        <f>IFERROR(VLOOKUP(10*tblRiskRegister[[#This Row],[Safeguard Maturity Score]]+tblRiskRegister[[#This Row],[VCDB Index]],tblHITIndexWeightTable[],4,FALSE),"")</f>
        <v/>
      </c>
      <c r="W101" s="301"/>
      <c r="X101" s="301"/>
      <c r="Y101" s="301"/>
      <c r="Z101" s="301"/>
      <c r="AA101" s="24" t="str">
        <f>IFERROR(MAX(tblRiskRegister[[#This Row],[Impact to Mission]:[Impact to Obligations]])*tblRiskRegister[[#This Row],[Expectancy Score]],"")</f>
        <v/>
      </c>
      <c r="AB101" s="24" t="str">
        <f>tblRiskRegister[[#This Row],[Risk Score]]</f>
        <v/>
      </c>
      <c r="AC101" s="79"/>
      <c r="AD101" s="206">
        <v>11.4</v>
      </c>
      <c r="AE101" s="194" t="s">
        <v>73</v>
      </c>
      <c r="AF101" s="194" t="s">
        <v>410</v>
      </c>
      <c r="AG101" s="213"/>
      <c r="AH101" s="13"/>
      <c r="AI101" s="22" t="str">
        <f>IFERROR(VLOOKUP(10*tblRiskRegister[[#This Row],[Risk Treatment Safeguard Maturity Score]]+tblRiskRegister[[#This Row],[VCDB Index]],tblHITIndexWeightTable[],4,FALSE),"")</f>
        <v/>
      </c>
      <c r="AJ101" s="302"/>
      <c r="AK101" s="302"/>
      <c r="AL101" s="302"/>
      <c r="AM101" s="302"/>
      <c r="AN101" s="100" t="str">
        <f>IFERROR(MAX(tblRiskRegister[[#This Row],[Risk Treatment Safeguard Impact to Mission]:[Risk Treatment Safeguard Impact to Obligations]])*tblRiskRegister[[#This Row],[Risk Treatment
Safeguard Expectancy Score]],"")</f>
        <v/>
      </c>
      <c r="AO101" s="203" t="str">
        <f>IF(tblRiskRegister[[#This Row],[Risk Score]]&gt;AcceptableRisk,IF(tblRiskRegister[[#This Row],[Risk Treatment Safeguard Risk Score]]&lt;AcceptableRisk, IF(tblRiskRegister[[#This Row],[Risk Treatment Safeguard Risk Score]]&lt;=tblRiskRegister[[#This Row],[Risk Score]],"Yes","No"),"No"),"Yes")</f>
        <v>No</v>
      </c>
      <c r="AP101" s="15"/>
      <c r="AQ101" s="15"/>
      <c r="AR101" s="16"/>
    </row>
    <row r="102" spans="2:44" x14ac:dyDescent="0.2">
      <c r="B102" s="207">
        <v>11.5</v>
      </c>
      <c r="C102" s="194" t="s">
        <v>177</v>
      </c>
      <c r="D102" s="88" t="s">
        <v>87</v>
      </c>
      <c r="E102" s="275" t="s">
        <v>658</v>
      </c>
      <c r="F102" s="14"/>
      <c r="G102" s="88" t="s">
        <v>463</v>
      </c>
      <c r="H102" s="88" t="s">
        <v>463</v>
      </c>
      <c r="I102" s="223"/>
      <c r="J102" s="293" t="s">
        <v>667</v>
      </c>
      <c r="K102" s="292" t="s">
        <v>666</v>
      </c>
      <c r="L102" s="292" t="s">
        <v>666</v>
      </c>
      <c r="M102" s="293" t="s">
        <v>667</v>
      </c>
      <c r="N102" s="293" t="s">
        <v>667</v>
      </c>
      <c r="O102" s="295">
        <f>COUNTIF(tblRiskRegister[[#This Row],[Defends Against Malware]:[Defends Against Targeted Intrusions]],"Yes")</f>
        <v>3</v>
      </c>
      <c r="P102" s="12"/>
      <c r="Q102" s="12"/>
      <c r="R102" s="12"/>
      <c r="S102" s="12"/>
      <c r="T102" s="13"/>
      <c r="U102" s="199">
        <f>IFERROR(VLOOKUP(tblRiskRegister[[#This Row],[Asset Class]],tblVCDBIndex[],4,FALSE),"")</f>
        <v>3</v>
      </c>
      <c r="V102" s="24" t="str">
        <f>IFERROR(VLOOKUP(10*tblRiskRegister[[#This Row],[Safeguard Maturity Score]]+tblRiskRegister[[#This Row],[VCDB Index]],tblHITIndexWeightTable[],4,FALSE),"")</f>
        <v/>
      </c>
      <c r="W102" s="301"/>
      <c r="X102" s="301"/>
      <c r="Y102" s="301"/>
      <c r="Z102" s="301"/>
      <c r="AA102" s="24" t="str">
        <f>IFERROR(MAX(tblRiskRegister[[#This Row],[Impact to Mission]:[Impact to Obligations]])*tblRiskRegister[[#This Row],[Expectancy Score]],"")</f>
        <v/>
      </c>
      <c r="AB102" s="24" t="str">
        <f>tblRiskRegister[[#This Row],[Risk Score]]</f>
        <v/>
      </c>
      <c r="AC102" s="79"/>
      <c r="AD102" s="206">
        <v>11.5</v>
      </c>
      <c r="AE102" s="194" t="s">
        <v>177</v>
      </c>
      <c r="AF102" s="194" t="s">
        <v>411</v>
      </c>
      <c r="AG102" s="213"/>
      <c r="AH102" s="13"/>
      <c r="AI102" s="22" t="str">
        <f>IFERROR(VLOOKUP(10*tblRiskRegister[[#This Row],[Risk Treatment Safeguard Maturity Score]]+tblRiskRegister[[#This Row],[VCDB Index]],tblHITIndexWeightTable[],4,FALSE),"")</f>
        <v/>
      </c>
      <c r="AJ102" s="302"/>
      <c r="AK102" s="302"/>
      <c r="AL102" s="302"/>
      <c r="AM102" s="302"/>
      <c r="AN102" s="100" t="str">
        <f>IFERROR(MAX(tblRiskRegister[[#This Row],[Risk Treatment Safeguard Impact to Mission]:[Risk Treatment Safeguard Impact to Obligations]])*tblRiskRegister[[#This Row],[Risk Treatment
Safeguard Expectancy Score]],"")</f>
        <v/>
      </c>
      <c r="AO102" s="203" t="str">
        <f>IF(tblRiskRegister[[#This Row],[Risk Score]]&gt;AcceptableRisk,IF(tblRiskRegister[[#This Row],[Risk Treatment Safeguard Risk Score]]&lt;AcceptableRisk, IF(tblRiskRegister[[#This Row],[Risk Treatment Safeguard Risk Score]]&lt;=tblRiskRegister[[#This Row],[Risk Score]],"Yes","No"),"No"),"Yes")</f>
        <v>No</v>
      </c>
      <c r="AP102" s="15"/>
      <c r="AQ102" s="15"/>
      <c r="AR102" s="16"/>
    </row>
    <row r="103" spans="2:44" ht="38.25" x14ac:dyDescent="0.2">
      <c r="B103" s="207">
        <v>12.1</v>
      </c>
      <c r="C103" s="194" t="s">
        <v>74</v>
      </c>
      <c r="D103" s="88" t="s">
        <v>90</v>
      </c>
      <c r="E103" s="274" t="s">
        <v>657</v>
      </c>
      <c r="F103" s="14" t="s">
        <v>463</v>
      </c>
      <c r="G103" s="88" t="s">
        <v>463</v>
      </c>
      <c r="H103" s="88" t="s">
        <v>463</v>
      </c>
      <c r="I103" s="223"/>
      <c r="J103" s="293" t="s">
        <v>667</v>
      </c>
      <c r="K103" s="293" t="s">
        <v>667</v>
      </c>
      <c r="L103" s="293" t="s">
        <v>667</v>
      </c>
      <c r="M103" s="292" t="s">
        <v>666</v>
      </c>
      <c r="N103" s="293" t="s">
        <v>667</v>
      </c>
      <c r="O103" s="295">
        <f>COUNTIF(tblRiskRegister[[#This Row],[Defends Against Malware]:[Defends Against Targeted Intrusions]],"Yes")</f>
        <v>4</v>
      </c>
      <c r="P103" s="12"/>
      <c r="Q103" s="12"/>
      <c r="R103" s="12"/>
      <c r="S103" s="12"/>
      <c r="T103" s="13"/>
      <c r="U103" s="199">
        <f>IFERROR(VLOOKUP(tblRiskRegister[[#This Row],[Asset Class]],tblVCDBIndex[],4,FALSE),"")</f>
        <v>1</v>
      </c>
      <c r="V103" s="24" t="str">
        <f>IFERROR(VLOOKUP(10*tblRiskRegister[[#This Row],[Safeguard Maturity Score]]+tblRiskRegister[[#This Row],[VCDB Index]],tblHITIndexWeightTable[],4,FALSE),"")</f>
        <v/>
      </c>
      <c r="W103" s="301"/>
      <c r="X103" s="301"/>
      <c r="Y103" s="301"/>
      <c r="Z103" s="301"/>
      <c r="AA103" s="24" t="str">
        <f>IFERROR(MAX(tblRiskRegister[[#This Row],[Impact to Mission]:[Impact to Obligations]])*tblRiskRegister[[#This Row],[Expectancy Score]],"")</f>
        <v/>
      </c>
      <c r="AB103" s="24" t="str">
        <f>tblRiskRegister[[#This Row],[Risk Score]]</f>
        <v/>
      </c>
      <c r="AC103" s="79"/>
      <c r="AD103" s="206">
        <v>12.1</v>
      </c>
      <c r="AE103" s="194" t="s">
        <v>74</v>
      </c>
      <c r="AF103" s="194" t="s">
        <v>412</v>
      </c>
      <c r="AG103" s="213"/>
      <c r="AH103" s="13"/>
      <c r="AI103" s="22" t="str">
        <f>IFERROR(VLOOKUP(10*tblRiskRegister[[#This Row],[Risk Treatment Safeguard Maturity Score]]+tblRiskRegister[[#This Row],[VCDB Index]],tblHITIndexWeightTable[],4,FALSE),"")</f>
        <v/>
      </c>
      <c r="AJ103" s="302"/>
      <c r="AK103" s="302"/>
      <c r="AL103" s="302"/>
      <c r="AM103" s="302"/>
      <c r="AN103" s="100" t="str">
        <f>IFERROR(MAX(tblRiskRegister[[#This Row],[Risk Treatment Safeguard Impact to Mission]:[Risk Treatment Safeguard Impact to Obligations]])*tblRiskRegister[[#This Row],[Risk Treatment
Safeguard Expectancy Score]],"")</f>
        <v/>
      </c>
      <c r="AO103" s="203" t="str">
        <f>IF(tblRiskRegister[[#This Row],[Risk Score]]&gt;AcceptableRisk,IF(tblRiskRegister[[#This Row],[Risk Treatment Safeguard Risk Score]]&lt;AcceptableRisk, IF(tblRiskRegister[[#This Row],[Risk Treatment Safeguard Risk Score]]&lt;=tblRiskRegister[[#This Row],[Risk Score]],"Yes","No"),"No"),"Yes")</f>
        <v>No</v>
      </c>
      <c r="AP103" s="15"/>
      <c r="AQ103" s="15"/>
      <c r="AR103" s="16"/>
    </row>
    <row r="104" spans="2:44" ht="38.25" x14ac:dyDescent="0.2">
      <c r="B104" s="207">
        <v>12.2</v>
      </c>
      <c r="C104" s="194" t="s">
        <v>213</v>
      </c>
      <c r="D104" s="88" t="s">
        <v>90</v>
      </c>
      <c r="E104" s="274" t="s">
        <v>657</v>
      </c>
      <c r="F104" s="14"/>
      <c r="G104" s="88" t="s">
        <v>463</v>
      </c>
      <c r="H104" s="88" t="s">
        <v>463</v>
      </c>
      <c r="I104" s="223"/>
      <c r="J104" s="293" t="s">
        <v>667</v>
      </c>
      <c r="K104" s="293" t="s">
        <v>667</v>
      </c>
      <c r="L104" s="293" t="s">
        <v>667</v>
      </c>
      <c r="M104" s="293" t="s">
        <v>667</v>
      </c>
      <c r="N104" s="293" t="s">
        <v>667</v>
      </c>
      <c r="O104" s="295">
        <f>COUNTIF(tblRiskRegister[[#This Row],[Defends Against Malware]:[Defends Against Targeted Intrusions]],"Yes")</f>
        <v>5</v>
      </c>
      <c r="P104" s="12"/>
      <c r="Q104" s="12"/>
      <c r="R104" s="12"/>
      <c r="S104" s="12"/>
      <c r="T104" s="13"/>
      <c r="U104" s="199">
        <f>IFERROR(VLOOKUP(tblRiskRegister[[#This Row],[Asset Class]],tblVCDBIndex[],4,FALSE),"")</f>
        <v>1</v>
      </c>
      <c r="V104" s="24" t="str">
        <f>IFERROR(VLOOKUP(10*tblRiskRegister[[#This Row],[Safeguard Maturity Score]]+tblRiskRegister[[#This Row],[VCDB Index]],tblHITIndexWeightTable[],4,FALSE),"")</f>
        <v/>
      </c>
      <c r="W104" s="301"/>
      <c r="X104" s="301"/>
      <c r="Y104" s="301"/>
      <c r="Z104" s="301"/>
      <c r="AA104" s="24" t="str">
        <f>IFERROR(MAX(tblRiskRegister[[#This Row],[Impact to Mission]:[Impact to Obligations]])*tblRiskRegister[[#This Row],[Expectancy Score]],"")</f>
        <v/>
      </c>
      <c r="AB104" s="24" t="str">
        <f>tblRiskRegister[[#This Row],[Risk Score]]</f>
        <v/>
      </c>
      <c r="AC104" s="79"/>
      <c r="AD104" s="206">
        <v>12.2</v>
      </c>
      <c r="AE104" s="194" t="s">
        <v>213</v>
      </c>
      <c r="AF104" s="194" t="s">
        <v>413</v>
      </c>
      <c r="AG104" s="213"/>
      <c r="AH104" s="13"/>
      <c r="AI104" s="22" t="str">
        <f>IFERROR(VLOOKUP(10*tblRiskRegister[[#This Row],[Risk Treatment Safeguard Maturity Score]]+tblRiskRegister[[#This Row],[VCDB Index]],tblHITIndexWeightTable[],4,FALSE),"")</f>
        <v/>
      </c>
      <c r="AJ104" s="302"/>
      <c r="AK104" s="302"/>
      <c r="AL104" s="302"/>
      <c r="AM104" s="302"/>
      <c r="AN104" s="100" t="str">
        <f>IFERROR(MAX(tblRiskRegister[[#This Row],[Risk Treatment Safeguard Impact to Mission]:[Risk Treatment Safeguard Impact to Obligations]])*tblRiskRegister[[#This Row],[Risk Treatment
Safeguard Expectancy Score]],"")</f>
        <v/>
      </c>
      <c r="AO104" s="203" t="str">
        <f>IF(tblRiskRegister[[#This Row],[Risk Score]]&gt;AcceptableRisk,IF(tblRiskRegister[[#This Row],[Risk Treatment Safeguard Risk Score]]&lt;AcceptableRisk, IF(tblRiskRegister[[#This Row],[Risk Treatment Safeguard Risk Score]]&lt;=tblRiskRegister[[#This Row],[Risk Score]],"Yes","No"),"No"),"Yes")</f>
        <v>No</v>
      </c>
      <c r="AP104" s="15"/>
      <c r="AQ104" s="15"/>
      <c r="AR104" s="16"/>
    </row>
    <row r="105" spans="2:44" ht="25.5" x14ac:dyDescent="0.2">
      <c r="B105" s="207">
        <v>12.3</v>
      </c>
      <c r="C105" s="194" t="s">
        <v>214</v>
      </c>
      <c r="D105" s="88" t="s">
        <v>90</v>
      </c>
      <c r="E105" s="274" t="s">
        <v>657</v>
      </c>
      <c r="F105" s="14"/>
      <c r="G105" s="88" t="s">
        <v>463</v>
      </c>
      <c r="H105" s="88" t="s">
        <v>463</v>
      </c>
      <c r="I105" s="223"/>
      <c r="J105" s="292" t="s">
        <v>666</v>
      </c>
      <c r="K105" s="292" t="s">
        <v>666</v>
      </c>
      <c r="L105" s="292" t="s">
        <v>666</v>
      </c>
      <c r="M105" s="292" t="s">
        <v>666</v>
      </c>
      <c r="N105" s="292" t="s">
        <v>666</v>
      </c>
      <c r="O105" s="295">
        <f>COUNTIF(tblRiskRegister[[#This Row],[Defends Against Malware]:[Defends Against Targeted Intrusions]],"Yes")</f>
        <v>0</v>
      </c>
      <c r="P105" s="12"/>
      <c r="Q105" s="12"/>
      <c r="R105" s="12"/>
      <c r="S105" s="12"/>
      <c r="T105" s="13"/>
      <c r="U105" s="199">
        <f>IFERROR(VLOOKUP(tblRiskRegister[[#This Row],[Asset Class]],tblVCDBIndex[],4,FALSE),"")</f>
        <v>1</v>
      </c>
      <c r="V105" s="24" t="str">
        <f>IFERROR(VLOOKUP(10*tblRiskRegister[[#This Row],[Safeguard Maturity Score]]+tblRiskRegister[[#This Row],[VCDB Index]],tblHITIndexWeightTable[],4,FALSE),"")</f>
        <v/>
      </c>
      <c r="W105" s="301"/>
      <c r="X105" s="301"/>
      <c r="Y105" s="301"/>
      <c r="Z105" s="301"/>
      <c r="AA105" s="24" t="str">
        <f>IFERROR(MAX(tblRiskRegister[[#This Row],[Impact to Mission]:[Impact to Obligations]])*tblRiskRegister[[#This Row],[Expectancy Score]],"")</f>
        <v/>
      </c>
      <c r="AB105" s="24" t="str">
        <f>tblRiskRegister[[#This Row],[Risk Score]]</f>
        <v/>
      </c>
      <c r="AC105" s="79"/>
      <c r="AD105" s="206">
        <v>12.3</v>
      </c>
      <c r="AE105" s="194" t="s">
        <v>214</v>
      </c>
      <c r="AF105" s="194" t="s">
        <v>414</v>
      </c>
      <c r="AG105" s="213"/>
      <c r="AH105" s="13"/>
      <c r="AI105" s="22" t="str">
        <f>IFERROR(VLOOKUP(10*tblRiskRegister[[#This Row],[Risk Treatment Safeguard Maturity Score]]+tblRiskRegister[[#This Row],[VCDB Index]],tblHITIndexWeightTable[],4,FALSE),"")</f>
        <v/>
      </c>
      <c r="AJ105" s="302"/>
      <c r="AK105" s="302"/>
      <c r="AL105" s="302"/>
      <c r="AM105" s="302"/>
      <c r="AN105" s="100" t="str">
        <f>IFERROR(MAX(tblRiskRegister[[#This Row],[Risk Treatment Safeguard Impact to Mission]:[Risk Treatment Safeguard Impact to Obligations]])*tblRiskRegister[[#This Row],[Risk Treatment
Safeguard Expectancy Score]],"")</f>
        <v/>
      </c>
      <c r="AO105" s="203" t="str">
        <f>IF(tblRiskRegister[[#This Row],[Risk Score]]&gt;AcceptableRisk,IF(tblRiskRegister[[#This Row],[Risk Treatment Safeguard Risk Score]]&lt;AcceptableRisk, IF(tblRiskRegister[[#This Row],[Risk Treatment Safeguard Risk Score]]&lt;=tblRiskRegister[[#This Row],[Risk Score]],"Yes","No"),"No"),"Yes")</f>
        <v>No</v>
      </c>
      <c r="AP105" s="15"/>
      <c r="AQ105" s="15"/>
      <c r="AR105" s="16"/>
    </row>
    <row r="106" spans="2:44" ht="38.25" x14ac:dyDescent="0.2">
      <c r="B106" s="207">
        <v>12.4</v>
      </c>
      <c r="C106" s="194" t="s">
        <v>215</v>
      </c>
      <c r="D106" s="88" t="s">
        <v>90</v>
      </c>
      <c r="E106" s="274" t="s">
        <v>654</v>
      </c>
      <c r="F106" s="14"/>
      <c r="G106" s="88" t="s">
        <v>463</v>
      </c>
      <c r="H106" s="88" t="s">
        <v>463</v>
      </c>
      <c r="I106" s="223"/>
      <c r="J106" s="292" t="s">
        <v>666</v>
      </c>
      <c r="K106" s="292" t="s">
        <v>666</v>
      </c>
      <c r="L106" s="292" t="s">
        <v>666</v>
      </c>
      <c r="M106" s="292" t="s">
        <v>666</v>
      </c>
      <c r="N106" s="292" t="s">
        <v>666</v>
      </c>
      <c r="O106" s="295">
        <f>COUNTIF(tblRiskRegister[[#This Row],[Defends Against Malware]:[Defends Against Targeted Intrusions]],"Yes")</f>
        <v>0</v>
      </c>
      <c r="P106" s="12"/>
      <c r="Q106" s="12"/>
      <c r="R106" s="12"/>
      <c r="S106" s="12"/>
      <c r="T106" s="13"/>
      <c r="U106" s="199">
        <f>IFERROR(VLOOKUP(tblRiskRegister[[#This Row],[Asset Class]],tblVCDBIndex[],4,FALSE),"")</f>
        <v>1</v>
      </c>
      <c r="V106" s="24" t="str">
        <f>IFERROR(VLOOKUP(10*tblRiskRegister[[#This Row],[Safeguard Maturity Score]]+tblRiskRegister[[#This Row],[VCDB Index]],tblHITIndexWeightTable[],4,FALSE),"")</f>
        <v/>
      </c>
      <c r="W106" s="301"/>
      <c r="X106" s="301"/>
      <c r="Y106" s="301"/>
      <c r="Z106" s="301"/>
      <c r="AA106" s="24" t="str">
        <f>IFERROR(MAX(tblRiskRegister[[#This Row],[Impact to Mission]:[Impact to Obligations]])*tblRiskRegister[[#This Row],[Expectancy Score]],"")</f>
        <v/>
      </c>
      <c r="AB106" s="24" t="str">
        <f>tblRiskRegister[[#This Row],[Risk Score]]</f>
        <v/>
      </c>
      <c r="AC106" s="79"/>
      <c r="AD106" s="206">
        <v>12.4</v>
      </c>
      <c r="AE106" s="194" t="s">
        <v>215</v>
      </c>
      <c r="AF106" s="194" t="s">
        <v>415</v>
      </c>
      <c r="AG106" s="213"/>
      <c r="AH106" s="13"/>
      <c r="AI106" s="22" t="str">
        <f>IFERROR(VLOOKUP(10*tblRiskRegister[[#This Row],[Risk Treatment Safeguard Maturity Score]]+tblRiskRegister[[#This Row],[VCDB Index]],tblHITIndexWeightTable[],4,FALSE),"")</f>
        <v/>
      </c>
      <c r="AJ106" s="302"/>
      <c r="AK106" s="302"/>
      <c r="AL106" s="302"/>
      <c r="AM106" s="302"/>
      <c r="AN106" s="100" t="str">
        <f>IFERROR(MAX(tblRiskRegister[[#This Row],[Risk Treatment Safeguard Impact to Mission]:[Risk Treatment Safeguard Impact to Obligations]])*tblRiskRegister[[#This Row],[Risk Treatment
Safeguard Expectancy Score]],"")</f>
        <v/>
      </c>
      <c r="AO106" s="203" t="str">
        <f>IF(tblRiskRegister[[#This Row],[Risk Score]]&gt;AcceptableRisk,IF(tblRiskRegister[[#This Row],[Risk Treatment Safeguard Risk Score]]&lt;AcceptableRisk, IF(tblRiskRegister[[#This Row],[Risk Treatment Safeguard Risk Score]]&lt;=tblRiskRegister[[#This Row],[Risk Score]],"Yes","No"),"No"),"Yes")</f>
        <v>No</v>
      </c>
      <c r="AP106" s="15"/>
      <c r="AQ106" s="15"/>
      <c r="AR106" s="16"/>
    </row>
    <row r="107" spans="2:44" ht="51" x14ac:dyDescent="0.2">
      <c r="B107" s="207">
        <v>12.5</v>
      </c>
      <c r="C107" s="194" t="s">
        <v>216</v>
      </c>
      <c r="D107" s="88" t="s">
        <v>90</v>
      </c>
      <c r="E107" s="274" t="s">
        <v>657</v>
      </c>
      <c r="F107" s="14"/>
      <c r="G107" s="88" t="s">
        <v>463</v>
      </c>
      <c r="H107" s="88" t="s">
        <v>463</v>
      </c>
      <c r="I107" s="223"/>
      <c r="J107" s="292" t="s">
        <v>666</v>
      </c>
      <c r="K107" s="292" t="s">
        <v>666</v>
      </c>
      <c r="L107" s="292" t="s">
        <v>666</v>
      </c>
      <c r="M107" s="292" t="s">
        <v>666</v>
      </c>
      <c r="N107" s="292" t="s">
        <v>666</v>
      </c>
      <c r="O107" s="295">
        <f>COUNTIF(tblRiskRegister[[#This Row],[Defends Against Malware]:[Defends Against Targeted Intrusions]],"Yes")</f>
        <v>0</v>
      </c>
      <c r="P107" s="12"/>
      <c r="Q107" s="12"/>
      <c r="R107" s="12"/>
      <c r="S107" s="12"/>
      <c r="T107" s="13"/>
      <c r="U107" s="199">
        <f>IFERROR(VLOOKUP(tblRiskRegister[[#This Row],[Asset Class]],tblVCDBIndex[],4,FALSE),"")</f>
        <v>1</v>
      </c>
      <c r="V107" s="24" t="str">
        <f>IFERROR(VLOOKUP(10*tblRiskRegister[[#This Row],[Safeguard Maturity Score]]+tblRiskRegister[[#This Row],[VCDB Index]],tblHITIndexWeightTable[],4,FALSE),"")</f>
        <v/>
      </c>
      <c r="W107" s="301"/>
      <c r="X107" s="301"/>
      <c r="Y107" s="301"/>
      <c r="Z107" s="301"/>
      <c r="AA107" s="24" t="str">
        <f>IFERROR(MAX(tblRiskRegister[[#This Row],[Impact to Mission]:[Impact to Obligations]])*tblRiskRegister[[#This Row],[Expectancy Score]],"")</f>
        <v/>
      </c>
      <c r="AB107" s="24" t="str">
        <f>tblRiskRegister[[#This Row],[Risk Score]]</f>
        <v/>
      </c>
      <c r="AC107" s="79"/>
      <c r="AD107" s="206">
        <v>12.5</v>
      </c>
      <c r="AE107" s="194" t="s">
        <v>216</v>
      </c>
      <c r="AF107" s="194" t="s">
        <v>416</v>
      </c>
      <c r="AG107" s="213"/>
      <c r="AH107" s="13"/>
      <c r="AI107" s="22" t="str">
        <f>IFERROR(VLOOKUP(10*tblRiskRegister[[#This Row],[Risk Treatment Safeguard Maturity Score]]+tblRiskRegister[[#This Row],[VCDB Index]],tblHITIndexWeightTable[],4,FALSE),"")</f>
        <v/>
      </c>
      <c r="AJ107" s="302"/>
      <c r="AK107" s="302"/>
      <c r="AL107" s="302"/>
      <c r="AM107" s="302"/>
      <c r="AN107" s="100" t="str">
        <f>IFERROR(MAX(tblRiskRegister[[#This Row],[Risk Treatment Safeguard Impact to Mission]:[Risk Treatment Safeguard Impact to Obligations]])*tblRiskRegister[[#This Row],[Risk Treatment
Safeguard Expectancy Score]],"")</f>
        <v/>
      </c>
      <c r="AO107" s="203" t="str">
        <f>IF(tblRiskRegister[[#This Row],[Risk Score]]&gt;AcceptableRisk,IF(tblRiskRegister[[#This Row],[Risk Treatment Safeguard Risk Score]]&lt;AcceptableRisk, IF(tblRiskRegister[[#This Row],[Risk Treatment Safeguard Risk Score]]&lt;=tblRiskRegister[[#This Row],[Risk Score]],"Yes","No"),"No"),"Yes")</f>
        <v>No</v>
      </c>
      <c r="AP107" s="15"/>
      <c r="AQ107" s="15"/>
      <c r="AR107" s="16"/>
    </row>
    <row r="108" spans="2:44" ht="51" x14ac:dyDescent="0.2">
      <c r="B108" s="207">
        <v>12.6</v>
      </c>
      <c r="C108" s="194" t="s">
        <v>217</v>
      </c>
      <c r="D108" s="88" t="s">
        <v>90</v>
      </c>
      <c r="E108" s="274" t="s">
        <v>657</v>
      </c>
      <c r="F108" s="14"/>
      <c r="G108" s="88" t="s">
        <v>463</v>
      </c>
      <c r="H108" s="88" t="s">
        <v>463</v>
      </c>
      <c r="I108" s="223"/>
      <c r="J108" s="292" t="s">
        <v>666</v>
      </c>
      <c r="K108" s="292" t="s">
        <v>666</v>
      </c>
      <c r="L108" s="292" t="s">
        <v>666</v>
      </c>
      <c r="M108" s="292" t="s">
        <v>666</v>
      </c>
      <c r="N108" s="292" t="s">
        <v>666</v>
      </c>
      <c r="O108" s="295">
        <f>COUNTIF(tblRiskRegister[[#This Row],[Defends Against Malware]:[Defends Against Targeted Intrusions]],"Yes")</f>
        <v>0</v>
      </c>
      <c r="P108" s="12"/>
      <c r="Q108" s="12"/>
      <c r="R108" s="12"/>
      <c r="S108" s="12"/>
      <c r="T108" s="13"/>
      <c r="U108" s="199">
        <f>IFERROR(VLOOKUP(tblRiskRegister[[#This Row],[Asset Class]],tblVCDBIndex[],4,FALSE),"")</f>
        <v>1</v>
      </c>
      <c r="V108" s="24" t="str">
        <f>IFERROR(VLOOKUP(10*tblRiskRegister[[#This Row],[Safeguard Maturity Score]]+tblRiskRegister[[#This Row],[VCDB Index]],tblHITIndexWeightTable[],4,FALSE),"")</f>
        <v/>
      </c>
      <c r="W108" s="301"/>
      <c r="X108" s="301"/>
      <c r="Y108" s="301"/>
      <c r="Z108" s="301"/>
      <c r="AA108" s="24" t="str">
        <f>IFERROR(MAX(tblRiskRegister[[#This Row],[Impact to Mission]:[Impact to Obligations]])*tblRiskRegister[[#This Row],[Expectancy Score]],"")</f>
        <v/>
      </c>
      <c r="AB108" s="24" t="str">
        <f>tblRiskRegister[[#This Row],[Risk Score]]</f>
        <v/>
      </c>
      <c r="AC108" s="79"/>
      <c r="AD108" s="206">
        <v>12.6</v>
      </c>
      <c r="AE108" s="194" t="s">
        <v>217</v>
      </c>
      <c r="AF108" s="194" t="s">
        <v>417</v>
      </c>
      <c r="AG108" s="213"/>
      <c r="AH108" s="13"/>
      <c r="AI108" s="22" t="str">
        <f>IFERROR(VLOOKUP(10*tblRiskRegister[[#This Row],[Risk Treatment Safeguard Maturity Score]]+tblRiskRegister[[#This Row],[VCDB Index]],tblHITIndexWeightTable[],4,FALSE),"")</f>
        <v/>
      </c>
      <c r="AJ108" s="302"/>
      <c r="AK108" s="302"/>
      <c r="AL108" s="302"/>
      <c r="AM108" s="302"/>
      <c r="AN108" s="100" t="str">
        <f>IFERROR(MAX(tblRiskRegister[[#This Row],[Risk Treatment Safeguard Impact to Mission]:[Risk Treatment Safeguard Impact to Obligations]])*tblRiskRegister[[#This Row],[Risk Treatment
Safeguard Expectancy Score]],"")</f>
        <v/>
      </c>
      <c r="AO108" s="203" t="str">
        <f>IF(tblRiskRegister[[#This Row],[Risk Score]]&gt;AcceptableRisk,IF(tblRiskRegister[[#This Row],[Risk Treatment Safeguard Risk Score]]&lt;AcceptableRisk, IF(tblRiskRegister[[#This Row],[Risk Treatment Safeguard Risk Score]]&lt;=tblRiskRegister[[#This Row],[Risk Score]],"Yes","No"),"No"),"Yes")</f>
        <v>No</v>
      </c>
      <c r="AP108" s="15"/>
      <c r="AQ108" s="15"/>
      <c r="AR108" s="16"/>
    </row>
    <row r="109" spans="2:44" ht="63.75" x14ac:dyDescent="0.2">
      <c r="B109" s="207">
        <v>12.7</v>
      </c>
      <c r="C109" s="194" t="s">
        <v>189</v>
      </c>
      <c r="D109" s="88" t="s">
        <v>88</v>
      </c>
      <c r="E109" s="274" t="s">
        <v>657</v>
      </c>
      <c r="F109" s="14"/>
      <c r="G109" s="88" t="s">
        <v>463</v>
      </c>
      <c r="H109" s="88" t="s">
        <v>463</v>
      </c>
      <c r="I109" s="223"/>
      <c r="J109" s="293" t="s">
        <v>667</v>
      </c>
      <c r="K109" s="293" t="s">
        <v>667</v>
      </c>
      <c r="L109" s="293" t="s">
        <v>667</v>
      </c>
      <c r="M109" s="293" t="s">
        <v>667</v>
      </c>
      <c r="N109" s="293" t="s">
        <v>667</v>
      </c>
      <c r="O109" s="295">
        <f>COUNTIF(tblRiskRegister[[#This Row],[Defends Against Malware]:[Defends Against Targeted Intrusions]],"Yes")</f>
        <v>5</v>
      </c>
      <c r="P109" s="12"/>
      <c r="Q109" s="12"/>
      <c r="R109" s="12"/>
      <c r="S109" s="12"/>
      <c r="T109" s="13"/>
      <c r="U109" s="199">
        <f>IFERROR(VLOOKUP(tblRiskRegister[[#This Row],[Asset Class]],tblVCDBIndex[],4,FALSE),"")</f>
        <v>1</v>
      </c>
      <c r="V109" s="24" t="str">
        <f>IFERROR(VLOOKUP(10*tblRiskRegister[[#This Row],[Safeguard Maturity Score]]+tblRiskRegister[[#This Row],[VCDB Index]],tblHITIndexWeightTable[],4,FALSE),"")</f>
        <v/>
      </c>
      <c r="W109" s="301"/>
      <c r="X109" s="301"/>
      <c r="Y109" s="301"/>
      <c r="Z109" s="301"/>
      <c r="AA109" s="24" t="str">
        <f>IFERROR(MAX(tblRiskRegister[[#This Row],[Impact to Mission]:[Impact to Obligations]])*tblRiskRegister[[#This Row],[Expectancy Score]],"")</f>
        <v/>
      </c>
      <c r="AB109" s="24" t="str">
        <f>tblRiskRegister[[#This Row],[Risk Score]]</f>
        <v/>
      </c>
      <c r="AC109" s="79"/>
      <c r="AD109" s="206">
        <v>12.7</v>
      </c>
      <c r="AE109" s="194" t="s">
        <v>189</v>
      </c>
      <c r="AF109" s="194" t="s">
        <v>418</v>
      </c>
      <c r="AG109" s="213"/>
      <c r="AH109" s="13"/>
      <c r="AI109" s="22" t="str">
        <f>IFERROR(VLOOKUP(10*tblRiskRegister[[#This Row],[Risk Treatment Safeguard Maturity Score]]+tblRiskRegister[[#This Row],[VCDB Index]],tblHITIndexWeightTable[],4,FALSE),"")</f>
        <v/>
      </c>
      <c r="AJ109" s="302"/>
      <c r="AK109" s="302"/>
      <c r="AL109" s="302"/>
      <c r="AM109" s="302"/>
      <c r="AN109" s="100" t="str">
        <f>IFERROR(MAX(tblRiskRegister[[#This Row],[Risk Treatment Safeguard Impact to Mission]:[Risk Treatment Safeguard Impact to Obligations]])*tblRiskRegister[[#This Row],[Risk Treatment
Safeguard Expectancy Score]],"")</f>
        <v/>
      </c>
      <c r="AO109" s="203" t="str">
        <f>IF(tblRiskRegister[[#This Row],[Risk Score]]&gt;AcceptableRisk,IF(tblRiskRegister[[#This Row],[Risk Treatment Safeguard Risk Score]]&lt;AcceptableRisk, IF(tblRiskRegister[[#This Row],[Risk Treatment Safeguard Risk Score]]&lt;=tblRiskRegister[[#This Row],[Risk Score]],"Yes","No"),"No"),"Yes")</f>
        <v>No</v>
      </c>
      <c r="AP109" s="15"/>
      <c r="AQ109" s="15"/>
      <c r="AR109" s="16"/>
    </row>
    <row r="110" spans="2:44" ht="51" x14ac:dyDescent="0.2">
      <c r="B110" s="207">
        <v>12.8</v>
      </c>
      <c r="C110" s="194" t="s">
        <v>535</v>
      </c>
      <c r="D110" s="88" t="s">
        <v>88</v>
      </c>
      <c r="E110" s="274" t="s">
        <v>657</v>
      </c>
      <c r="F110" s="14"/>
      <c r="G110" s="88"/>
      <c r="H110" s="88" t="s">
        <v>463</v>
      </c>
      <c r="I110" s="223"/>
      <c r="J110" s="293" t="s">
        <v>667</v>
      </c>
      <c r="K110" s="293" t="s">
        <v>667</v>
      </c>
      <c r="L110" s="293" t="s">
        <v>667</v>
      </c>
      <c r="M110" s="293" t="s">
        <v>667</v>
      </c>
      <c r="N110" s="293" t="s">
        <v>667</v>
      </c>
      <c r="O110" s="295">
        <f>COUNTIF(tblRiskRegister[[#This Row],[Defends Against Malware]:[Defends Against Targeted Intrusions]],"Yes")</f>
        <v>5</v>
      </c>
      <c r="P110" s="12"/>
      <c r="Q110" s="12"/>
      <c r="R110" s="12"/>
      <c r="S110" s="12"/>
      <c r="T110" s="13"/>
      <c r="U110" s="199">
        <f>IFERROR(VLOOKUP(tblRiskRegister[[#This Row],[Asset Class]],tblVCDBIndex[],4,FALSE),"")</f>
        <v>1</v>
      </c>
      <c r="V110" s="24" t="str">
        <f>IFERROR(VLOOKUP(10*tblRiskRegister[[#This Row],[Safeguard Maturity Score]]+tblRiskRegister[[#This Row],[VCDB Index]],tblHITIndexWeightTable[],4,FALSE),"")</f>
        <v/>
      </c>
      <c r="W110" s="301"/>
      <c r="X110" s="301"/>
      <c r="Y110" s="301"/>
      <c r="Z110" s="301"/>
      <c r="AA110" s="24" t="str">
        <f>IFERROR(MAX(tblRiskRegister[[#This Row],[Impact to Mission]:[Impact to Obligations]])*tblRiskRegister[[#This Row],[Expectancy Score]],"")</f>
        <v/>
      </c>
      <c r="AB110" s="24" t="str">
        <f>tblRiskRegister[[#This Row],[Risk Score]]</f>
        <v/>
      </c>
      <c r="AC110" s="79"/>
      <c r="AD110" s="206">
        <v>12.8</v>
      </c>
      <c r="AE110" s="194" t="s">
        <v>535</v>
      </c>
      <c r="AF110" s="194" t="s">
        <v>563</v>
      </c>
      <c r="AG110" s="213"/>
      <c r="AH110" s="13"/>
      <c r="AI110" s="22" t="str">
        <f>IFERROR(VLOOKUP(10*tblRiskRegister[[#This Row],[Risk Treatment Safeguard Maturity Score]]+tblRiskRegister[[#This Row],[VCDB Index]],tblHITIndexWeightTable[],4,FALSE),"")</f>
        <v/>
      </c>
      <c r="AJ110" s="302"/>
      <c r="AK110" s="302"/>
      <c r="AL110" s="302"/>
      <c r="AM110" s="302"/>
      <c r="AN110" s="100" t="str">
        <f>IFERROR(MAX(tblRiskRegister[[#This Row],[Risk Treatment Safeguard Impact to Mission]:[Risk Treatment Safeguard Impact to Obligations]])*tblRiskRegister[[#This Row],[Risk Treatment
Safeguard Expectancy Score]],"")</f>
        <v/>
      </c>
      <c r="AO110" s="203" t="str">
        <f>IF(tblRiskRegister[[#This Row],[Risk Score]]&gt;AcceptableRisk,IF(tblRiskRegister[[#This Row],[Risk Treatment Safeguard Risk Score]]&lt;AcceptableRisk, IF(tblRiskRegister[[#This Row],[Risk Treatment Safeguard Risk Score]]&lt;=tblRiskRegister[[#This Row],[Risk Score]],"Yes","No"),"No"),"Yes")</f>
        <v>No</v>
      </c>
      <c r="AP110" s="15"/>
      <c r="AQ110" s="15"/>
      <c r="AR110" s="16"/>
    </row>
    <row r="111" spans="2:44" ht="51" x14ac:dyDescent="0.2">
      <c r="B111" s="207">
        <v>13.1</v>
      </c>
      <c r="C111" s="194" t="s">
        <v>218</v>
      </c>
      <c r="D111" s="88" t="s">
        <v>90</v>
      </c>
      <c r="E111" s="274" t="s">
        <v>656</v>
      </c>
      <c r="F111" s="14"/>
      <c r="G111" s="88" t="s">
        <v>463</v>
      </c>
      <c r="H111" s="88" t="s">
        <v>463</v>
      </c>
      <c r="I111" s="223"/>
      <c r="J111" s="292" t="s">
        <v>666</v>
      </c>
      <c r="K111" s="292" t="s">
        <v>666</v>
      </c>
      <c r="L111" s="292" t="s">
        <v>666</v>
      </c>
      <c r="M111" s="292" t="s">
        <v>666</v>
      </c>
      <c r="N111" s="292" t="s">
        <v>666</v>
      </c>
      <c r="O111" s="295">
        <f>COUNTIF(tblRiskRegister[[#This Row],[Defends Against Malware]:[Defends Against Targeted Intrusions]],"Yes")</f>
        <v>0</v>
      </c>
      <c r="P111" s="12"/>
      <c r="Q111" s="12"/>
      <c r="R111" s="12"/>
      <c r="S111" s="12"/>
      <c r="T111" s="13"/>
      <c r="U111" s="199">
        <f>IFERROR(VLOOKUP(tblRiskRegister[[#This Row],[Asset Class]],tblVCDBIndex[],4,FALSE),"")</f>
        <v>1</v>
      </c>
      <c r="V111" s="24" t="str">
        <f>IFERROR(VLOOKUP(10*tblRiskRegister[[#This Row],[Safeguard Maturity Score]]+tblRiskRegister[[#This Row],[VCDB Index]],tblHITIndexWeightTable[],4,FALSE),"")</f>
        <v/>
      </c>
      <c r="W111" s="301"/>
      <c r="X111" s="301"/>
      <c r="Y111" s="301"/>
      <c r="Z111" s="301"/>
      <c r="AA111" s="24" t="str">
        <f>IFERROR(MAX(tblRiskRegister[[#This Row],[Impact to Mission]:[Impact to Obligations]])*tblRiskRegister[[#This Row],[Expectancy Score]],"")</f>
        <v/>
      </c>
      <c r="AB111" s="24" t="str">
        <f>tblRiskRegister[[#This Row],[Risk Score]]</f>
        <v/>
      </c>
      <c r="AC111" s="79"/>
      <c r="AD111" s="206">
        <v>13.1</v>
      </c>
      <c r="AE111" s="194" t="s">
        <v>218</v>
      </c>
      <c r="AF111" s="194" t="s">
        <v>419</v>
      </c>
      <c r="AG111" s="213"/>
      <c r="AH111" s="13"/>
      <c r="AI111" s="22" t="str">
        <f>IFERROR(VLOOKUP(10*tblRiskRegister[[#This Row],[Risk Treatment Safeguard Maturity Score]]+tblRiskRegister[[#This Row],[VCDB Index]],tblHITIndexWeightTable[],4,FALSE),"")</f>
        <v/>
      </c>
      <c r="AJ111" s="302"/>
      <c r="AK111" s="302"/>
      <c r="AL111" s="302"/>
      <c r="AM111" s="302"/>
      <c r="AN111" s="100" t="str">
        <f>IFERROR(MAX(tblRiskRegister[[#This Row],[Risk Treatment Safeguard Impact to Mission]:[Risk Treatment Safeguard Impact to Obligations]])*tblRiskRegister[[#This Row],[Risk Treatment
Safeguard Expectancy Score]],"")</f>
        <v/>
      </c>
      <c r="AO111" s="203" t="str">
        <f>IF(tblRiskRegister[[#This Row],[Risk Score]]&gt;AcceptableRisk,IF(tblRiskRegister[[#This Row],[Risk Treatment Safeguard Risk Score]]&lt;AcceptableRisk, IF(tblRiskRegister[[#This Row],[Risk Treatment Safeguard Risk Score]]&lt;=tblRiskRegister[[#This Row],[Risk Score]],"Yes","No"),"No"),"Yes")</f>
        <v>No</v>
      </c>
      <c r="AP111" s="15"/>
      <c r="AQ111" s="15"/>
      <c r="AR111" s="16"/>
    </row>
    <row r="112" spans="2:44" ht="38.25" x14ac:dyDescent="0.2">
      <c r="B112" s="207">
        <v>13.2</v>
      </c>
      <c r="C112" s="194" t="s">
        <v>190</v>
      </c>
      <c r="D112" s="88" t="s">
        <v>88</v>
      </c>
      <c r="E112" s="274" t="s">
        <v>656</v>
      </c>
      <c r="F112" s="14"/>
      <c r="G112" s="88" t="s">
        <v>463</v>
      </c>
      <c r="H112" s="88" t="s">
        <v>463</v>
      </c>
      <c r="I112" s="223"/>
      <c r="J112" s="293" t="s">
        <v>667</v>
      </c>
      <c r="K112" s="293" t="s">
        <v>667</v>
      </c>
      <c r="L112" s="293" t="s">
        <v>667</v>
      </c>
      <c r="M112" s="293" t="s">
        <v>667</v>
      </c>
      <c r="N112" s="293" t="s">
        <v>667</v>
      </c>
      <c r="O112" s="295">
        <f>COUNTIF(tblRiskRegister[[#This Row],[Defends Against Malware]:[Defends Against Targeted Intrusions]],"Yes")</f>
        <v>5</v>
      </c>
      <c r="P112" s="12"/>
      <c r="Q112" s="12"/>
      <c r="R112" s="12"/>
      <c r="S112" s="12"/>
      <c r="T112" s="13"/>
      <c r="U112" s="199">
        <f>IFERROR(VLOOKUP(tblRiskRegister[[#This Row],[Asset Class]],tblVCDBIndex[],4,FALSE),"")</f>
        <v>1</v>
      </c>
      <c r="V112" s="24" t="str">
        <f>IFERROR(VLOOKUP(10*tblRiskRegister[[#This Row],[Safeguard Maturity Score]]+tblRiskRegister[[#This Row],[VCDB Index]],tblHITIndexWeightTable[],4,FALSE),"")</f>
        <v/>
      </c>
      <c r="W112" s="301"/>
      <c r="X112" s="301"/>
      <c r="Y112" s="301"/>
      <c r="Z112" s="301"/>
      <c r="AA112" s="24" t="str">
        <f>IFERROR(MAX(tblRiskRegister[[#This Row],[Impact to Mission]:[Impact to Obligations]])*tblRiskRegister[[#This Row],[Expectancy Score]],"")</f>
        <v/>
      </c>
      <c r="AB112" s="24" t="str">
        <f>tblRiskRegister[[#This Row],[Risk Score]]</f>
        <v/>
      </c>
      <c r="AC112" s="79"/>
      <c r="AD112" s="206">
        <v>13.2</v>
      </c>
      <c r="AE112" s="194" t="s">
        <v>190</v>
      </c>
      <c r="AF112" s="194" t="s">
        <v>420</v>
      </c>
      <c r="AG112" s="213"/>
      <c r="AH112" s="13"/>
      <c r="AI112" s="22" t="str">
        <f>IFERROR(VLOOKUP(10*tblRiskRegister[[#This Row],[Risk Treatment Safeguard Maturity Score]]+tblRiskRegister[[#This Row],[VCDB Index]],tblHITIndexWeightTable[],4,FALSE),"")</f>
        <v/>
      </c>
      <c r="AJ112" s="302"/>
      <c r="AK112" s="302"/>
      <c r="AL112" s="302"/>
      <c r="AM112" s="302"/>
      <c r="AN112" s="100" t="str">
        <f>IFERROR(MAX(tblRiskRegister[[#This Row],[Risk Treatment Safeguard Impact to Mission]:[Risk Treatment Safeguard Impact to Obligations]])*tblRiskRegister[[#This Row],[Risk Treatment
Safeguard Expectancy Score]],"")</f>
        <v/>
      </c>
      <c r="AO112" s="203" t="str">
        <f>IF(tblRiskRegister[[#This Row],[Risk Score]]&gt;AcceptableRisk,IF(tblRiskRegister[[#This Row],[Risk Treatment Safeguard Risk Score]]&lt;AcceptableRisk, IF(tblRiskRegister[[#This Row],[Risk Treatment Safeguard Risk Score]]&lt;=tblRiskRegister[[#This Row],[Risk Score]],"Yes","No"),"No"),"Yes")</f>
        <v>No</v>
      </c>
      <c r="AP112" s="15"/>
      <c r="AQ112" s="15"/>
      <c r="AR112" s="16"/>
    </row>
    <row r="113" spans="2:44" ht="38.25" x14ac:dyDescent="0.2">
      <c r="B113" s="207">
        <v>13.3</v>
      </c>
      <c r="C113" s="194" t="s">
        <v>219</v>
      </c>
      <c r="D113" s="88" t="s">
        <v>90</v>
      </c>
      <c r="E113" s="274" t="s">
        <v>656</v>
      </c>
      <c r="F113" s="14"/>
      <c r="G113" s="88" t="s">
        <v>463</v>
      </c>
      <c r="H113" s="88" t="s">
        <v>463</v>
      </c>
      <c r="I113" s="223"/>
      <c r="J113" s="293" t="s">
        <v>667</v>
      </c>
      <c r="K113" s="293" t="s">
        <v>667</v>
      </c>
      <c r="L113" s="293" t="s">
        <v>667</v>
      </c>
      <c r="M113" s="293" t="s">
        <v>667</v>
      </c>
      <c r="N113" s="293" t="s">
        <v>667</v>
      </c>
      <c r="O113" s="295">
        <f>COUNTIF(tblRiskRegister[[#This Row],[Defends Against Malware]:[Defends Against Targeted Intrusions]],"Yes")</f>
        <v>5</v>
      </c>
      <c r="P113" s="12"/>
      <c r="Q113" s="12"/>
      <c r="R113" s="12"/>
      <c r="S113" s="12"/>
      <c r="T113" s="13"/>
      <c r="U113" s="199">
        <f>IFERROR(VLOOKUP(tblRiskRegister[[#This Row],[Asset Class]],tblVCDBIndex[],4,FALSE),"")</f>
        <v>1</v>
      </c>
      <c r="V113" s="24" t="str">
        <f>IFERROR(VLOOKUP(10*tblRiskRegister[[#This Row],[Safeguard Maturity Score]]+tblRiskRegister[[#This Row],[VCDB Index]],tblHITIndexWeightTable[],4,FALSE),"")</f>
        <v/>
      </c>
      <c r="W113" s="301"/>
      <c r="X113" s="301"/>
      <c r="Y113" s="301"/>
      <c r="Z113" s="301"/>
      <c r="AA113" s="24" t="str">
        <f>IFERROR(MAX(tblRiskRegister[[#This Row],[Impact to Mission]:[Impact to Obligations]])*tblRiskRegister[[#This Row],[Expectancy Score]],"")</f>
        <v/>
      </c>
      <c r="AB113" s="24" t="str">
        <f>tblRiskRegister[[#This Row],[Risk Score]]</f>
        <v/>
      </c>
      <c r="AC113" s="79"/>
      <c r="AD113" s="206">
        <v>13.3</v>
      </c>
      <c r="AE113" s="194" t="s">
        <v>219</v>
      </c>
      <c r="AF113" s="194" t="s">
        <v>421</v>
      </c>
      <c r="AG113" s="213"/>
      <c r="AH113" s="13"/>
      <c r="AI113" s="22" t="str">
        <f>IFERROR(VLOOKUP(10*tblRiskRegister[[#This Row],[Risk Treatment Safeguard Maturity Score]]+tblRiskRegister[[#This Row],[VCDB Index]],tblHITIndexWeightTable[],4,FALSE),"")</f>
        <v/>
      </c>
      <c r="AJ113" s="302"/>
      <c r="AK113" s="302"/>
      <c r="AL113" s="302"/>
      <c r="AM113" s="302"/>
      <c r="AN113" s="100" t="str">
        <f>IFERROR(MAX(tblRiskRegister[[#This Row],[Risk Treatment Safeguard Impact to Mission]:[Risk Treatment Safeguard Impact to Obligations]])*tblRiskRegister[[#This Row],[Risk Treatment
Safeguard Expectancy Score]],"")</f>
        <v/>
      </c>
      <c r="AO113" s="203" t="str">
        <f>IF(tblRiskRegister[[#This Row],[Risk Score]]&gt;AcceptableRisk,IF(tblRiskRegister[[#This Row],[Risk Treatment Safeguard Risk Score]]&lt;AcceptableRisk, IF(tblRiskRegister[[#This Row],[Risk Treatment Safeguard Risk Score]]&lt;=tblRiskRegister[[#This Row],[Risk Score]],"Yes","No"),"No"),"Yes")</f>
        <v>No</v>
      </c>
      <c r="AP113" s="15"/>
      <c r="AQ113" s="15"/>
      <c r="AR113" s="16"/>
    </row>
    <row r="114" spans="2:44" ht="38.25" x14ac:dyDescent="0.2">
      <c r="B114" s="207">
        <v>13.4</v>
      </c>
      <c r="C114" s="194" t="s">
        <v>220</v>
      </c>
      <c r="D114" s="88" t="s">
        <v>90</v>
      </c>
      <c r="E114" s="274" t="s">
        <v>657</v>
      </c>
      <c r="F114" s="14"/>
      <c r="G114" s="88" t="s">
        <v>463</v>
      </c>
      <c r="H114" s="88" t="s">
        <v>463</v>
      </c>
      <c r="I114" s="223"/>
      <c r="J114" s="293" t="s">
        <v>667</v>
      </c>
      <c r="K114" s="293" t="s">
        <v>667</v>
      </c>
      <c r="L114" s="293" t="s">
        <v>667</v>
      </c>
      <c r="M114" s="293" t="s">
        <v>667</v>
      </c>
      <c r="N114" s="293" t="s">
        <v>667</v>
      </c>
      <c r="O114" s="295">
        <f>COUNTIF(tblRiskRegister[[#This Row],[Defends Against Malware]:[Defends Against Targeted Intrusions]],"Yes")</f>
        <v>5</v>
      </c>
      <c r="P114" s="12"/>
      <c r="Q114" s="12"/>
      <c r="R114" s="12"/>
      <c r="S114" s="12"/>
      <c r="T114" s="13"/>
      <c r="U114" s="199">
        <f>IFERROR(VLOOKUP(tblRiskRegister[[#This Row],[Asset Class]],tblVCDBIndex[],4,FALSE),"")</f>
        <v>1</v>
      </c>
      <c r="V114" s="24" t="str">
        <f>IFERROR(VLOOKUP(10*tblRiskRegister[[#This Row],[Safeguard Maturity Score]]+tblRiskRegister[[#This Row],[VCDB Index]],tblHITIndexWeightTable[],4,FALSE),"")</f>
        <v/>
      </c>
      <c r="W114" s="301"/>
      <c r="X114" s="301"/>
      <c r="Y114" s="301"/>
      <c r="Z114" s="301"/>
      <c r="AA114" s="24" t="str">
        <f>IFERROR(MAX(tblRiskRegister[[#This Row],[Impact to Mission]:[Impact to Obligations]])*tblRiskRegister[[#This Row],[Expectancy Score]],"")</f>
        <v/>
      </c>
      <c r="AB114" s="24" t="str">
        <f>tblRiskRegister[[#This Row],[Risk Score]]</f>
        <v/>
      </c>
      <c r="AC114" s="79"/>
      <c r="AD114" s="206">
        <v>13.4</v>
      </c>
      <c r="AE114" s="194" t="s">
        <v>220</v>
      </c>
      <c r="AF114" s="194" t="s">
        <v>422</v>
      </c>
      <c r="AG114" s="213"/>
      <c r="AH114" s="13"/>
      <c r="AI114" s="22" t="str">
        <f>IFERROR(VLOOKUP(10*tblRiskRegister[[#This Row],[Risk Treatment Safeguard Maturity Score]]+tblRiskRegister[[#This Row],[VCDB Index]],tblHITIndexWeightTable[],4,FALSE),"")</f>
        <v/>
      </c>
      <c r="AJ114" s="302"/>
      <c r="AK114" s="302"/>
      <c r="AL114" s="302"/>
      <c r="AM114" s="302"/>
      <c r="AN114" s="100" t="str">
        <f>IFERROR(MAX(tblRiskRegister[[#This Row],[Risk Treatment Safeguard Impact to Mission]:[Risk Treatment Safeguard Impact to Obligations]])*tblRiskRegister[[#This Row],[Risk Treatment
Safeguard Expectancy Score]],"")</f>
        <v/>
      </c>
      <c r="AO114" s="203" t="str">
        <f>IF(tblRiskRegister[[#This Row],[Risk Score]]&gt;AcceptableRisk,IF(tblRiskRegister[[#This Row],[Risk Treatment Safeguard Risk Score]]&lt;AcceptableRisk, IF(tblRiskRegister[[#This Row],[Risk Treatment Safeguard Risk Score]]&lt;=tblRiskRegister[[#This Row],[Risk Score]],"Yes","No"),"No"),"Yes")</f>
        <v>No</v>
      </c>
      <c r="AP114" s="15"/>
      <c r="AQ114" s="15"/>
      <c r="AR114" s="16"/>
    </row>
    <row r="115" spans="2:44" ht="51" x14ac:dyDescent="0.2">
      <c r="B115" s="207">
        <v>13.5</v>
      </c>
      <c r="C115" s="194" t="s">
        <v>191</v>
      </c>
      <c r="D115" s="88" t="s">
        <v>88</v>
      </c>
      <c r="E115" s="274" t="s">
        <v>657</v>
      </c>
      <c r="F115" s="14"/>
      <c r="G115" s="88" t="s">
        <v>463</v>
      </c>
      <c r="H115" s="88" t="s">
        <v>463</v>
      </c>
      <c r="I115" s="223"/>
      <c r="J115" s="293" t="s">
        <v>667</v>
      </c>
      <c r="K115" s="293" t="s">
        <v>667</v>
      </c>
      <c r="L115" s="293" t="s">
        <v>667</v>
      </c>
      <c r="M115" s="293" t="s">
        <v>667</v>
      </c>
      <c r="N115" s="293" t="s">
        <v>667</v>
      </c>
      <c r="O115" s="295">
        <f>COUNTIF(tblRiskRegister[[#This Row],[Defends Against Malware]:[Defends Against Targeted Intrusions]],"Yes")</f>
        <v>5</v>
      </c>
      <c r="P115" s="12"/>
      <c r="Q115" s="12"/>
      <c r="R115" s="12"/>
      <c r="S115" s="12"/>
      <c r="T115" s="13"/>
      <c r="U115" s="199">
        <f>IFERROR(VLOOKUP(tblRiskRegister[[#This Row],[Asset Class]],tblVCDBIndex[],4,FALSE),"")</f>
        <v>1</v>
      </c>
      <c r="V115" s="24" t="str">
        <f>IFERROR(VLOOKUP(10*tblRiskRegister[[#This Row],[Safeguard Maturity Score]]+tblRiskRegister[[#This Row],[VCDB Index]],tblHITIndexWeightTable[],4,FALSE),"")</f>
        <v/>
      </c>
      <c r="W115" s="301"/>
      <c r="X115" s="301"/>
      <c r="Y115" s="301"/>
      <c r="Z115" s="301"/>
      <c r="AA115" s="24" t="str">
        <f>IFERROR(MAX(tblRiskRegister[[#This Row],[Impact to Mission]:[Impact to Obligations]])*tblRiskRegister[[#This Row],[Expectancy Score]],"")</f>
        <v/>
      </c>
      <c r="AB115" s="24" t="str">
        <f>tblRiskRegister[[#This Row],[Risk Score]]</f>
        <v/>
      </c>
      <c r="AC115" s="79"/>
      <c r="AD115" s="206">
        <v>13.5</v>
      </c>
      <c r="AE115" s="194" t="s">
        <v>191</v>
      </c>
      <c r="AF115" s="194" t="s">
        <v>423</v>
      </c>
      <c r="AG115" s="213"/>
      <c r="AH115" s="13"/>
      <c r="AI115" s="22" t="str">
        <f>IFERROR(VLOOKUP(10*tblRiskRegister[[#This Row],[Risk Treatment Safeguard Maturity Score]]+tblRiskRegister[[#This Row],[VCDB Index]],tblHITIndexWeightTable[],4,FALSE),"")</f>
        <v/>
      </c>
      <c r="AJ115" s="302"/>
      <c r="AK115" s="302"/>
      <c r="AL115" s="302"/>
      <c r="AM115" s="302"/>
      <c r="AN115" s="100" t="str">
        <f>IFERROR(MAX(tblRiskRegister[[#This Row],[Risk Treatment Safeguard Impact to Mission]:[Risk Treatment Safeguard Impact to Obligations]])*tblRiskRegister[[#This Row],[Risk Treatment
Safeguard Expectancy Score]],"")</f>
        <v/>
      </c>
      <c r="AO115" s="203" t="str">
        <f>IF(tblRiskRegister[[#This Row],[Risk Score]]&gt;AcceptableRisk,IF(tblRiskRegister[[#This Row],[Risk Treatment Safeguard Risk Score]]&lt;AcceptableRisk, IF(tblRiskRegister[[#This Row],[Risk Treatment Safeguard Risk Score]]&lt;=tblRiskRegister[[#This Row],[Risk Score]],"Yes","No"),"No"),"Yes")</f>
        <v>No</v>
      </c>
      <c r="AP115" s="15"/>
      <c r="AQ115" s="15"/>
      <c r="AR115" s="16"/>
    </row>
    <row r="116" spans="2:44" ht="25.5" x14ac:dyDescent="0.2">
      <c r="B116" s="207">
        <v>13.6</v>
      </c>
      <c r="C116" s="194" t="s">
        <v>221</v>
      </c>
      <c r="D116" s="88" t="s">
        <v>90</v>
      </c>
      <c r="E116" s="274" t="s">
        <v>656</v>
      </c>
      <c r="F116" s="14"/>
      <c r="G116" s="88" t="s">
        <v>463</v>
      </c>
      <c r="H116" s="88" t="s">
        <v>463</v>
      </c>
      <c r="I116" s="223"/>
      <c r="J116" s="292" t="s">
        <v>666</v>
      </c>
      <c r="K116" s="292" t="s">
        <v>666</v>
      </c>
      <c r="L116" s="292" t="s">
        <v>666</v>
      </c>
      <c r="M116" s="292" t="s">
        <v>666</v>
      </c>
      <c r="N116" s="292" t="s">
        <v>666</v>
      </c>
      <c r="O116" s="295">
        <f>COUNTIF(tblRiskRegister[[#This Row],[Defends Against Malware]:[Defends Against Targeted Intrusions]],"Yes")</f>
        <v>0</v>
      </c>
      <c r="P116" s="12"/>
      <c r="Q116" s="12"/>
      <c r="R116" s="12"/>
      <c r="S116" s="12"/>
      <c r="T116" s="13"/>
      <c r="U116" s="199">
        <f>IFERROR(VLOOKUP(tblRiskRegister[[#This Row],[Asset Class]],tblVCDBIndex[],4,FALSE),"")</f>
        <v>1</v>
      </c>
      <c r="V116" s="24" t="str">
        <f>IFERROR(VLOOKUP(10*tblRiskRegister[[#This Row],[Safeguard Maturity Score]]+tblRiskRegister[[#This Row],[VCDB Index]],tblHITIndexWeightTable[],4,FALSE),"")</f>
        <v/>
      </c>
      <c r="W116" s="301"/>
      <c r="X116" s="301"/>
      <c r="Y116" s="301"/>
      <c r="Z116" s="301"/>
      <c r="AA116" s="24" t="str">
        <f>IFERROR(MAX(tblRiskRegister[[#This Row],[Impact to Mission]:[Impact to Obligations]])*tblRiskRegister[[#This Row],[Expectancy Score]],"")</f>
        <v/>
      </c>
      <c r="AB116" s="24" t="str">
        <f>tblRiskRegister[[#This Row],[Risk Score]]</f>
        <v/>
      </c>
      <c r="AC116" s="79"/>
      <c r="AD116" s="206">
        <v>13.6</v>
      </c>
      <c r="AE116" s="194" t="s">
        <v>221</v>
      </c>
      <c r="AF116" s="194" t="s">
        <v>424</v>
      </c>
      <c r="AG116" s="213"/>
      <c r="AH116" s="13"/>
      <c r="AI116" s="22" t="str">
        <f>IFERROR(VLOOKUP(10*tblRiskRegister[[#This Row],[Risk Treatment Safeguard Maturity Score]]+tblRiskRegister[[#This Row],[VCDB Index]],tblHITIndexWeightTable[],4,FALSE),"")</f>
        <v/>
      </c>
      <c r="AJ116" s="302"/>
      <c r="AK116" s="302"/>
      <c r="AL116" s="302"/>
      <c r="AM116" s="302"/>
      <c r="AN116" s="100" t="str">
        <f>IFERROR(MAX(tblRiskRegister[[#This Row],[Risk Treatment Safeguard Impact to Mission]:[Risk Treatment Safeguard Impact to Obligations]])*tblRiskRegister[[#This Row],[Risk Treatment
Safeguard Expectancy Score]],"")</f>
        <v/>
      </c>
      <c r="AO116" s="203" t="str">
        <f>IF(tblRiskRegister[[#This Row],[Risk Score]]&gt;AcceptableRisk,IF(tblRiskRegister[[#This Row],[Risk Treatment Safeguard Risk Score]]&lt;AcceptableRisk, IF(tblRiskRegister[[#This Row],[Risk Treatment Safeguard Risk Score]]&lt;=tblRiskRegister[[#This Row],[Risk Score]],"Yes","No"),"No"),"Yes")</f>
        <v>No</v>
      </c>
      <c r="AP116" s="15"/>
      <c r="AQ116" s="15"/>
      <c r="AR116" s="16"/>
    </row>
    <row r="117" spans="2:44" ht="38.25" x14ac:dyDescent="0.2">
      <c r="B117" s="207">
        <v>13.7</v>
      </c>
      <c r="C117" s="194" t="s">
        <v>532</v>
      </c>
      <c r="D117" s="88" t="s">
        <v>88</v>
      </c>
      <c r="E117" s="274" t="s">
        <v>657</v>
      </c>
      <c r="F117" s="14"/>
      <c r="G117" s="88"/>
      <c r="H117" s="88" t="s">
        <v>463</v>
      </c>
      <c r="I117" s="223"/>
      <c r="J117" s="293" t="s">
        <v>667</v>
      </c>
      <c r="K117" s="293" t="s">
        <v>667</v>
      </c>
      <c r="L117" s="293" t="s">
        <v>667</v>
      </c>
      <c r="M117" s="293" t="s">
        <v>667</v>
      </c>
      <c r="N117" s="293" t="s">
        <v>667</v>
      </c>
      <c r="O117" s="295">
        <f>COUNTIF(tblRiskRegister[[#This Row],[Defends Against Malware]:[Defends Against Targeted Intrusions]],"Yes")</f>
        <v>5</v>
      </c>
      <c r="P117" s="12"/>
      <c r="Q117" s="12"/>
      <c r="R117" s="12"/>
      <c r="S117" s="12"/>
      <c r="T117" s="13"/>
      <c r="U117" s="199">
        <f>IFERROR(VLOOKUP(tblRiskRegister[[#This Row],[Asset Class]],tblVCDBIndex[],4,FALSE),"")</f>
        <v>1</v>
      </c>
      <c r="V117" s="24" t="str">
        <f>IFERROR(VLOOKUP(10*tblRiskRegister[[#This Row],[Safeguard Maturity Score]]+tblRiskRegister[[#This Row],[VCDB Index]],tblHITIndexWeightTable[],4,FALSE),"")</f>
        <v/>
      </c>
      <c r="W117" s="301"/>
      <c r="X117" s="301"/>
      <c r="Y117" s="301"/>
      <c r="Z117" s="301"/>
      <c r="AA117" s="24" t="str">
        <f>IFERROR(MAX(tblRiskRegister[[#This Row],[Impact to Mission]:[Impact to Obligations]])*tblRiskRegister[[#This Row],[Expectancy Score]],"")</f>
        <v/>
      </c>
      <c r="AB117" s="24" t="str">
        <f>tblRiskRegister[[#This Row],[Risk Score]]</f>
        <v/>
      </c>
      <c r="AC117" s="79"/>
      <c r="AD117" s="206">
        <v>13.7</v>
      </c>
      <c r="AE117" s="194" t="s">
        <v>532</v>
      </c>
      <c r="AF117" s="194" t="s">
        <v>564</v>
      </c>
      <c r="AG117" s="213"/>
      <c r="AH117" s="13"/>
      <c r="AI117" s="22" t="str">
        <f>IFERROR(VLOOKUP(10*tblRiskRegister[[#This Row],[Risk Treatment Safeguard Maturity Score]]+tblRiskRegister[[#This Row],[VCDB Index]],tblHITIndexWeightTable[],4,FALSE),"")</f>
        <v/>
      </c>
      <c r="AJ117" s="302"/>
      <c r="AK117" s="302"/>
      <c r="AL117" s="302"/>
      <c r="AM117" s="302"/>
      <c r="AN117" s="100" t="str">
        <f>IFERROR(MAX(tblRiskRegister[[#This Row],[Risk Treatment Safeguard Impact to Mission]:[Risk Treatment Safeguard Impact to Obligations]])*tblRiskRegister[[#This Row],[Risk Treatment
Safeguard Expectancy Score]],"")</f>
        <v/>
      </c>
      <c r="AO117" s="203" t="str">
        <f>IF(tblRiskRegister[[#This Row],[Risk Score]]&gt;AcceptableRisk,IF(tblRiskRegister[[#This Row],[Risk Treatment Safeguard Risk Score]]&lt;AcceptableRisk, IF(tblRiskRegister[[#This Row],[Risk Treatment Safeguard Risk Score]]&lt;=tblRiskRegister[[#This Row],[Risk Score]],"Yes","No"),"No"),"Yes")</f>
        <v>No</v>
      </c>
      <c r="AP117" s="15"/>
      <c r="AQ117" s="15"/>
      <c r="AR117" s="16"/>
    </row>
    <row r="118" spans="2:44" ht="38.25" x14ac:dyDescent="0.2">
      <c r="B118" s="207">
        <v>13.8</v>
      </c>
      <c r="C118" s="194" t="s">
        <v>538</v>
      </c>
      <c r="D118" s="88" t="s">
        <v>90</v>
      </c>
      <c r="E118" s="274" t="s">
        <v>657</v>
      </c>
      <c r="F118" s="14"/>
      <c r="G118" s="88"/>
      <c r="H118" s="88" t="s">
        <v>463</v>
      </c>
      <c r="I118" s="223"/>
      <c r="J118" s="293" t="s">
        <v>667</v>
      </c>
      <c r="K118" s="293" t="s">
        <v>667</v>
      </c>
      <c r="L118" s="293" t="s">
        <v>667</v>
      </c>
      <c r="M118" s="293" t="s">
        <v>667</v>
      </c>
      <c r="N118" s="293" t="s">
        <v>667</v>
      </c>
      <c r="O118" s="295">
        <f>COUNTIF(tblRiskRegister[[#This Row],[Defends Against Malware]:[Defends Against Targeted Intrusions]],"Yes")</f>
        <v>5</v>
      </c>
      <c r="P118" s="12"/>
      <c r="Q118" s="12"/>
      <c r="R118" s="12"/>
      <c r="S118" s="12"/>
      <c r="T118" s="13"/>
      <c r="U118" s="199">
        <f>IFERROR(VLOOKUP(tblRiskRegister[[#This Row],[Asset Class]],tblVCDBIndex[],4,FALSE),"")</f>
        <v>1</v>
      </c>
      <c r="V118" s="24" t="str">
        <f>IFERROR(VLOOKUP(10*tblRiskRegister[[#This Row],[Safeguard Maturity Score]]+tblRiskRegister[[#This Row],[VCDB Index]],tblHITIndexWeightTable[],4,FALSE),"")</f>
        <v/>
      </c>
      <c r="W118" s="301"/>
      <c r="X118" s="301"/>
      <c r="Y118" s="301"/>
      <c r="Z118" s="301"/>
      <c r="AA118" s="24" t="str">
        <f>IFERROR(MAX(tblRiskRegister[[#This Row],[Impact to Mission]:[Impact to Obligations]])*tblRiskRegister[[#This Row],[Expectancy Score]],"")</f>
        <v/>
      </c>
      <c r="AB118" s="24" t="str">
        <f>tblRiskRegister[[#This Row],[Risk Score]]</f>
        <v/>
      </c>
      <c r="AC118" s="79"/>
      <c r="AD118" s="206">
        <v>13.8</v>
      </c>
      <c r="AE118" s="194" t="s">
        <v>538</v>
      </c>
      <c r="AF118" s="194" t="s">
        <v>565</v>
      </c>
      <c r="AG118" s="213"/>
      <c r="AH118" s="13"/>
      <c r="AI118" s="22" t="str">
        <f>IFERROR(VLOOKUP(10*tblRiskRegister[[#This Row],[Risk Treatment Safeguard Maturity Score]]+tblRiskRegister[[#This Row],[VCDB Index]],tblHITIndexWeightTable[],4,FALSE),"")</f>
        <v/>
      </c>
      <c r="AJ118" s="302"/>
      <c r="AK118" s="302"/>
      <c r="AL118" s="302"/>
      <c r="AM118" s="302"/>
      <c r="AN118" s="100" t="str">
        <f>IFERROR(MAX(tblRiskRegister[[#This Row],[Risk Treatment Safeguard Impact to Mission]:[Risk Treatment Safeguard Impact to Obligations]])*tblRiskRegister[[#This Row],[Risk Treatment
Safeguard Expectancy Score]],"")</f>
        <v/>
      </c>
      <c r="AO118" s="203" t="str">
        <f>IF(tblRiskRegister[[#This Row],[Risk Score]]&gt;AcceptableRisk,IF(tblRiskRegister[[#This Row],[Risk Treatment Safeguard Risk Score]]&lt;AcceptableRisk, IF(tblRiskRegister[[#This Row],[Risk Treatment Safeguard Risk Score]]&lt;=tblRiskRegister[[#This Row],[Risk Score]],"Yes","No"),"No"),"Yes")</f>
        <v>No</v>
      </c>
      <c r="AP118" s="15"/>
      <c r="AQ118" s="15"/>
      <c r="AR118" s="16"/>
    </row>
    <row r="119" spans="2:44" ht="38.25" x14ac:dyDescent="0.2">
      <c r="B119" s="207">
        <v>13.9</v>
      </c>
      <c r="C119" s="194" t="s">
        <v>545</v>
      </c>
      <c r="D119" s="88" t="s">
        <v>88</v>
      </c>
      <c r="E119" s="274" t="s">
        <v>657</v>
      </c>
      <c r="F119" s="14"/>
      <c r="G119" s="88"/>
      <c r="H119" s="88" t="s">
        <v>463</v>
      </c>
      <c r="I119" s="223"/>
      <c r="J119" s="292" t="s">
        <v>666</v>
      </c>
      <c r="K119" s="292" t="s">
        <v>666</v>
      </c>
      <c r="L119" s="292" t="s">
        <v>666</v>
      </c>
      <c r="M119" s="292" t="s">
        <v>666</v>
      </c>
      <c r="N119" s="292" t="s">
        <v>666</v>
      </c>
      <c r="O119" s="295">
        <f>COUNTIF(tblRiskRegister[[#This Row],[Defends Against Malware]:[Defends Against Targeted Intrusions]],"Yes")</f>
        <v>0</v>
      </c>
      <c r="P119" s="12"/>
      <c r="Q119" s="12"/>
      <c r="R119" s="12"/>
      <c r="S119" s="12"/>
      <c r="T119" s="13"/>
      <c r="U119" s="199">
        <f>IFERROR(VLOOKUP(tblRiskRegister[[#This Row],[Asset Class]],tblVCDBIndex[],4,FALSE),"")</f>
        <v>1</v>
      </c>
      <c r="V119" s="24" t="str">
        <f>IFERROR(VLOOKUP(10*tblRiskRegister[[#This Row],[Safeguard Maturity Score]]+tblRiskRegister[[#This Row],[VCDB Index]],tblHITIndexWeightTable[],4,FALSE),"")</f>
        <v/>
      </c>
      <c r="W119" s="301"/>
      <c r="X119" s="301"/>
      <c r="Y119" s="301"/>
      <c r="Z119" s="301"/>
      <c r="AA119" s="24" t="str">
        <f>IFERROR(MAX(tblRiskRegister[[#This Row],[Impact to Mission]:[Impact to Obligations]])*tblRiskRegister[[#This Row],[Expectancy Score]],"")</f>
        <v/>
      </c>
      <c r="AB119" s="24" t="str">
        <f>tblRiskRegister[[#This Row],[Risk Score]]</f>
        <v/>
      </c>
      <c r="AC119" s="79"/>
      <c r="AD119" s="206">
        <v>13.9</v>
      </c>
      <c r="AE119" s="194" t="s">
        <v>545</v>
      </c>
      <c r="AF119" s="194" t="s">
        <v>566</v>
      </c>
      <c r="AG119" s="213"/>
      <c r="AH119" s="13"/>
      <c r="AI119" s="22" t="str">
        <f>IFERROR(VLOOKUP(10*tblRiskRegister[[#This Row],[Risk Treatment Safeguard Maturity Score]]+tblRiskRegister[[#This Row],[VCDB Index]],tblHITIndexWeightTable[],4,FALSE),"")</f>
        <v/>
      </c>
      <c r="AJ119" s="302"/>
      <c r="AK119" s="302"/>
      <c r="AL119" s="302"/>
      <c r="AM119" s="302"/>
      <c r="AN119" s="100" t="str">
        <f>IFERROR(MAX(tblRiskRegister[[#This Row],[Risk Treatment Safeguard Impact to Mission]:[Risk Treatment Safeguard Impact to Obligations]])*tblRiskRegister[[#This Row],[Risk Treatment
Safeguard Expectancy Score]],"")</f>
        <v/>
      </c>
      <c r="AO119" s="203" t="str">
        <f>IF(tblRiskRegister[[#This Row],[Risk Score]]&gt;AcceptableRisk,IF(tblRiskRegister[[#This Row],[Risk Treatment Safeguard Risk Score]]&lt;AcceptableRisk, IF(tblRiskRegister[[#This Row],[Risk Treatment Safeguard Risk Score]]&lt;=tblRiskRegister[[#This Row],[Risk Score]],"Yes","No"),"No"),"Yes")</f>
        <v>No</v>
      </c>
      <c r="AP119" s="15"/>
      <c r="AQ119" s="15"/>
      <c r="AR119" s="16"/>
    </row>
    <row r="120" spans="2:44" ht="25.5" x14ac:dyDescent="0.2">
      <c r="B120" s="207" t="s">
        <v>534</v>
      </c>
      <c r="C120" s="194" t="s">
        <v>533</v>
      </c>
      <c r="D120" s="88" t="s">
        <v>90</v>
      </c>
      <c r="E120" s="274" t="s">
        <v>657</v>
      </c>
      <c r="F120" s="14"/>
      <c r="G120" s="88"/>
      <c r="H120" s="88" t="s">
        <v>463</v>
      </c>
      <c r="I120" s="223"/>
      <c r="J120" s="293" t="s">
        <v>667</v>
      </c>
      <c r="K120" s="293" t="s">
        <v>667</v>
      </c>
      <c r="L120" s="293" t="s">
        <v>667</v>
      </c>
      <c r="M120" s="293" t="s">
        <v>667</v>
      </c>
      <c r="N120" s="293" t="s">
        <v>667</v>
      </c>
      <c r="O120" s="295">
        <f>COUNTIF(tblRiskRegister[[#This Row],[Defends Against Malware]:[Defends Against Targeted Intrusions]],"Yes")</f>
        <v>5</v>
      </c>
      <c r="P120" s="12"/>
      <c r="Q120" s="12"/>
      <c r="R120" s="12"/>
      <c r="S120" s="12"/>
      <c r="T120" s="13"/>
      <c r="U120" s="199">
        <f>IFERROR(VLOOKUP(tblRiskRegister[[#This Row],[Asset Class]],tblVCDBIndex[],4,FALSE),"")</f>
        <v>1</v>
      </c>
      <c r="V120" s="24" t="str">
        <f>IFERROR(VLOOKUP(10*tblRiskRegister[[#This Row],[Safeguard Maturity Score]]+tblRiskRegister[[#This Row],[VCDB Index]],tblHITIndexWeightTable[],4,FALSE),"")</f>
        <v/>
      </c>
      <c r="W120" s="301"/>
      <c r="X120" s="301"/>
      <c r="Y120" s="301"/>
      <c r="Z120" s="301"/>
      <c r="AA120" s="24" t="str">
        <f>IFERROR(MAX(tblRiskRegister[[#This Row],[Impact to Mission]:[Impact to Obligations]])*tblRiskRegister[[#This Row],[Expectancy Score]],"")</f>
        <v/>
      </c>
      <c r="AB120" s="24" t="str">
        <f>tblRiskRegister[[#This Row],[Risk Score]]</f>
        <v/>
      </c>
      <c r="AC120" s="79"/>
      <c r="AD120" s="206" t="s">
        <v>534</v>
      </c>
      <c r="AE120" s="194" t="s">
        <v>533</v>
      </c>
      <c r="AF120" s="194" t="s">
        <v>567</v>
      </c>
      <c r="AG120" s="213"/>
      <c r="AH120" s="13"/>
      <c r="AI120" s="22" t="str">
        <f>IFERROR(VLOOKUP(10*tblRiskRegister[[#This Row],[Risk Treatment Safeguard Maturity Score]]+tblRiskRegister[[#This Row],[VCDB Index]],tblHITIndexWeightTable[],4,FALSE),"")</f>
        <v/>
      </c>
      <c r="AJ120" s="302"/>
      <c r="AK120" s="302"/>
      <c r="AL120" s="302"/>
      <c r="AM120" s="302"/>
      <c r="AN120" s="100" t="str">
        <f>IFERROR(MAX(tblRiskRegister[[#This Row],[Risk Treatment Safeguard Impact to Mission]:[Risk Treatment Safeguard Impact to Obligations]])*tblRiskRegister[[#This Row],[Risk Treatment
Safeguard Expectancy Score]],"")</f>
        <v/>
      </c>
      <c r="AO120" s="203" t="str">
        <f>IF(tblRiskRegister[[#This Row],[Risk Score]]&gt;AcceptableRisk,IF(tblRiskRegister[[#This Row],[Risk Treatment Safeguard Risk Score]]&lt;AcceptableRisk, IF(tblRiskRegister[[#This Row],[Risk Treatment Safeguard Risk Score]]&lt;=tblRiskRegister[[#This Row],[Risk Score]],"Yes","No"),"No"),"Yes")</f>
        <v>No</v>
      </c>
      <c r="AP120" s="15"/>
      <c r="AQ120" s="15"/>
      <c r="AR120" s="16"/>
    </row>
    <row r="121" spans="2:44" ht="25.5" x14ac:dyDescent="0.2">
      <c r="B121" s="207">
        <v>13.11</v>
      </c>
      <c r="C121" s="194" t="s">
        <v>546</v>
      </c>
      <c r="D121" s="88" t="s">
        <v>90</v>
      </c>
      <c r="E121" s="274" t="s">
        <v>656</v>
      </c>
      <c r="F121" s="14"/>
      <c r="G121" s="88"/>
      <c r="H121" s="88" t="s">
        <v>463</v>
      </c>
      <c r="I121" s="223"/>
      <c r="J121" s="292" t="s">
        <v>666</v>
      </c>
      <c r="K121" s="292" t="s">
        <v>666</v>
      </c>
      <c r="L121" s="292" t="s">
        <v>666</v>
      </c>
      <c r="M121" s="292" t="s">
        <v>666</v>
      </c>
      <c r="N121" s="292" t="s">
        <v>666</v>
      </c>
      <c r="O121" s="295">
        <f>COUNTIF(tblRiskRegister[[#This Row],[Defends Against Malware]:[Defends Against Targeted Intrusions]],"Yes")</f>
        <v>0</v>
      </c>
      <c r="P121" s="12"/>
      <c r="Q121" s="12"/>
      <c r="R121" s="12"/>
      <c r="S121" s="12"/>
      <c r="T121" s="13"/>
      <c r="U121" s="199">
        <f>IFERROR(VLOOKUP(tblRiskRegister[[#This Row],[Asset Class]],tblVCDBIndex[],4,FALSE),"")</f>
        <v>1</v>
      </c>
      <c r="V121" s="24" t="str">
        <f>IFERROR(VLOOKUP(10*tblRiskRegister[[#This Row],[Safeguard Maturity Score]]+tblRiskRegister[[#This Row],[VCDB Index]],tblHITIndexWeightTable[],4,FALSE),"")</f>
        <v/>
      </c>
      <c r="W121" s="301"/>
      <c r="X121" s="301"/>
      <c r="Y121" s="301"/>
      <c r="Z121" s="301"/>
      <c r="AA121" s="24" t="str">
        <f>IFERROR(MAX(tblRiskRegister[[#This Row],[Impact to Mission]:[Impact to Obligations]])*tblRiskRegister[[#This Row],[Expectancy Score]],"")</f>
        <v/>
      </c>
      <c r="AB121" s="24" t="str">
        <f>tblRiskRegister[[#This Row],[Risk Score]]</f>
        <v/>
      </c>
      <c r="AC121" s="79"/>
      <c r="AD121" s="206">
        <v>13.11</v>
      </c>
      <c r="AE121" s="194" t="s">
        <v>546</v>
      </c>
      <c r="AF121" s="194" t="s">
        <v>568</v>
      </c>
      <c r="AG121" s="213"/>
      <c r="AH121" s="13"/>
      <c r="AI121" s="22" t="str">
        <f>IFERROR(VLOOKUP(10*tblRiskRegister[[#This Row],[Risk Treatment Safeguard Maturity Score]]+tblRiskRegister[[#This Row],[VCDB Index]],tblHITIndexWeightTable[],4,FALSE),"")</f>
        <v/>
      </c>
      <c r="AJ121" s="302"/>
      <c r="AK121" s="302"/>
      <c r="AL121" s="302"/>
      <c r="AM121" s="302"/>
      <c r="AN121" s="100" t="str">
        <f>IFERROR(MAX(tblRiskRegister[[#This Row],[Risk Treatment Safeguard Impact to Mission]:[Risk Treatment Safeguard Impact to Obligations]])*tblRiskRegister[[#This Row],[Risk Treatment
Safeguard Expectancy Score]],"")</f>
        <v/>
      </c>
      <c r="AO121" s="203" t="str">
        <f>IF(tblRiskRegister[[#This Row],[Risk Score]]&gt;AcceptableRisk,IF(tblRiskRegister[[#This Row],[Risk Treatment Safeguard Risk Score]]&lt;AcceptableRisk, IF(tblRiskRegister[[#This Row],[Risk Treatment Safeguard Risk Score]]&lt;=tblRiskRegister[[#This Row],[Risk Score]],"Yes","No"),"No"),"Yes")</f>
        <v>No</v>
      </c>
      <c r="AP121" s="15"/>
      <c r="AQ121" s="15"/>
      <c r="AR121" s="16"/>
    </row>
    <row r="122" spans="2:44" ht="51" x14ac:dyDescent="0.2">
      <c r="B122" s="207">
        <v>14.1</v>
      </c>
      <c r="C122" s="194" t="s">
        <v>75</v>
      </c>
      <c r="D122" s="88" t="s">
        <v>92</v>
      </c>
      <c r="E122" s="274" t="s">
        <v>657</v>
      </c>
      <c r="F122" s="14" t="s">
        <v>463</v>
      </c>
      <c r="G122" s="88" t="s">
        <v>463</v>
      </c>
      <c r="H122" s="88" t="s">
        <v>463</v>
      </c>
      <c r="I122" s="223"/>
      <c r="J122" s="293" t="s">
        <v>667</v>
      </c>
      <c r="K122" s="293" t="s">
        <v>667</v>
      </c>
      <c r="L122" s="293" t="s">
        <v>667</v>
      </c>
      <c r="M122" s="293" t="s">
        <v>667</v>
      </c>
      <c r="N122" s="293" t="s">
        <v>667</v>
      </c>
      <c r="O122" s="295">
        <f>COUNTIF(tblRiskRegister[[#This Row],[Defends Against Malware]:[Defends Against Targeted Intrusions]],"Yes")</f>
        <v>5</v>
      </c>
      <c r="P122" s="12"/>
      <c r="Q122" s="12"/>
      <c r="R122" s="12"/>
      <c r="S122" s="12"/>
      <c r="T122" s="13"/>
      <c r="U122" s="199">
        <f>IFERROR(VLOOKUP(tblRiskRegister[[#This Row],[Asset Class]],tblVCDBIndex[],4,FALSE),"")</f>
        <v>3</v>
      </c>
      <c r="V122" s="24" t="str">
        <f>IFERROR(VLOOKUP(10*tblRiskRegister[[#This Row],[Safeguard Maturity Score]]+tblRiskRegister[[#This Row],[VCDB Index]],tblHITIndexWeightTable[],4,FALSE),"")</f>
        <v/>
      </c>
      <c r="W122" s="301"/>
      <c r="X122" s="301"/>
      <c r="Y122" s="301"/>
      <c r="Z122" s="301"/>
      <c r="AA122" s="24" t="str">
        <f>IFERROR(MAX(tblRiskRegister[[#This Row],[Impact to Mission]:[Impact to Obligations]])*tblRiskRegister[[#This Row],[Expectancy Score]],"")</f>
        <v/>
      </c>
      <c r="AB122" s="24" t="str">
        <f>tblRiskRegister[[#This Row],[Risk Score]]</f>
        <v/>
      </c>
      <c r="AC122" s="79"/>
      <c r="AD122" s="206">
        <v>14.1</v>
      </c>
      <c r="AE122" s="194" t="s">
        <v>75</v>
      </c>
      <c r="AF122" s="194" t="s">
        <v>425</v>
      </c>
      <c r="AG122" s="213"/>
      <c r="AH122" s="13"/>
      <c r="AI122" s="22" t="str">
        <f>IFERROR(VLOOKUP(10*tblRiskRegister[[#This Row],[Risk Treatment Safeguard Maturity Score]]+tblRiskRegister[[#This Row],[VCDB Index]],tblHITIndexWeightTable[],4,FALSE),"")</f>
        <v/>
      </c>
      <c r="AJ122" s="302"/>
      <c r="AK122" s="302"/>
      <c r="AL122" s="302"/>
      <c r="AM122" s="302"/>
      <c r="AN122" s="100" t="str">
        <f>IFERROR(MAX(tblRiskRegister[[#This Row],[Risk Treatment Safeguard Impact to Mission]:[Risk Treatment Safeguard Impact to Obligations]])*tblRiskRegister[[#This Row],[Risk Treatment
Safeguard Expectancy Score]],"")</f>
        <v/>
      </c>
      <c r="AO122" s="203" t="str">
        <f>IF(tblRiskRegister[[#This Row],[Risk Score]]&gt;AcceptableRisk,IF(tblRiskRegister[[#This Row],[Risk Treatment Safeguard Risk Score]]&lt;AcceptableRisk, IF(tblRiskRegister[[#This Row],[Risk Treatment Safeguard Risk Score]]&lt;=tblRiskRegister[[#This Row],[Risk Score]],"Yes","No"),"No"),"Yes")</f>
        <v>No</v>
      </c>
      <c r="AP122" s="15"/>
      <c r="AQ122" s="15"/>
      <c r="AR122" s="16"/>
    </row>
    <row r="123" spans="2:44" ht="51" x14ac:dyDescent="0.2">
      <c r="B123" s="207">
        <v>14.2</v>
      </c>
      <c r="C123" s="194" t="s">
        <v>76</v>
      </c>
      <c r="D123" s="88" t="s">
        <v>92</v>
      </c>
      <c r="E123" s="274" t="s">
        <v>657</v>
      </c>
      <c r="F123" s="14" t="s">
        <v>463</v>
      </c>
      <c r="G123" s="88" t="s">
        <v>463</v>
      </c>
      <c r="H123" s="88" t="s">
        <v>463</v>
      </c>
      <c r="I123" s="223"/>
      <c r="J123" s="293" t="s">
        <v>667</v>
      </c>
      <c r="K123" s="293" t="s">
        <v>667</v>
      </c>
      <c r="L123" s="293" t="s">
        <v>667</v>
      </c>
      <c r="M123" s="293" t="s">
        <v>667</v>
      </c>
      <c r="N123" s="293" t="s">
        <v>667</v>
      </c>
      <c r="O123" s="295">
        <f>COUNTIF(tblRiskRegister[[#This Row],[Defends Against Malware]:[Defends Against Targeted Intrusions]],"Yes")</f>
        <v>5</v>
      </c>
      <c r="P123" s="12"/>
      <c r="Q123" s="12"/>
      <c r="R123" s="12"/>
      <c r="S123" s="12"/>
      <c r="T123" s="13"/>
      <c r="U123" s="199">
        <f>IFERROR(VLOOKUP(tblRiskRegister[[#This Row],[Asset Class]],tblVCDBIndex[],4,FALSE),"")</f>
        <v>3</v>
      </c>
      <c r="V123" s="24" t="str">
        <f>IFERROR(VLOOKUP(10*tblRiskRegister[[#This Row],[Safeguard Maturity Score]]+tblRiskRegister[[#This Row],[VCDB Index]],tblHITIndexWeightTable[],4,FALSE),"")</f>
        <v/>
      </c>
      <c r="W123" s="301"/>
      <c r="X123" s="301"/>
      <c r="Y123" s="301"/>
      <c r="Z123" s="301"/>
      <c r="AA123" s="24" t="str">
        <f>IFERROR(MAX(tblRiskRegister[[#This Row],[Impact to Mission]:[Impact to Obligations]])*tblRiskRegister[[#This Row],[Expectancy Score]],"")</f>
        <v/>
      </c>
      <c r="AB123" s="24" t="str">
        <f>tblRiskRegister[[#This Row],[Risk Score]]</f>
        <v/>
      </c>
      <c r="AC123" s="79"/>
      <c r="AD123" s="206">
        <v>14.2</v>
      </c>
      <c r="AE123" s="194" t="s">
        <v>76</v>
      </c>
      <c r="AF123" s="194" t="s">
        <v>426</v>
      </c>
      <c r="AG123" s="213"/>
      <c r="AH123" s="13"/>
      <c r="AI123" s="22" t="str">
        <f>IFERROR(VLOOKUP(10*tblRiskRegister[[#This Row],[Risk Treatment Safeguard Maturity Score]]+tblRiskRegister[[#This Row],[VCDB Index]],tblHITIndexWeightTable[],4,FALSE),"")</f>
        <v/>
      </c>
      <c r="AJ123" s="302"/>
      <c r="AK123" s="302"/>
      <c r="AL123" s="302"/>
      <c r="AM123" s="302"/>
      <c r="AN123" s="100" t="str">
        <f>IFERROR(MAX(tblRiskRegister[[#This Row],[Risk Treatment Safeguard Impact to Mission]:[Risk Treatment Safeguard Impact to Obligations]])*tblRiskRegister[[#This Row],[Risk Treatment
Safeguard Expectancy Score]],"")</f>
        <v/>
      </c>
      <c r="AO123" s="203" t="str">
        <f>IF(tblRiskRegister[[#This Row],[Risk Score]]&gt;AcceptableRisk,IF(tblRiskRegister[[#This Row],[Risk Treatment Safeguard Risk Score]]&lt;AcceptableRisk, IF(tblRiskRegister[[#This Row],[Risk Treatment Safeguard Risk Score]]&lt;=tblRiskRegister[[#This Row],[Risk Score]],"Yes","No"),"No"),"Yes")</f>
        <v>No</v>
      </c>
      <c r="AP123" s="15"/>
      <c r="AQ123" s="15"/>
      <c r="AR123" s="16"/>
    </row>
    <row r="124" spans="2:44" ht="51" x14ac:dyDescent="0.2">
      <c r="B124" s="207">
        <v>14.3</v>
      </c>
      <c r="C124" s="194" t="s">
        <v>77</v>
      </c>
      <c r="D124" s="88" t="s">
        <v>92</v>
      </c>
      <c r="E124" s="274" t="s">
        <v>657</v>
      </c>
      <c r="F124" s="14" t="s">
        <v>463</v>
      </c>
      <c r="G124" s="88" t="s">
        <v>463</v>
      </c>
      <c r="H124" s="88" t="s">
        <v>463</v>
      </c>
      <c r="I124" s="223"/>
      <c r="J124" s="293" t="s">
        <v>667</v>
      </c>
      <c r="K124" s="293" t="s">
        <v>667</v>
      </c>
      <c r="L124" s="293" t="s">
        <v>667</v>
      </c>
      <c r="M124" s="293" t="s">
        <v>667</v>
      </c>
      <c r="N124" s="293" t="s">
        <v>667</v>
      </c>
      <c r="O124" s="295">
        <f>COUNTIF(tblRiskRegister[[#This Row],[Defends Against Malware]:[Defends Against Targeted Intrusions]],"Yes")</f>
        <v>5</v>
      </c>
      <c r="P124" s="12"/>
      <c r="Q124" s="12"/>
      <c r="R124" s="12"/>
      <c r="S124" s="12"/>
      <c r="T124" s="13"/>
      <c r="U124" s="199">
        <f>IFERROR(VLOOKUP(tblRiskRegister[[#This Row],[Asset Class]],tblVCDBIndex[],4,FALSE),"")</f>
        <v>3</v>
      </c>
      <c r="V124" s="24" t="str">
        <f>IFERROR(VLOOKUP(10*tblRiskRegister[[#This Row],[Safeguard Maturity Score]]+tblRiskRegister[[#This Row],[VCDB Index]],tblHITIndexWeightTable[],4,FALSE),"")</f>
        <v/>
      </c>
      <c r="W124" s="301"/>
      <c r="X124" s="301"/>
      <c r="Y124" s="301"/>
      <c r="Z124" s="301"/>
      <c r="AA124" s="24" t="str">
        <f>IFERROR(MAX(tblRiskRegister[[#This Row],[Impact to Mission]:[Impact to Obligations]])*tblRiskRegister[[#This Row],[Expectancy Score]],"")</f>
        <v/>
      </c>
      <c r="AB124" s="24" t="str">
        <f>tblRiskRegister[[#This Row],[Risk Score]]</f>
        <v/>
      </c>
      <c r="AC124" s="79"/>
      <c r="AD124" s="206">
        <v>14.3</v>
      </c>
      <c r="AE124" s="194" t="s">
        <v>77</v>
      </c>
      <c r="AF124" s="194" t="s">
        <v>427</v>
      </c>
      <c r="AG124" s="213"/>
      <c r="AH124" s="13"/>
      <c r="AI124" s="22" t="str">
        <f>IFERROR(VLOOKUP(10*tblRiskRegister[[#This Row],[Risk Treatment Safeguard Maturity Score]]+tblRiskRegister[[#This Row],[VCDB Index]],tblHITIndexWeightTable[],4,FALSE),"")</f>
        <v/>
      </c>
      <c r="AJ124" s="302"/>
      <c r="AK124" s="302"/>
      <c r="AL124" s="302"/>
      <c r="AM124" s="302"/>
      <c r="AN124" s="100" t="str">
        <f>IFERROR(MAX(tblRiskRegister[[#This Row],[Risk Treatment Safeguard Impact to Mission]:[Risk Treatment Safeguard Impact to Obligations]])*tblRiskRegister[[#This Row],[Risk Treatment
Safeguard Expectancy Score]],"")</f>
        <v/>
      </c>
      <c r="AO124" s="203" t="str">
        <f>IF(tblRiskRegister[[#This Row],[Risk Score]]&gt;AcceptableRisk,IF(tblRiskRegister[[#This Row],[Risk Treatment Safeguard Risk Score]]&lt;AcceptableRisk, IF(tblRiskRegister[[#This Row],[Risk Treatment Safeguard Risk Score]]&lt;=tblRiskRegister[[#This Row],[Risk Score]],"Yes","No"),"No"),"Yes")</f>
        <v>No</v>
      </c>
      <c r="AP124" s="15"/>
      <c r="AQ124" s="15"/>
      <c r="AR124" s="16"/>
    </row>
    <row r="125" spans="2:44" ht="51" x14ac:dyDescent="0.2">
      <c r="B125" s="207">
        <v>14.4</v>
      </c>
      <c r="C125" s="194" t="s">
        <v>78</v>
      </c>
      <c r="D125" s="88" t="s">
        <v>92</v>
      </c>
      <c r="E125" s="274" t="s">
        <v>657</v>
      </c>
      <c r="F125" s="14" t="s">
        <v>463</v>
      </c>
      <c r="G125" s="88" t="s">
        <v>463</v>
      </c>
      <c r="H125" s="88" t="s">
        <v>463</v>
      </c>
      <c r="I125" s="223"/>
      <c r="J125" s="293" t="s">
        <v>667</v>
      </c>
      <c r="K125" s="293" t="s">
        <v>667</v>
      </c>
      <c r="L125" s="293" t="s">
        <v>667</v>
      </c>
      <c r="M125" s="293" t="s">
        <v>667</v>
      </c>
      <c r="N125" s="293" t="s">
        <v>667</v>
      </c>
      <c r="O125" s="295">
        <f>COUNTIF(tblRiskRegister[[#This Row],[Defends Against Malware]:[Defends Against Targeted Intrusions]],"Yes")</f>
        <v>5</v>
      </c>
      <c r="P125" s="12"/>
      <c r="Q125" s="12"/>
      <c r="R125" s="12"/>
      <c r="S125" s="12"/>
      <c r="T125" s="13"/>
      <c r="U125" s="199">
        <f>IFERROR(VLOOKUP(tblRiskRegister[[#This Row],[Asset Class]],tblVCDBIndex[],4,FALSE),"")</f>
        <v>3</v>
      </c>
      <c r="V125" s="24" t="str">
        <f>IFERROR(VLOOKUP(10*tblRiskRegister[[#This Row],[Safeguard Maturity Score]]+tblRiskRegister[[#This Row],[VCDB Index]],tblHITIndexWeightTable[],4,FALSE),"")</f>
        <v/>
      </c>
      <c r="W125" s="301"/>
      <c r="X125" s="301"/>
      <c r="Y125" s="301"/>
      <c r="Z125" s="301"/>
      <c r="AA125" s="24" t="str">
        <f>IFERROR(MAX(tblRiskRegister[[#This Row],[Impact to Mission]:[Impact to Obligations]])*tblRiskRegister[[#This Row],[Expectancy Score]],"")</f>
        <v/>
      </c>
      <c r="AB125" s="24" t="str">
        <f>tblRiskRegister[[#This Row],[Risk Score]]</f>
        <v/>
      </c>
      <c r="AC125" s="79"/>
      <c r="AD125" s="206">
        <v>14.4</v>
      </c>
      <c r="AE125" s="194" t="s">
        <v>78</v>
      </c>
      <c r="AF125" s="194" t="s">
        <v>428</v>
      </c>
      <c r="AG125" s="213"/>
      <c r="AH125" s="13"/>
      <c r="AI125" s="22" t="str">
        <f>IFERROR(VLOOKUP(10*tblRiskRegister[[#This Row],[Risk Treatment Safeguard Maturity Score]]+tblRiskRegister[[#This Row],[VCDB Index]],tblHITIndexWeightTable[],4,FALSE),"")</f>
        <v/>
      </c>
      <c r="AJ125" s="302"/>
      <c r="AK125" s="302"/>
      <c r="AL125" s="302"/>
      <c r="AM125" s="302"/>
      <c r="AN125" s="100" t="str">
        <f>IFERROR(MAX(tblRiskRegister[[#This Row],[Risk Treatment Safeguard Impact to Mission]:[Risk Treatment Safeguard Impact to Obligations]])*tblRiskRegister[[#This Row],[Risk Treatment
Safeguard Expectancy Score]],"")</f>
        <v/>
      </c>
      <c r="AO125" s="203" t="str">
        <f>IF(tblRiskRegister[[#This Row],[Risk Score]]&gt;AcceptableRisk,IF(tblRiskRegister[[#This Row],[Risk Treatment Safeguard Risk Score]]&lt;AcceptableRisk, IF(tblRiskRegister[[#This Row],[Risk Treatment Safeguard Risk Score]]&lt;=tblRiskRegister[[#This Row],[Risk Score]],"Yes","No"),"No"),"Yes")</f>
        <v>No</v>
      </c>
      <c r="AP125" s="15"/>
      <c r="AQ125" s="15"/>
      <c r="AR125" s="16"/>
    </row>
    <row r="126" spans="2:44" ht="51" x14ac:dyDescent="0.2">
      <c r="B126" s="207">
        <v>14.5</v>
      </c>
      <c r="C126" s="194" t="s">
        <v>79</v>
      </c>
      <c r="D126" s="88" t="s">
        <v>92</v>
      </c>
      <c r="E126" s="274" t="s">
        <v>657</v>
      </c>
      <c r="F126" s="14" t="s">
        <v>463</v>
      </c>
      <c r="G126" s="88" t="s">
        <v>463</v>
      </c>
      <c r="H126" s="88" t="s">
        <v>463</v>
      </c>
      <c r="I126" s="223"/>
      <c r="J126" s="293" t="s">
        <v>667</v>
      </c>
      <c r="K126" s="292" t="s">
        <v>666</v>
      </c>
      <c r="L126" s="292" t="s">
        <v>666</v>
      </c>
      <c r="M126" s="293" t="s">
        <v>667</v>
      </c>
      <c r="N126" s="292" t="s">
        <v>666</v>
      </c>
      <c r="O126" s="295">
        <f>COUNTIF(tblRiskRegister[[#This Row],[Defends Against Malware]:[Defends Against Targeted Intrusions]],"Yes")</f>
        <v>2</v>
      </c>
      <c r="P126" s="12"/>
      <c r="Q126" s="12"/>
      <c r="R126" s="12"/>
      <c r="S126" s="12"/>
      <c r="T126" s="13"/>
      <c r="U126" s="199">
        <f>IFERROR(VLOOKUP(tblRiskRegister[[#This Row],[Asset Class]],tblVCDBIndex[],4,FALSE),"")</f>
        <v>3</v>
      </c>
      <c r="V126" s="24" t="str">
        <f>IFERROR(VLOOKUP(10*tblRiskRegister[[#This Row],[Safeguard Maturity Score]]+tblRiskRegister[[#This Row],[VCDB Index]],tblHITIndexWeightTable[],4,FALSE),"")</f>
        <v/>
      </c>
      <c r="W126" s="301"/>
      <c r="X126" s="301"/>
      <c r="Y126" s="301"/>
      <c r="Z126" s="301"/>
      <c r="AA126" s="24" t="str">
        <f>IFERROR(MAX(tblRiskRegister[[#This Row],[Impact to Mission]:[Impact to Obligations]])*tblRiskRegister[[#This Row],[Expectancy Score]],"")</f>
        <v/>
      </c>
      <c r="AB126" s="24" t="str">
        <f>tblRiskRegister[[#This Row],[Risk Score]]</f>
        <v/>
      </c>
      <c r="AC126" s="79"/>
      <c r="AD126" s="206">
        <v>14.5</v>
      </c>
      <c r="AE126" s="194" t="s">
        <v>79</v>
      </c>
      <c r="AF126" s="194" t="s">
        <v>429</v>
      </c>
      <c r="AG126" s="213"/>
      <c r="AH126" s="13"/>
      <c r="AI126" s="22" t="str">
        <f>IFERROR(VLOOKUP(10*tblRiskRegister[[#This Row],[Risk Treatment Safeguard Maturity Score]]+tblRiskRegister[[#This Row],[VCDB Index]],tblHITIndexWeightTable[],4,FALSE),"")</f>
        <v/>
      </c>
      <c r="AJ126" s="302"/>
      <c r="AK126" s="302"/>
      <c r="AL126" s="302"/>
      <c r="AM126" s="302"/>
      <c r="AN126" s="100" t="str">
        <f>IFERROR(MAX(tblRiskRegister[[#This Row],[Risk Treatment Safeguard Impact to Mission]:[Risk Treatment Safeguard Impact to Obligations]])*tblRiskRegister[[#This Row],[Risk Treatment
Safeguard Expectancy Score]],"")</f>
        <v/>
      </c>
      <c r="AO126" s="203" t="str">
        <f>IF(tblRiskRegister[[#This Row],[Risk Score]]&gt;AcceptableRisk,IF(tblRiskRegister[[#This Row],[Risk Treatment Safeguard Risk Score]]&lt;AcceptableRisk, IF(tblRiskRegister[[#This Row],[Risk Treatment Safeguard Risk Score]]&lt;=tblRiskRegister[[#This Row],[Risk Score]],"Yes","No"),"No"),"Yes")</f>
        <v>No</v>
      </c>
      <c r="AP126" s="15"/>
      <c r="AQ126" s="15"/>
      <c r="AR126" s="16"/>
    </row>
    <row r="127" spans="2:44" ht="51" x14ac:dyDescent="0.2">
      <c r="B127" s="207">
        <v>14.6</v>
      </c>
      <c r="C127" s="194" t="s">
        <v>80</v>
      </c>
      <c r="D127" s="88" t="s">
        <v>92</v>
      </c>
      <c r="E127" s="274" t="s">
        <v>657</v>
      </c>
      <c r="F127" s="14" t="s">
        <v>463</v>
      </c>
      <c r="G127" s="88" t="s">
        <v>463</v>
      </c>
      <c r="H127" s="88" t="s">
        <v>463</v>
      </c>
      <c r="I127" s="223"/>
      <c r="J127" s="293" t="s">
        <v>667</v>
      </c>
      <c r="K127" s="293" t="s">
        <v>667</v>
      </c>
      <c r="L127" s="293" t="s">
        <v>667</v>
      </c>
      <c r="M127" s="293" t="s">
        <v>667</v>
      </c>
      <c r="N127" s="293" t="s">
        <v>667</v>
      </c>
      <c r="O127" s="295">
        <f>COUNTIF(tblRiskRegister[[#This Row],[Defends Against Malware]:[Defends Against Targeted Intrusions]],"Yes")</f>
        <v>5</v>
      </c>
      <c r="P127" s="12"/>
      <c r="Q127" s="12"/>
      <c r="R127" s="12"/>
      <c r="S127" s="12"/>
      <c r="T127" s="13"/>
      <c r="U127" s="199">
        <f>IFERROR(VLOOKUP(tblRiskRegister[[#This Row],[Asset Class]],tblVCDBIndex[],4,FALSE),"")</f>
        <v>3</v>
      </c>
      <c r="V127" s="24" t="str">
        <f>IFERROR(VLOOKUP(10*tblRiskRegister[[#This Row],[Safeguard Maturity Score]]+tblRiskRegister[[#This Row],[VCDB Index]],tblHITIndexWeightTable[],4,FALSE),"")</f>
        <v/>
      </c>
      <c r="W127" s="301"/>
      <c r="X127" s="301"/>
      <c r="Y127" s="301"/>
      <c r="Z127" s="301"/>
      <c r="AA127" s="24" t="str">
        <f>IFERROR(MAX(tblRiskRegister[[#This Row],[Impact to Mission]:[Impact to Obligations]])*tblRiskRegister[[#This Row],[Expectancy Score]],"")</f>
        <v/>
      </c>
      <c r="AB127" s="24" t="str">
        <f>tblRiskRegister[[#This Row],[Risk Score]]</f>
        <v/>
      </c>
      <c r="AC127" s="79"/>
      <c r="AD127" s="206">
        <v>14.6</v>
      </c>
      <c r="AE127" s="194" t="s">
        <v>80</v>
      </c>
      <c r="AF127" s="194" t="s">
        <v>430</v>
      </c>
      <c r="AG127" s="213"/>
      <c r="AH127" s="13"/>
      <c r="AI127" s="22" t="str">
        <f>IFERROR(VLOOKUP(10*tblRiskRegister[[#This Row],[Risk Treatment Safeguard Maturity Score]]+tblRiskRegister[[#This Row],[VCDB Index]],tblHITIndexWeightTable[],4,FALSE),"")</f>
        <v/>
      </c>
      <c r="AJ127" s="302"/>
      <c r="AK127" s="302"/>
      <c r="AL127" s="302"/>
      <c r="AM127" s="302"/>
      <c r="AN127" s="100" t="str">
        <f>IFERROR(MAX(tblRiskRegister[[#This Row],[Risk Treatment Safeguard Impact to Mission]:[Risk Treatment Safeguard Impact to Obligations]])*tblRiskRegister[[#This Row],[Risk Treatment
Safeguard Expectancy Score]],"")</f>
        <v/>
      </c>
      <c r="AO127" s="203" t="str">
        <f>IF(tblRiskRegister[[#This Row],[Risk Score]]&gt;AcceptableRisk,IF(tblRiskRegister[[#This Row],[Risk Treatment Safeguard Risk Score]]&lt;AcceptableRisk, IF(tblRiskRegister[[#This Row],[Risk Treatment Safeguard Risk Score]]&lt;=tblRiskRegister[[#This Row],[Risk Score]],"Yes","No"),"No"),"Yes")</f>
        <v>No</v>
      </c>
      <c r="AP127" s="15"/>
      <c r="AQ127" s="15"/>
      <c r="AR127" s="16"/>
    </row>
    <row r="128" spans="2:44" ht="63.75" x14ac:dyDescent="0.2">
      <c r="B128" s="207">
        <v>14.7</v>
      </c>
      <c r="C128" s="194" t="s">
        <v>81</v>
      </c>
      <c r="D128" s="88" t="s">
        <v>92</v>
      </c>
      <c r="E128" s="274" t="s">
        <v>657</v>
      </c>
      <c r="F128" s="14" t="s">
        <v>463</v>
      </c>
      <c r="G128" s="88" t="s">
        <v>463</v>
      </c>
      <c r="H128" s="88" t="s">
        <v>463</v>
      </c>
      <c r="I128" s="223"/>
      <c r="J128" s="292" t="s">
        <v>666</v>
      </c>
      <c r="K128" s="292" t="s">
        <v>666</v>
      </c>
      <c r="L128" s="292" t="s">
        <v>666</v>
      </c>
      <c r="M128" s="292" t="s">
        <v>666</v>
      </c>
      <c r="N128" s="292" t="s">
        <v>666</v>
      </c>
      <c r="O128" s="295">
        <f>COUNTIF(tblRiskRegister[[#This Row],[Defends Against Malware]:[Defends Against Targeted Intrusions]],"Yes")</f>
        <v>0</v>
      </c>
      <c r="P128" s="12"/>
      <c r="Q128" s="12"/>
      <c r="R128" s="12"/>
      <c r="S128" s="12"/>
      <c r="T128" s="13"/>
      <c r="U128" s="199">
        <f>IFERROR(VLOOKUP(tblRiskRegister[[#This Row],[Asset Class]],tblVCDBIndex[],4,FALSE),"")</f>
        <v>3</v>
      </c>
      <c r="V128" s="24" t="str">
        <f>IFERROR(VLOOKUP(10*tblRiskRegister[[#This Row],[Safeguard Maturity Score]]+tblRiskRegister[[#This Row],[VCDB Index]],tblHITIndexWeightTable[],4,FALSE),"")</f>
        <v/>
      </c>
      <c r="W128" s="301"/>
      <c r="X128" s="301"/>
      <c r="Y128" s="301"/>
      <c r="Z128" s="301"/>
      <c r="AA128" s="24" t="str">
        <f>IFERROR(MAX(tblRiskRegister[[#This Row],[Impact to Mission]:[Impact to Obligations]])*tblRiskRegister[[#This Row],[Expectancy Score]],"")</f>
        <v/>
      </c>
      <c r="AB128" s="24" t="str">
        <f>tblRiskRegister[[#This Row],[Risk Score]]</f>
        <v/>
      </c>
      <c r="AC128" s="79"/>
      <c r="AD128" s="206">
        <v>14.7</v>
      </c>
      <c r="AE128" s="194" t="s">
        <v>81</v>
      </c>
      <c r="AF128" s="194" t="s">
        <v>431</v>
      </c>
      <c r="AG128" s="213"/>
      <c r="AH128" s="13"/>
      <c r="AI128" s="22" t="str">
        <f>IFERROR(VLOOKUP(10*tblRiskRegister[[#This Row],[Risk Treatment Safeguard Maturity Score]]+tblRiskRegister[[#This Row],[VCDB Index]],tblHITIndexWeightTable[],4,FALSE),"")</f>
        <v/>
      </c>
      <c r="AJ128" s="302"/>
      <c r="AK128" s="302"/>
      <c r="AL128" s="302"/>
      <c r="AM128" s="302"/>
      <c r="AN128" s="100" t="str">
        <f>IFERROR(MAX(tblRiskRegister[[#This Row],[Risk Treatment Safeguard Impact to Mission]:[Risk Treatment Safeguard Impact to Obligations]])*tblRiskRegister[[#This Row],[Risk Treatment
Safeguard Expectancy Score]],"")</f>
        <v/>
      </c>
      <c r="AO128" s="203" t="str">
        <f>IF(tblRiskRegister[[#This Row],[Risk Score]]&gt;AcceptableRisk,IF(tblRiskRegister[[#This Row],[Risk Treatment Safeguard Risk Score]]&lt;AcceptableRisk, IF(tblRiskRegister[[#This Row],[Risk Treatment Safeguard Risk Score]]&lt;=tblRiskRegister[[#This Row],[Risk Score]],"Yes","No"),"No"),"Yes")</f>
        <v>No</v>
      </c>
      <c r="AP128" s="15"/>
      <c r="AQ128" s="15"/>
      <c r="AR128" s="16"/>
    </row>
    <row r="129" spans="2:44" ht="63.75" x14ac:dyDescent="0.2">
      <c r="B129" s="207">
        <v>14.8</v>
      </c>
      <c r="C129" s="194" t="s">
        <v>82</v>
      </c>
      <c r="D129" s="88" t="s">
        <v>92</v>
      </c>
      <c r="E129" s="274" t="s">
        <v>657</v>
      </c>
      <c r="F129" s="14" t="s">
        <v>463</v>
      </c>
      <c r="G129" s="88" t="s">
        <v>463</v>
      </c>
      <c r="H129" s="88" t="s">
        <v>463</v>
      </c>
      <c r="I129" s="223"/>
      <c r="J129" s="292" t="s">
        <v>666</v>
      </c>
      <c r="K129" s="292" t="s">
        <v>666</v>
      </c>
      <c r="L129" s="292" t="s">
        <v>666</v>
      </c>
      <c r="M129" s="292" t="s">
        <v>666</v>
      </c>
      <c r="N129" s="292" t="s">
        <v>666</v>
      </c>
      <c r="O129" s="295">
        <f>COUNTIF(tblRiskRegister[[#This Row],[Defends Against Malware]:[Defends Against Targeted Intrusions]],"Yes")</f>
        <v>0</v>
      </c>
      <c r="P129" s="12"/>
      <c r="Q129" s="12"/>
      <c r="R129" s="12"/>
      <c r="S129" s="12"/>
      <c r="T129" s="13"/>
      <c r="U129" s="199">
        <f>IFERROR(VLOOKUP(tblRiskRegister[[#This Row],[Asset Class]],tblVCDBIndex[],4,FALSE),"")</f>
        <v>3</v>
      </c>
      <c r="V129" s="24" t="str">
        <f>IFERROR(VLOOKUP(10*tblRiskRegister[[#This Row],[Safeguard Maturity Score]]+tblRiskRegister[[#This Row],[VCDB Index]],tblHITIndexWeightTable[],4,FALSE),"")</f>
        <v/>
      </c>
      <c r="W129" s="301"/>
      <c r="X129" s="301"/>
      <c r="Y129" s="301"/>
      <c r="Z129" s="301"/>
      <c r="AA129" s="24" t="str">
        <f>IFERROR(MAX(tblRiskRegister[[#This Row],[Impact to Mission]:[Impact to Obligations]])*tblRiskRegister[[#This Row],[Expectancy Score]],"")</f>
        <v/>
      </c>
      <c r="AB129" s="24" t="str">
        <f>tblRiskRegister[[#This Row],[Risk Score]]</f>
        <v/>
      </c>
      <c r="AC129" s="79"/>
      <c r="AD129" s="206">
        <v>14.8</v>
      </c>
      <c r="AE129" s="194" t="s">
        <v>82</v>
      </c>
      <c r="AF129" s="194" t="s">
        <v>432</v>
      </c>
      <c r="AG129" s="213"/>
      <c r="AH129" s="13"/>
      <c r="AI129" s="22" t="str">
        <f>IFERROR(VLOOKUP(10*tblRiskRegister[[#This Row],[Risk Treatment Safeguard Maturity Score]]+tblRiskRegister[[#This Row],[VCDB Index]],tblHITIndexWeightTable[],4,FALSE),"")</f>
        <v/>
      </c>
      <c r="AJ129" s="302"/>
      <c r="AK129" s="302"/>
      <c r="AL129" s="302"/>
      <c r="AM129" s="302"/>
      <c r="AN129" s="100" t="str">
        <f>IFERROR(MAX(tblRiskRegister[[#This Row],[Risk Treatment Safeguard Impact to Mission]:[Risk Treatment Safeguard Impact to Obligations]])*tblRiskRegister[[#This Row],[Risk Treatment
Safeguard Expectancy Score]],"")</f>
        <v/>
      </c>
      <c r="AO129" s="203" t="str">
        <f>IF(tblRiskRegister[[#This Row],[Risk Score]]&gt;AcceptableRisk,IF(tblRiskRegister[[#This Row],[Risk Treatment Safeguard Risk Score]]&lt;AcceptableRisk, IF(tblRiskRegister[[#This Row],[Risk Treatment Safeguard Risk Score]]&lt;=tblRiskRegister[[#This Row],[Risk Score]],"Yes","No"),"No"),"Yes")</f>
        <v>No</v>
      </c>
      <c r="AP129" s="15"/>
      <c r="AQ129" s="15"/>
      <c r="AR129" s="16"/>
    </row>
    <row r="130" spans="2:44" ht="51" x14ac:dyDescent="0.2">
      <c r="B130" s="207">
        <v>14.9</v>
      </c>
      <c r="C130" s="194" t="s">
        <v>192</v>
      </c>
      <c r="D130" s="88" t="s">
        <v>92</v>
      </c>
      <c r="E130" s="274" t="s">
        <v>657</v>
      </c>
      <c r="F130" s="14"/>
      <c r="G130" s="88" t="s">
        <v>463</v>
      </c>
      <c r="H130" s="88" t="s">
        <v>463</v>
      </c>
      <c r="I130" s="223"/>
      <c r="J130" s="293" t="s">
        <v>667</v>
      </c>
      <c r="K130" s="293" t="s">
        <v>667</v>
      </c>
      <c r="L130" s="293" t="s">
        <v>667</v>
      </c>
      <c r="M130" s="293" t="s">
        <v>667</v>
      </c>
      <c r="N130" s="293" t="s">
        <v>667</v>
      </c>
      <c r="O130" s="295">
        <f>COUNTIF(tblRiskRegister[[#This Row],[Defends Against Malware]:[Defends Against Targeted Intrusions]],"Yes")</f>
        <v>5</v>
      </c>
      <c r="P130" s="12"/>
      <c r="Q130" s="12"/>
      <c r="R130" s="12"/>
      <c r="S130" s="12"/>
      <c r="T130" s="13"/>
      <c r="U130" s="199">
        <f>IFERROR(VLOOKUP(tblRiskRegister[[#This Row],[Asset Class]],tblVCDBIndex[],4,FALSE),"")</f>
        <v>3</v>
      </c>
      <c r="V130" s="24" t="str">
        <f>IFERROR(VLOOKUP(10*tblRiskRegister[[#This Row],[Safeguard Maturity Score]]+tblRiskRegister[[#This Row],[VCDB Index]],tblHITIndexWeightTable[],4,FALSE),"")</f>
        <v/>
      </c>
      <c r="W130" s="301"/>
      <c r="X130" s="301"/>
      <c r="Y130" s="301"/>
      <c r="Z130" s="301"/>
      <c r="AA130" s="24" t="str">
        <f>IFERROR(MAX(tblRiskRegister[[#This Row],[Impact to Mission]:[Impact to Obligations]])*tblRiskRegister[[#This Row],[Expectancy Score]],"")</f>
        <v/>
      </c>
      <c r="AB130" s="24" t="str">
        <f>tblRiskRegister[[#This Row],[Risk Score]]</f>
        <v/>
      </c>
      <c r="AC130" s="79"/>
      <c r="AD130" s="206">
        <v>14.9</v>
      </c>
      <c r="AE130" s="194" t="s">
        <v>192</v>
      </c>
      <c r="AF130" s="194" t="s">
        <v>433</v>
      </c>
      <c r="AG130" s="213"/>
      <c r="AH130" s="13"/>
      <c r="AI130" s="22" t="str">
        <f>IFERROR(VLOOKUP(10*tblRiskRegister[[#This Row],[Risk Treatment Safeguard Maturity Score]]+tblRiskRegister[[#This Row],[VCDB Index]],tblHITIndexWeightTable[],4,FALSE),"")</f>
        <v/>
      </c>
      <c r="AJ130" s="302"/>
      <c r="AK130" s="302"/>
      <c r="AL130" s="302"/>
      <c r="AM130" s="302"/>
      <c r="AN130" s="100" t="str">
        <f>IFERROR(MAX(tblRiskRegister[[#This Row],[Risk Treatment Safeguard Impact to Mission]:[Risk Treatment Safeguard Impact to Obligations]])*tblRiskRegister[[#This Row],[Risk Treatment
Safeguard Expectancy Score]],"")</f>
        <v/>
      </c>
      <c r="AO130" s="203" t="str">
        <f>IF(tblRiskRegister[[#This Row],[Risk Score]]&gt;AcceptableRisk,IF(tblRiskRegister[[#This Row],[Risk Treatment Safeguard Risk Score]]&lt;AcceptableRisk, IF(tblRiskRegister[[#This Row],[Risk Treatment Safeguard Risk Score]]&lt;=tblRiskRegister[[#This Row],[Risk Score]],"Yes","No"),"No"),"Yes")</f>
        <v>No</v>
      </c>
      <c r="AP130" s="15"/>
      <c r="AQ130" s="15"/>
      <c r="AR130" s="16"/>
    </row>
    <row r="131" spans="2:44" ht="51" x14ac:dyDescent="0.2">
      <c r="B131" s="207">
        <v>15.1</v>
      </c>
      <c r="C131" s="194" t="s">
        <v>83</v>
      </c>
      <c r="D131" s="88" t="s">
        <v>92</v>
      </c>
      <c r="E131" s="274" t="s">
        <v>654</v>
      </c>
      <c r="F131" s="14" t="s">
        <v>463</v>
      </c>
      <c r="G131" s="88" t="s">
        <v>463</v>
      </c>
      <c r="H131" s="88" t="s">
        <v>463</v>
      </c>
      <c r="I131" s="223"/>
      <c r="J131" s="292" t="s">
        <v>666</v>
      </c>
      <c r="K131" s="292" t="s">
        <v>666</v>
      </c>
      <c r="L131" s="292" t="s">
        <v>666</v>
      </c>
      <c r="M131" s="292" t="s">
        <v>666</v>
      </c>
      <c r="N131" s="292" t="s">
        <v>666</v>
      </c>
      <c r="O131" s="295">
        <f>COUNTIF(tblRiskRegister[[#This Row],[Defends Against Malware]:[Defends Against Targeted Intrusions]],"Yes")</f>
        <v>0</v>
      </c>
      <c r="P131" s="12"/>
      <c r="Q131" s="12"/>
      <c r="R131" s="12"/>
      <c r="S131" s="12"/>
      <c r="T131" s="13"/>
      <c r="U131" s="199">
        <f>IFERROR(VLOOKUP(tblRiskRegister[[#This Row],[Asset Class]],tblVCDBIndex[],4,FALSE),"")</f>
        <v>3</v>
      </c>
      <c r="V131" s="24" t="str">
        <f>IFERROR(VLOOKUP(10*tblRiskRegister[[#This Row],[Safeguard Maturity Score]]+tblRiskRegister[[#This Row],[VCDB Index]],tblHITIndexWeightTable[],4,FALSE),"")</f>
        <v/>
      </c>
      <c r="W131" s="301"/>
      <c r="X131" s="301"/>
      <c r="Y131" s="301"/>
      <c r="Z131" s="301"/>
      <c r="AA131" s="24" t="str">
        <f>IFERROR(MAX(tblRiskRegister[[#This Row],[Impact to Mission]:[Impact to Obligations]])*tblRiskRegister[[#This Row],[Expectancy Score]],"")</f>
        <v/>
      </c>
      <c r="AB131" s="24" t="str">
        <f>tblRiskRegister[[#This Row],[Risk Score]]</f>
        <v/>
      </c>
      <c r="AC131" s="79"/>
      <c r="AD131" s="206">
        <v>15.1</v>
      </c>
      <c r="AE131" s="194" t="s">
        <v>83</v>
      </c>
      <c r="AF131" s="194" t="s">
        <v>434</v>
      </c>
      <c r="AG131" s="213"/>
      <c r="AH131" s="13"/>
      <c r="AI131" s="22" t="str">
        <f>IFERROR(VLOOKUP(10*tblRiskRegister[[#This Row],[Risk Treatment Safeguard Maturity Score]]+tblRiskRegister[[#This Row],[VCDB Index]],tblHITIndexWeightTable[],4,FALSE),"")</f>
        <v/>
      </c>
      <c r="AJ131" s="302"/>
      <c r="AK131" s="302"/>
      <c r="AL131" s="302"/>
      <c r="AM131" s="302"/>
      <c r="AN131" s="100" t="str">
        <f>IFERROR(MAX(tblRiskRegister[[#This Row],[Risk Treatment Safeguard Impact to Mission]:[Risk Treatment Safeguard Impact to Obligations]])*tblRiskRegister[[#This Row],[Risk Treatment
Safeguard Expectancy Score]],"")</f>
        <v/>
      </c>
      <c r="AO131" s="203" t="str">
        <f>IF(tblRiskRegister[[#This Row],[Risk Score]]&gt;AcceptableRisk,IF(tblRiskRegister[[#This Row],[Risk Treatment Safeguard Risk Score]]&lt;AcceptableRisk, IF(tblRiskRegister[[#This Row],[Risk Treatment Safeguard Risk Score]]&lt;=tblRiskRegister[[#This Row],[Risk Score]],"Yes","No"),"No"),"Yes")</f>
        <v>No</v>
      </c>
      <c r="AP131" s="15"/>
      <c r="AQ131" s="15"/>
      <c r="AR131" s="16"/>
    </row>
    <row r="132" spans="2:44" ht="51" x14ac:dyDescent="0.2">
      <c r="B132" s="207">
        <v>15.2</v>
      </c>
      <c r="C132" s="194" t="s">
        <v>193</v>
      </c>
      <c r="D132" s="88" t="s">
        <v>92</v>
      </c>
      <c r="E132" s="274" t="s">
        <v>654</v>
      </c>
      <c r="F132" s="14"/>
      <c r="G132" s="88" t="s">
        <v>463</v>
      </c>
      <c r="H132" s="88" t="s">
        <v>463</v>
      </c>
      <c r="I132" s="223"/>
      <c r="J132" s="292" t="s">
        <v>666</v>
      </c>
      <c r="K132" s="292" t="s">
        <v>666</v>
      </c>
      <c r="L132" s="292" t="s">
        <v>666</v>
      </c>
      <c r="M132" s="292" t="s">
        <v>666</v>
      </c>
      <c r="N132" s="292" t="s">
        <v>666</v>
      </c>
      <c r="O132" s="295">
        <f>COUNTIF(tblRiskRegister[[#This Row],[Defends Against Malware]:[Defends Against Targeted Intrusions]],"Yes")</f>
        <v>0</v>
      </c>
      <c r="P132" s="12"/>
      <c r="Q132" s="12"/>
      <c r="R132" s="12"/>
      <c r="S132" s="12"/>
      <c r="T132" s="13"/>
      <c r="U132" s="199">
        <f>IFERROR(VLOOKUP(tblRiskRegister[[#This Row],[Asset Class]],tblVCDBIndex[],4,FALSE),"")</f>
        <v>3</v>
      </c>
      <c r="V132" s="24" t="str">
        <f>IFERROR(VLOOKUP(10*tblRiskRegister[[#This Row],[Safeguard Maturity Score]]+tblRiskRegister[[#This Row],[VCDB Index]],tblHITIndexWeightTable[],4,FALSE),"")</f>
        <v/>
      </c>
      <c r="W132" s="301"/>
      <c r="X132" s="301"/>
      <c r="Y132" s="301"/>
      <c r="Z132" s="301"/>
      <c r="AA132" s="24" t="str">
        <f>IFERROR(MAX(tblRiskRegister[[#This Row],[Impact to Mission]:[Impact to Obligations]])*tblRiskRegister[[#This Row],[Expectancy Score]],"")</f>
        <v/>
      </c>
      <c r="AB132" s="24" t="str">
        <f>tblRiskRegister[[#This Row],[Risk Score]]</f>
        <v/>
      </c>
      <c r="AC132" s="79"/>
      <c r="AD132" s="206">
        <v>15.2</v>
      </c>
      <c r="AE132" s="194" t="s">
        <v>193</v>
      </c>
      <c r="AF132" s="194" t="s">
        <v>435</v>
      </c>
      <c r="AG132" s="213"/>
      <c r="AH132" s="13"/>
      <c r="AI132" s="22" t="str">
        <f>IFERROR(VLOOKUP(10*tblRiskRegister[[#This Row],[Risk Treatment Safeguard Maturity Score]]+tblRiskRegister[[#This Row],[VCDB Index]],tblHITIndexWeightTable[],4,FALSE),"")</f>
        <v/>
      </c>
      <c r="AJ132" s="302"/>
      <c r="AK132" s="302"/>
      <c r="AL132" s="302"/>
      <c r="AM132" s="302"/>
      <c r="AN132" s="100" t="str">
        <f>IFERROR(MAX(tblRiskRegister[[#This Row],[Risk Treatment Safeguard Impact to Mission]:[Risk Treatment Safeguard Impact to Obligations]])*tblRiskRegister[[#This Row],[Risk Treatment
Safeguard Expectancy Score]],"")</f>
        <v/>
      </c>
      <c r="AO132" s="203" t="str">
        <f>IF(tblRiskRegister[[#This Row],[Risk Score]]&gt;AcceptableRisk,IF(tblRiskRegister[[#This Row],[Risk Treatment Safeguard Risk Score]]&lt;AcceptableRisk, IF(tblRiskRegister[[#This Row],[Risk Treatment Safeguard Risk Score]]&lt;=tblRiskRegister[[#This Row],[Risk Score]],"Yes","No"),"No"),"Yes")</f>
        <v>No</v>
      </c>
      <c r="AP132" s="15"/>
      <c r="AQ132" s="15"/>
      <c r="AR132" s="16"/>
    </row>
    <row r="133" spans="2:44" ht="51" x14ac:dyDescent="0.2">
      <c r="B133" s="207">
        <v>15.3</v>
      </c>
      <c r="C133" s="194" t="s">
        <v>194</v>
      </c>
      <c r="D133" s="88" t="s">
        <v>92</v>
      </c>
      <c r="E133" s="274" t="s">
        <v>654</v>
      </c>
      <c r="F133" s="14"/>
      <c r="G133" s="88" t="s">
        <v>463</v>
      </c>
      <c r="H133" s="88" t="s">
        <v>463</v>
      </c>
      <c r="I133" s="223"/>
      <c r="J133" s="292" t="s">
        <v>666</v>
      </c>
      <c r="K133" s="292" t="s">
        <v>666</v>
      </c>
      <c r="L133" s="292" t="s">
        <v>666</v>
      </c>
      <c r="M133" s="292" t="s">
        <v>666</v>
      </c>
      <c r="N133" s="292" t="s">
        <v>666</v>
      </c>
      <c r="O133" s="295">
        <f>COUNTIF(tblRiskRegister[[#This Row],[Defends Against Malware]:[Defends Against Targeted Intrusions]],"Yes")</f>
        <v>0</v>
      </c>
      <c r="P133" s="12"/>
      <c r="Q133" s="12"/>
      <c r="R133" s="12"/>
      <c r="S133" s="12"/>
      <c r="T133" s="13"/>
      <c r="U133" s="199">
        <f>IFERROR(VLOOKUP(tblRiskRegister[[#This Row],[Asset Class]],tblVCDBIndex[],4,FALSE),"")</f>
        <v>3</v>
      </c>
      <c r="V133" s="24" t="str">
        <f>IFERROR(VLOOKUP(10*tblRiskRegister[[#This Row],[Safeguard Maturity Score]]+tblRiskRegister[[#This Row],[VCDB Index]],tblHITIndexWeightTable[],4,FALSE),"")</f>
        <v/>
      </c>
      <c r="W133" s="301"/>
      <c r="X133" s="301"/>
      <c r="Y133" s="301"/>
      <c r="Z133" s="301"/>
      <c r="AA133" s="24" t="str">
        <f>IFERROR(MAX(tblRiskRegister[[#This Row],[Impact to Mission]:[Impact to Obligations]])*tblRiskRegister[[#This Row],[Expectancy Score]],"")</f>
        <v/>
      </c>
      <c r="AB133" s="24" t="str">
        <f>tblRiskRegister[[#This Row],[Risk Score]]</f>
        <v/>
      </c>
      <c r="AC133" s="79"/>
      <c r="AD133" s="206">
        <v>15.3</v>
      </c>
      <c r="AE133" s="194" t="s">
        <v>194</v>
      </c>
      <c r="AF133" s="194" t="s">
        <v>436</v>
      </c>
      <c r="AG133" s="213"/>
      <c r="AH133" s="13"/>
      <c r="AI133" s="22" t="str">
        <f>IFERROR(VLOOKUP(10*tblRiskRegister[[#This Row],[Risk Treatment Safeguard Maturity Score]]+tblRiskRegister[[#This Row],[VCDB Index]],tblHITIndexWeightTable[],4,FALSE),"")</f>
        <v/>
      </c>
      <c r="AJ133" s="302"/>
      <c r="AK133" s="302"/>
      <c r="AL133" s="302"/>
      <c r="AM133" s="302"/>
      <c r="AN133" s="100" t="str">
        <f>IFERROR(MAX(tblRiskRegister[[#This Row],[Risk Treatment Safeguard Impact to Mission]:[Risk Treatment Safeguard Impact to Obligations]])*tblRiskRegister[[#This Row],[Risk Treatment
Safeguard Expectancy Score]],"")</f>
        <v/>
      </c>
      <c r="AO133" s="203" t="str">
        <f>IF(tblRiskRegister[[#This Row],[Risk Score]]&gt;AcceptableRisk,IF(tblRiskRegister[[#This Row],[Risk Treatment Safeguard Risk Score]]&lt;AcceptableRisk, IF(tblRiskRegister[[#This Row],[Risk Treatment Safeguard Risk Score]]&lt;=tblRiskRegister[[#This Row],[Risk Score]],"Yes","No"),"No"),"Yes")</f>
        <v>No</v>
      </c>
      <c r="AP133" s="15"/>
      <c r="AQ133" s="15"/>
      <c r="AR133" s="16"/>
    </row>
    <row r="134" spans="2:44" ht="63.75" x14ac:dyDescent="0.2">
      <c r="B134" s="207">
        <v>15.4</v>
      </c>
      <c r="C134" s="194" t="s">
        <v>195</v>
      </c>
      <c r="D134" s="88" t="s">
        <v>92</v>
      </c>
      <c r="E134" s="274" t="s">
        <v>657</v>
      </c>
      <c r="F134" s="14"/>
      <c r="G134" s="88" t="s">
        <v>463</v>
      </c>
      <c r="H134" s="88" t="s">
        <v>463</v>
      </c>
      <c r="I134" s="223"/>
      <c r="J134" s="292" t="s">
        <v>666</v>
      </c>
      <c r="K134" s="292" t="s">
        <v>666</v>
      </c>
      <c r="L134" s="292" t="s">
        <v>666</v>
      </c>
      <c r="M134" s="292" t="s">
        <v>666</v>
      </c>
      <c r="N134" s="292" t="s">
        <v>666</v>
      </c>
      <c r="O134" s="295">
        <f>COUNTIF(tblRiskRegister[[#This Row],[Defends Against Malware]:[Defends Against Targeted Intrusions]],"Yes")</f>
        <v>0</v>
      </c>
      <c r="P134" s="12"/>
      <c r="Q134" s="12"/>
      <c r="R134" s="12"/>
      <c r="S134" s="12"/>
      <c r="T134" s="13"/>
      <c r="U134" s="199">
        <f>IFERROR(VLOOKUP(tblRiskRegister[[#This Row],[Asset Class]],tblVCDBIndex[],4,FALSE),"")</f>
        <v>3</v>
      </c>
      <c r="V134" s="24" t="str">
        <f>IFERROR(VLOOKUP(10*tblRiskRegister[[#This Row],[Safeguard Maturity Score]]+tblRiskRegister[[#This Row],[VCDB Index]],tblHITIndexWeightTable[],4,FALSE),"")</f>
        <v/>
      </c>
      <c r="W134" s="301"/>
      <c r="X134" s="301"/>
      <c r="Y134" s="301"/>
      <c r="Z134" s="301"/>
      <c r="AA134" s="24" t="str">
        <f>IFERROR(MAX(tblRiskRegister[[#This Row],[Impact to Mission]:[Impact to Obligations]])*tblRiskRegister[[#This Row],[Expectancy Score]],"")</f>
        <v/>
      </c>
      <c r="AB134" s="24" t="str">
        <f>tblRiskRegister[[#This Row],[Risk Score]]</f>
        <v/>
      </c>
      <c r="AC134" s="79"/>
      <c r="AD134" s="206">
        <v>15.4</v>
      </c>
      <c r="AE134" s="194" t="s">
        <v>195</v>
      </c>
      <c r="AF134" s="194" t="s">
        <v>437</v>
      </c>
      <c r="AG134" s="213"/>
      <c r="AH134" s="13"/>
      <c r="AI134" s="22" t="str">
        <f>IFERROR(VLOOKUP(10*tblRiskRegister[[#This Row],[Risk Treatment Safeguard Maturity Score]]+tblRiskRegister[[#This Row],[VCDB Index]],tblHITIndexWeightTable[],4,FALSE),"")</f>
        <v/>
      </c>
      <c r="AJ134" s="302"/>
      <c r="AK134" s="302"/>
      <c r="AL134" s="302"/>
      <c r="AM134" s="302"/>
      <c r="AN134" s="100" t="str">
        <f>IFERROR(MAX(tblRiskRegister[[#This Row],[Risk Treatment Safeguard Impact to Mission]:[Risk Treatment Safeguard Impact to Obligations]])*tblRiskRegister[[#This Row],[Risk Treatment
Safeguard Expectancy Score]],"")</f>
        <v/>
      </c>
      <c r="AO134" s="203" t="str">
        <f>IF(tblRiskRegister[[#This Row],[Risk Score]]&gt;AcceptableRisk,IF(tblRiskRegister[[#This Row],[Risk Treatment Safeguard Risk Score]]&lt;AcceptableRisk, IF(tblRiskRegister[[#This Row],[Risk Treatment Safeguard Risk Score]]&lt;=tblRiskRegister[[#This Row],[Risk Score]],"Yes","No"),"No"),"Yes")</f>
        <v>No</v>
      </c>
      <c r="AP134" s="15"/>
      <c r="AQ134" s="15"/>
      <c r="AR134" s="16"/>
    </row>
    <row r="135" spans="2:44" ht="76.5" x14ac:dyDescent="0.2">
      <c r="B135" s="207">
        <v>15.5</v>
      </c>
      <c r="C135" s="194" t="s">
        <v>547</v>
      </c>
      <c r="D135" s="88" t="s">
        <v>92</v>
      </c>
      <c r="E135" s="274" t="s">
        <v>654</v>
      </c>
      <c r="F135" s="14"/>
      <c r="G135" s="88"/>
      <c r="H135" s="88" t="s">
        <v>463</v>
      </c>
      <c r="I135" s="223"/>
      <c r="J135" s="292" t="s">
        <v>666</v>
      </c>
      <c r="K135" s="292" t="s">
        <v>666</v>
      </c>
      <c r="L135" s="292" t="s">
        <v>666</v>
      </c>
      <c r="M135" s="292" t="s">
        <v>666</v>
      </c>
      <c r="N135" s="292" t="s">
        <v>666</v>
      </c>
      <c r="O135" s="295">
        <f>COUNTIF(tblRiskRegister[[#This Row],[Defends Against Malware]:[Defends Against Targeted Intrusions]],"Yes")</f>
        <v>0</v>
      </c>
      <c r="P135" s="12"/>
      <c r="Q135" s="12"/>
      <c r="R135" s="12"/>
      <c r="S135" s="12"/>
      <c r="T135" s="13"/>
      <c r="U135" s="199">
        <f>IFERROR(VLOOKUP(tblRiskRegister[[#This Row],[Asset Class]],tblVCDBIndex[],4,FALSE),"")</f>
        <v>3</v>
      </c>
      <c r="V135" s="24" t="str">
        <f>IFERROR(VLOOKUP(10*tblRiskRegister[[#This Row],[Safeguard Maturity Score]]+tblRiskRegister[[#This Row],[VCDB Index]],tblHITIndexWeightTable[],4,FALSE),"")</f>
        <v/>
      </c>
      <c r="W135" s="301"/>
      <c r="X135" s="301"/>
      <c r="Y135" s="301"/>
      <c r="Z135" s="301"/>
      <c r="AA135" s="24" t="str">
        <f>IFERROR(MAX(tblRiskRegister[[#This Row],[Impact to Mission]:[Impact to Obligations]])*tblRiskRegister[[#This Row],[Expectancy Score]],"")</f>
        <v/>
      </c>
      <c r="AB135" s="24" t="str">
        <f>tblRiskRegister[[#This Row],[Risk Score]]</f>
        <v/>
      </c>
      <c r="AC135" s="79"/>
      <c r="AD135" s="206">
        <v>15.5</v>
      </c>
      <c r="AE135" s="194" t="s">
        <v>547</v>
      </c>
      <c r="AF135" s="194" t="s">
        <v>569</v>
      </c>
      <c r="AG135" s="213"/>
      <c r="AH135" s="13"/>
      <c r="AI135" s="22" t="str">
        <f>IFERROR(VLOOKUP(10*tblRiskRegister[[#This Row],[Risk Treatment Safeguard Maturity Score]]+tblRiskRegister[[#This Row],[VCDB Index]],tblHITIndexWeightTable[],4,FALSE),"")</f>
        <v/>
      </c>
      <c r="AJ135" s="302"/>
      <c r="AK135" s="302"/>
      <c r="AL135" s="302"/>
      <c r="AM135" s="302"/>
      <c r="AN135" s="100" t="str">
        <f>IFERROR(MAX(tblRiskRegister[[#This Row],[Risk Treatment Safeguard Impact to Mission]:[Risk Treatment Safeguard Impact to Obligations]])*tblRiskRegister[[#This Row],[Risk Treatment
Safeguard Expectancy Score]],"")</f>
        <v/>
      </c>
      <c r="AO135" s="203" t="str">
        <f>IF(tblRiskRegister[[#This Row],[Risk Score]]&gt;AcceptableRisk,IF(tblRiskRegister[[#This Row],[Risk Treatment Safeguard Risk Score]]&lt;AcceptableRisk, IF(tblRiskRegister[[#This Row],[Risk Treatment Safeguard Risk Score]]&lt;=tblRiskRegister[[#This Row],[Risk Score]],"Yes","No"),"No"),"Yes")</f>
        <v>No</v>
      </c>
      <c r="AP135" s="15"/>
      <c r="AQ135" s="15"/>
      <c r="AR135" s="16"/>
    </row>
    <row r="136" spans="2:44" ht="38.25" x14ac:dyDescent="0.2">
      <c r="B136" s="207">
        <v>15.6</v>
      </c>
      <c r="C136" s="194" t="s">
        <v>548</v>
      </c>
      <c r="D136" s="88" t="s">
        <v>87</v>
      </c>
      <c r="E136" s="274" t="s">
        <v>656</v>
      </c>
      <c r="F136" s="14"/>
      <c r="G136" s="88"/>
      <c r="H136" s="88" t="s">
        <v>463</v>
      </c>
      <c r="I136" s="223"/>
      <c r="J136" s="292" t="s">
        <v>666</v>
      </c>
      <c r="K136" s="292" t="s">
        <v>666</v>
      </c>
      <c r="L136" s="292" t="s">
        <v>666</v>
      </c>
      <c r="M136" s="292" t="s">
        <v>666</v>
      </c>
      <c r="N136" s="292" t="s">
        <v>666</v>
      </c>
      <c r="O136" s="295">
        <f>COUNTIF(tblRiskRegister[[#This Row],[Defends Against Malware]:[Defends Against Targeted Intrusions]],"Yes")</f>
        <v>0</v>
      </c>
      <c r="P136" s="12"/>
      <c r="Q136" s="12"/>
      <c r="R136" s="12"/>
      <c r="S136" s="12"/>
      <c r="T136" s="13"/>
      <c r="U136" s="199">
        <f>IFERROR(VLOOKUP(tblRiskRegister[[#This Row],[Asset Class]],tblVCDBIndex[],4,FALSE),"")</f>
        <v>3</v>
      </c>
      <c r="V136" s="24" t="str">
        <f>IFERROR(VLOOKUP(10*tblRiskRegister[[#This Row],[Safeguard Maturity Score]]+tblRiskRegister[[#This Row],[VCDB Index]],tblHITIndexWeightTable[],4,FALSE),"")</f>
        <v/>
      </c>
      <c r="W136" s="301"/>
      <c r="X136" s="301"/>
      <c r="Y136" s="301"/>
      <c r="Z136" s="301"/>
      <c r="AA136" s="24" t="str">
        <f>IFERROR(MAX(tblRiskRegister[[#This Row],[Impact to Mission]:[Impact to Obligations]])*tblRiskRegister[[#This Row],[Expectancy Score]],"")</f>
        <v/>
      </c>
      <c r="AB136" s="24" t="str">
        <f>tblRiskRegister[[#This Row],[Risk Score]]</f>
        <v/>
      </c>
      <c r="AC136" s="79"/>
      <c r="AD136" s="206">
        <v>15.6</v>
      </c>
      <c r="AE136" s="194" t="s">
        <v>548</v>
      </c>
      <c r="AF136" s="194" t="s">
        <v>570</v>
      </c>
      <c r="AG136" s="213"/>
      <c r="AH136" s="13"/>
      <c r="AI136" s="22" t="str">
        <f>IFERROR(VLOOKUP(10*tblRiskRegister[[#This Row],[Risk Treatment Safeguard Maturity Score]]+tblRiskRegister[[#This Row],[VCDB Index]],tblHITIndexWeightTable[],4,FALSE),"")</f>
        <v/>
      </c>
      <c r="AJ136" s="302"/>
      <c r="AK136" s="302"/>
      <c r="AL136" s="302"/>
      <c r="AM136" s="302"/>
      <c r="AN136" s="100" t="str">
        <f>IFERROR(MAX(tblRiskRegister[[#This Row],[Risk Treatment Safeguard Impact to Mission]:[Risk Treatment Safeguard Impact to Obligations]])*tblRiskRegister[[#This Row],[Risk Treatment
Safeguard Expectancy Score]],"")</f>
        <v/>
      </c>
      <c r="AO136" s="203" t="str">
        <f>IF(tblRiskRegister[[#This Row],[Risk Score]]&gt;AcceptableRisk,IF(tblRiskRegister[[#This Row],[Risk Treatment Safeguard Risk Score]]&lt;AcceptableRisk, IF(tblRiskRegister[[#This Row],[Risk Treatment Safeguard Risk Score]]&lt;=tblRiskRegister[[#This Row],[Risk Score]],"Yes","No"),"No"),"Yes")</f>
        <v>No</v>
      </c>
      <c r="AP136" s="15"/>
      <c r="AQ136" s="15"/>
      <c r="AR136" s="16"/>
    </row>
    <row r="137" spans="2:44" ht="38.25" x14ac:dyDescent="0.2">
      <c r="B137" s="207">
        <v>15.7</v>
      </c>
      <c r="C137" s="194" t="s">
        <v>539</v>
      </c>
      <c r="D137" s="88" t="s">
        <v>87</v>
      </c>
      <c r="E137" s="274" t="s">
        <v>657</v>
      </c>
      <c r="F137" s="14"/>
      <c r="G137" s="88"/>
      <c r="H137" s="88" t="s">
        <v>463</v>
      </c>
      <c r="I137" s="223"/>
      <c r="J137" s="293" t="s">
        <v>667</v>
      </c>
      <c r="K137" s="292" t="s">
        <v>666</v>
      </c>
      <c r="L137" s="293" t="s">
        <v>667</v>
      </c>
      <c r="M137" s="293" t="s">
        <v>667</v>
      </c>
      <c r="N137" s="292" t="s">
        <v>666</v>
      </c>
      <c r="O137" s="295">
        <f>COUNTIF(tblRiskRegister[[#This Row],[Defends Against Malware]:[Defends Against Targeted Intrusions]],"Yes")</f>
        <v>3</v>
      </c>
      <c r="P137" s="12"/>
      <c r="Q137" s="12"/>
      <c r="R137" s="12"/>
      <c r="S137" s="12"/>
      <c r="T137" s="13"/>
      <c r="U137" s="199">
        <f>IFERROR(VLOOKUP(tblRiskRegister[[#This Row],[Asset Class]],tblVCDBIndex[],4,FALSE),"")</f>
        <v>3</v>
      </c>
      <c r="V137" s="24" t="str">
        <f>IFERROR(VLOOKUP(10*tblRiskRegister[[#This Row],[Safeguard Maturity Score]]+tblRiskRegister[[#This Row],[VCDB Index]],tblHITIndexWeightTable[],4,FALSE),"")</f>
        <v/>
      </c>
      <c r="W137" s="301"/>
      <c r="X137" s="301"/>
      <c r="Y137" s="301"/>
      <c r="Z137" s="301"/>
      <c r="AA137" s="24" t="str">
        <f>IFERROR(MAX(tblRiskRegister[[#This Row],[Impact to Mission]:[Impact to Obligations]])*tblRiskRegister[[#This Row],[Expectancy Score]],"")</f>
        <v/>
      </c>
      <c r="AB137" s="24" t="str">
        <f>tblRiskRegister[[#This Row],[Risk Score]]</f>
        <v/>
      </c>
      <c r="AC137" s="79"/>
      <c r="AD137" s="206">
        <v>15.7</v>
      </c>
      <c r="AE137" s="194" t="s">
        <v>539</v>
      </c>
      <c r="AF137" s="194" t="s">
        <v>571</v>
      </c>
      <c r="AG137" s="213"/>
      <c r="AH137" s="13"/>
      <c r="AI137" s="22" t="str">
        <f>IFERROR(VLOOKUP(10*tblRiskRegister[[#This Row],[Risk Treatment Safeguard Maturity Score]]+tblRiskRegister[[#This Row],[VCDB Index]],tblHITIndexWeightTable[],4,FALSE),"")</f>
        <v/>
      </c>
      <c r="AJ137" s="302"/>
      <c r="AK137" s="302"/>
      <c r="AL137" s="302"/>
      <c r="AM137" s="302"/>
      <c r="AN137" s="100" t="str">
        <f>IFERROR(MAX(tblRiskRegister[[#This Row],[Risk Treatment Safeguard Impact to Mission]:[Risk Treatment Safeguard Impact to Obligations]])*tblRiskRegister[[#This Row],[Risk Treatment
Safeguard Expectancy Score]],"")</f>
        <v/>
      </c>
      <c r="AO137" s="203" t="str">
        <f>IF(tblRiskRegister[[#This Row],[Risk Score]]&gt;AcceptableRisk,IF(tblRiskRegister[[#This Row],[Risk Treatment Safeguard Risk Score]]&lt;AcceptableRisk, IF(tblRiskRegister[[#This Row],[Risk Treatment Safeguard Risk Score]]&lt;=tblRiskRegister[[#This Row],[Risk Score]],"Yes","No"),"No"),"Yes")</f>
        <v>No</v>
      </c>
      <c r="AP137" s="15"/>
      <c r="AQ137" s="15"/>
      <c r="AR137" s="16"/>
    </row>
    <row r="138" spans="2:44" ht="63.75" x14ac:dyDescent="0.2">
      <c r="B138" s="207">
        <v>16.100000000000001</v>
      </c>
      <c r="C138" s="194" t="s">
        <v>162</v>
      </c>
      <c r="D138" s="88" t="s">
        <v>89</v>
      </c>
      <c r="E138" s="274" t="s">
        <v>657</v>
      </c>
      <c r="F138" s="14"/>
      <c r="G138" s="88" t="s">
        <v>463</v>
      </c>
      <c r="H138" s="88" t="s">
        <v>463</v>
      </c>
      <c r="I138" s="223"/>
      <c r="J138" s="293" t="s">
        <v>667</v>
      </c>
      <c r="K138" s="293" t="s">
        <v>667</v>
      </c>
      <c r="L138" s="293" t="s">
        <v>667</v>
      </c>
      <c r="M138" s="293" t="s">
        <v>667</v>
      </c>
      <c r="N138" s="293" t="s">
        <v>667</v>
      </c>
      <c r="O138" s="295">
        <f>COUNTIF(tblRiskRegister[[#This Row],[Defends Against Malware]:[Defends Against Targeted Intrusions]],"Yes")</f>
        <v>5</v>
      </c>
      <c r="P138" s="12"/>
      <c r="Q138" s="12"/>
      <c r="R138" s="12"/>
      <c r="S138" s="12"/>
      <c r="T138" s="13"/>
      <c r="U138" s="199">
        <f>IFERROR(VLOOKUP(tblRiskRegister[[#This Row],[Asset Class]],tblVCDBIndex[],4,FALSE),"")</f>
        <v>1</v>
      </c>
      <c r="V138" s="24" t="str">
        <f>IFERROR(VLOOKUP(10*tblRiskRegister[[#This Row],[Safeguard Maturity Score]]+tblRiskRegister[[#This Row],[VCDB Index]],tblHITIndexWeightTable[],4,FALSE),"")</f>
        <v/>
      </c>
      <c r="W138" s="301"/>
      <c r="X138" s="301"/>
      <c r="Y138" s="301"/>
      <c r="Z138" s="301"/>
      <c r="AA138" s="24" t="str">
        <f>IFERROR(MAX(tblRiskRegister[[#This Row],[Impact to Mission]:[Impact to Obligations]])*tblRiskRegister[[#This Row],[Expectancy Score]],"")</f>
        <v/>
      </c>
      <c r="AB138" s="24" t="str">
        <f>tblRiskRegister[[#This Row],[Risk Score]]</f>
        <v/>
      </c>
      <c r="AC138" s="79"/>
      <c r="AD138" s="206">
        <v>16.100000000000001</v>
      </c>
      <c r="AE138" s="194" t="s">
        <v>162</v>
      </c>
      <c r="AF138" s="194" t="s">
        <v>438</v>
      </c>
      <c r="AG138" s="213"/>
      <c r="AH138" s="13"/>
      <c r="AI138" s="22" t="str">
        <f>IFERROR(VLOOKUP(10*tblRiskRegister[[#This Row],[Risk Treatment Safeguard Maturity Score]]+tblRiskRegister[[#This Row],[VCDB Index]],tblHITIndexWeightTable[],4,FALSE),"")</f>
        <v/>
      </c>
      <c r="AJ138" s="302"/>
      <c r="AK138" s="302"/>
      <c r="AL138" s="302"/>
      <c r="AM138" s="302"/>
      <c r="AN138" s="100" t="str">
        <f>IFERROR(MAX(tblRiskRegister[[#This Row],[Risk Treatment Safeguard Impact to Mission]:[Risk Treatment Safeguard Impact to Obligations]])*tblRiskRegister[[#This Row],[Risk Treatment
Safeguard Expectancy Score]],"")</f>
        <v/>
      </c>
      <c r="AO138" s="203" t="str">
        <f>IF(tblRiskRegister[[#This Row],[Risk Score]]&gt;AcceptableRisk,IF(tblRiskRegister[[#This Row],[Risk Treatment Safeguard Risk Score]]&lt;AcceptableRisk, IF(tblRiskRegister[[#This Row],[Risk Treatment Safeguard Risk Score]]&lt;=tblRiskRegister[[#This Row],[Risk Score]],"Yes","No"),"No"),"Yes")</f>
        <v>No</v>
      </c>
      <c r="AP138" s="15"/>
      <c r="AQ138" s="15"/>
      <c r="AR138" s="16"/>
    </row>
    <row r="139" spans="2:44" ht="140.25" x14ac:dyDescent="0.2">
      <c r="B139" s="207">
        <v>16.2</v>
      </c>
      <c r="C139" s="194" t="s">
        <v>163</v>
      </c>
      <c r="D139" s="88" t="s">
        <v>89</v>
      </c>
      <c r="E139" s="274" t="s">
        <v>657</v>
      </c>
      <c r="F139" s="14"/>
      <c r="G139" s="88" t="s">
        <v>463</v>
      </c>
      <c r="H139" s="88" t="s">
        <v>463</v>
      </c>
      <c r="I139" s="223"/>
      <c r="J139" s="293" t="s">
        <v>667</v>
      </c>
      <c r="K139" s="292" t="s">
        <v>666</v>
      </c>
      <c r="L139" s="293" t="s">
        <v>667</v>
      </c>
      <c r="M139" s="293" t="s">
        <v>667</v>
      </c>
      <c r="N139" s="293" t="s">
        <v>667</v>
      </c>
      <c r="O139" s="295">
        <f>COUNTIF(tblRiskRegister[[#This Row],[Defends Against Malware]:[Defends Against Targeted Intrusions]],"Yes")</f>
        <v>4</v>
      </c>
      <c r="P139" s="12"/>
      <c r="Q139" s="12"/>
      <c r="R139" s="12"/>
      <c r="S139" s="12"/>
      <c r="T139" s="13"/>
      <c r="U139" s="199">
        <f>IFERROR(VLOOKUP(tblRiskRegister[[#This Row],[Asset Class]],tblVCDBIndex[],4,FALSE),"")</f>
        <v>1</v>
      </c>
      <c r="V139" s="24" t="str">
        <f>IFERROR(VLOOKUP(10*tblRiskRegister[[#This Row],[Safeguard Maturity Score]]+tblRiskRegister[[#This Row],[VCDB Index]],tblHITIndexWeightTable[],4,FALSE),"")</f>
        <v/>
      </c>
      <c r="W139" s="301"/>
      <c r="X139" s="301"/>
      <c r="Y139" s="301"/>
      <c r="Z139" s="301"/>
      <c r="AA139" s="24" t="str">
        <f>IFERROR(MAX(tblRiskRegister[[#This Row],[Impact to Mission]:[Impact to Obligations]])*tblRiskRegister[[#This Row],[Expectancy Score]],"")</f>
        <v/>
      </c>
      <c r="AB139" s="24" t="str">
        <f>tblRiskRegister[[#This Row],[Risk Score]]</f>
        <v/>
      </c>
      <c r="AC139" s="79"/>
      <c r="AD139" s="206">
        <v>16.2</v>
      </c>
      <c r="AE139" s="194" t="s">
        <v>163</v>
      </c>
      <c r="AF139" s="194" t="s">
        <v>439</v>
      </c>
      <c r="AG139" s="213"/>
      <c r="AH139" s="13"/>
      <c r="AI139" s="22" t="str">
        <f>IFERROR(VLOOKUP(10*tblRiskRegister[[#This Row],[Risk Treatment Safeguard Maturity Score]]+tblRiskRegister[[#This Row],[VCDB Index]],tblHITIndexWeightTable[],4,FALSE),"")</f>
        <v/>
      </c>
      <c r="AJ139" s="302"/>
      <c r="AK139" s="302"/>
      <c r="AL139" s="302"/>
      <c r="AM139" s="302"/>
      <c r="AN139" s="100" t="str">
        <f>IFERROR(MAX(tblRiskRegister[[#This Row],[Risk Treatment Safeguard Impact to Mission]:[Risk Treatment Safeguard Impact to Obligations]])*tblRiskRegister[[#This Row],[Risk Treatment
Safeguard Expectancy Score]],"")</f>
        <v/>
      </c>
      <c r="AO139" s="203" t="str">
        <f>IF(tblRiskRegister[[#This Row],[Risk Score]]&gt;AcceptableRisk,IF(tblRiskRegister[[#This Row],[Risk Treatment Safeguard Risk Score]]&lt;AcceptableRisk, IF(tblRiskRegister[[#This Row],[Risk Treatment Safeguard Risk Score]]&lt;=tblRiskRegister[[#This Row],[Risk Score]],"Yes","No"),"No"),"Yes")</f>
        <v>No</v>
      </c>
      <c r="AP139" s="15"/>
      <c r="AQ139" s="15"/>
      <c r="AR139" s="16"/>
    </row>
    <row r="140" spans="2:44" ht="38.25" x14ac:dyDescent="0.2">
      <c r="B140" s="207">
        <v>16.3</v>
      </c>
      <c r="C140" s="194" t="s">
        <v>164</v>
      </c>
      <c r="D140" s="88" t="s">
        <v>89</v>
      </c>
      <c r="E140" s="274" t="s">
        <v>657</v>
      </c>
      <c r="F140" s="14"/>
      <c r="G140" s="88" t="s">
        <v>463</v>
      </c>
      <c r="H140" s="88" t="s">
        <v>463</v>
      </c>
      <c r="I140" s="223"/>
      <c r="J140" s="293" t="s">
        <v>667</v>
      </c>
      <c r="K140" s="292" t="s">
        <v>666</v>
      </c>
      <c r="L140" s="293" t="s">
        <v>667</v>
      </c>
      <c r="M140" s="293" t="s">
        <v>667</v>
      </c>
      <c r="N140" s="293" t="s">
        <v>667</v>
      </c>
      <c r="O140" s="295">
        <f>COUNTIF(tblRiskRegister[[#This Row],[Defends Against Malware]:[Defends Against Targeted Intrusions]],"Yes")</f>
        <v>4</v>
      </c>
      <c r="P140" s="12"/>
      <c r="Q140" s="12"/>
      <c r="R140" s="12"/>
      <c r="S140" s="12"/>
      <c r="T140" s="13"/>
      <c r="U140" s="199">
        <f>IFERROR(VLOOKUP(tblRiskRegister[[#This Row],[Asset Class]],tblVCDBIndex[],4,FALSE),"")</f>
        <v>1</v>
      </c>
      <c r="V140" s="24" t="str">
        <f>IFERROR(VLOOKUP(10*tblRiskRegister[[#This Row],[Safeguard Maturity Score]]+tblRiskRegister[[#This Row],[VCDB Index]],tblHITIndexWeightTable[],4,FALSE),"")</f>
        <v/>
      </c>
      <c r="W140" s="301"/>
      <c r="X140" s="301"/>
      <c r="Y140" s="301"/>
      <c r="Z140" s="301"/>
      <c r="AA140" s="24" t="str">
        <f>IFERROR(MAX(tblRiskRegister[[#This Row],[Impact to Mission]:[Impact to Obligations]])*tblRiskRegister[[#This Row],[Expectancy Score]],"")</f>
        <v/>
      </c>
      <c r="AB140" s="24" t="str">
        <f>tblRiskRegister[[#This Row],[Risk Score]]</f>
        <v/>
      </c>
      <c r="AC140" s="79"/>
      <c r="AD140" s="206">
        <v>16.3</v>
      </c>
      <c r="AE140" s="194" t="s">
        <v>164</v>
      </c>
      <c r="AF140" s="194" t="s">
        <v>440</v>
      </c>
      <c r="AG140" s="213"/>
      <c r="AH140" s="13"/>
      <c r="AI140" s="22" t="str">
        <f>IFERROR(VLOOKUP(10*tblRiskRegister[[#This Row],[Risk Treatment Safeguard Maturity Score]]+tblRiskRegister[[#This Row],[VCDB Index]],tblHITIndexWeightTable[],4,FALSE),"")</f>
        <v/>
      </c>
      <c r="AJ140" s="302"/>
      <c r="AK140" s="302"/>
      <c r="AL140" s="302"/>
      <c r="AM140" s="302"/>
      <c r="AN140" s="100" t="str">
        <f>IFERROR(MAX(tblRiskRegister[[#This Row],[Risk Treatment Safeguard Impact to Mission]:[Risk Treatment Safeguard Impact to Obligations]])*tblRiskRegister[[#This Row],[Risk Treatment
Safeguard Expectancy Score]],"")</f>
        <v/>
      </c>
      <c r="AO140" s="203" t="str">
        <f>IF(tblRiskRegister[[#This Row],[Risk Score]]&gt;AcceptableRisk,IF(tblRiskRegister[[#This Row],[Risk Treatment Safeguard Risk Score]]&lt;AcceptableRisk, IF(tblRiskRegister[[#This Row],[Risk Treatment Safeguard Risk Score]]&lt;=tblRiskRegister[[#This Row],[Risk Score]],"Yes","No"),"No"),"Yes")</f>
        <v>No</v>
      </c>
      <c r="AP140" s="15"/>
      <c r="AQ140" s="15"/>
      <c r="AR140" s="16"/>
    </row>
    <row r="141" spans="2:44" ht="63.75" x14ac:dyDescent="0.2">
      <c r="B141" s="207">
        <v>16.399999999999999</v>
      </c>
      <c r="C141" s="194" t="s">
        <v>228</v>
      </c>
      <c r="D141" s="88" t="s">
        <v>89</v>
      </c>
      <c r="E141" s="274" t="s">
        <v>657</v>
      </c>
      <c r="F141" s="14"/>
      <c r="G141" s="88" t="s">
        <v>463</v>
      </c>
      <c r="H141" s="88" t="s">
        <v>463</v>
      </c>
      <c r="I141" s="223"/>
      <c r="J141" s="293" t="s">
        <v>667</v>
      </c>
      <c r="K141" s="292" t="s">
        <v>666</v>
      </c>
      <c r="L141" s="293" t="s">
        <v>667</v>
      </c>
      <c r="M141" s="293" t="s">
        <v>667</v>
      </c>
      <c r="N141" s="293" t="s">
        <v>667</v>
      </c>
      <c r="O141" s="295">
        <f>COUNTIF(tblRiskRegister[[#This Row],[Defends Against Malware]:[Defends Against Targeted Intrusions]],"Yes")</f>
        <v>4</v>
      </c>
      <c r="P141" s="12"/>
      <c r="Q141" s="12"/>
      <c r="R141" s="12"/>
      <c r="S141" s="12"/>
      <c r="T141" s="13"/>
      <c r="U141" s="199">
        <f>IFERROR(VLOOKUP(tblRiskRegister[[#This Row],[Asset Class]],tblVCDBIndex[],4,FALSE),"")</f>
        <v>1</v>
      </c>
      <c r="V141" s="24" t="str">
        <f>IFERROR(VLOOKUP(10*tblRiskRegister[[#This Row],[Safeguard Maturity Score]]+tblRiskRegister[[#This Row],[VCDB Index]],tblHITIndexWeightTable[],4,FALSE),"")</f>
        <v/>
      </c>
      <c r="W141" s="301"/>
      <c r="X141" s="301"/>
      <c r="Y141" s="301"/>
      <c r="Z141" s="301"/>
      <c r="AA141" s="24" t="str">
        <f>IFERROR(MAX(tblRiskRegister[[#This Row],[Impact to Mission]:[Impact to Obligations]])*tblRiskRegister[[#This Row],[Expectancy Score]],"")</f>
        <v/>
      </c>
      <c r="AB141" s="24" t="str">
        <f>tblRiskRegister[[#This Row],[Risk Score]]</f>
        <v/>
      </c>
      <c r="AC141" s="79"/>
      <c r="AD141" s="206">
        <v>16.399999999999999</v>
      </c>
      <c r="AE141" s="194" t="s">
        <v>228</v>
      </c>
      <c r="AF141" s="194" t="s">
        <v>441</v>
      </c>
      <c r="AG141" s="213"/>
      <c r="AH141" s="13"/>
      <c r="AI141" s="22" t="str">
        <f>IFERROR(VLOOKUP(10*tblRiskRegister[[#This Row],[Risk Treatment Safeguard Maturity Score]]+tblRiskRegister[[#This Row],[VCDB Index]],tblHITIndexWeightTable[],4,FALSE),"")</f>
        <v/>
      </c>
      <c r="AJ141" s="302"/>
      <c r="AK141" s="302"/>
      <c r="AL141" s="302"/>
      <c r="AM141" s="302"/>
      <c r="AN141" s="100" t="str">
        <f>IFERROR(MAX(tblRiskRegister[[#This Row],[Risk Treatment Safeguard Impact to Mission]:[Risk Treatment Safeguard Impact to Obligations]])*tblRiskRegister[[#This Row],[Risk Treatment
Safeguard Expectancy Score]],"")</f>
        <v/>
      </c>
      <c r="AO141" s="203" t="str">
        <f>IF(tblRiskRegister[[#This Row],[Risk Score]]&gt;AcceptableRisk,IF(tblRiskRegister[[#This Row],[Risk Treatment Safeguard Risk Score]]&lt;AcceptableRisk, IF(tblRiskRegister[[#This Row],[Risk Treatment Safeguard Risk Score]]&lt;=tblRiskRegister[[#This Row],[Risk Score]],"Yes","No"),"No"),"Yes")</f>
        <v>No</v>
      </c>
      <c r="AP141" s="15"/>
      <c r="AQ141" s="15"/>
      <c r="AR141" s="16"/>
    </row>
    <row r="142" spans="2:44" ht="38.25" x14ac:dyDescent="0.2">
      <c r="B142" s="207">
        <v>16.5</v>
      </c>
      <c r="C142" s="194" t="s">
        <v>165</v>
      </c>
      <c r="D142" s="88" t="s">
        <v>89</v>
      </c>
      <c r="E142" s="274" t="s">
        <v>657</v>
      </c>
      <c r="F142" s="14"/>
      <c r="G142" s="88" t="s">
        <v>463</v>
      </c>
      <c r="H142" s="88" t="s">
        <v>463</v>
      </c>
      <c r="I142" s="223"/>
      <c r="J142" s="293" t="s">
        <v>667</v>
      </c>
      <c r="K142" s="292" t="s">
        <v>666</v>
      </c>
      <c r="L142" s="293" t="s">
        <v>667</v>
      </c>
      <c r="M142" s="293" t="s">
        <v>667</v>
      </c>
      <c r="N142" s="293" t="s">
        <v>667</v>
      </c>
      <c r="O142" s="295">
        <f>COUNTIF(tblRiskRegister[[#This Row],[Defends Against Malware]:[Defends Against Targeted Intrusions]],"Yes")</f>
        <v>4</v>
      </c>
      <c r="P142" s="12"/>
      <c r="Q142" s="12"/>
      <c r="R142" s="12"/>
      <c r="S142" s="12"/>
      <c r="T142" s="13"/>
      <c r="U142" s="199">
        <f>IFERROR(VLOOKUP(tblRiskRegister[[#This Row],[Asset Class]],tblVCDBIndex[],4,FALSE),"")</f>
        <v>1</v>
      </c>
      <c r="V142" s="24" t="str">
        <f>IFERROR(VLOOKUP(10*tblRiskRegister[[#This Row],[Safeguard Maturity Score]]+tblRiskRegister[[#This Row],[VCDB Index]],tblHITIndexWeightTable[],4,FALSE),"")</f>
        <v/>
      </c>
      <c r="W142" s="301"/>
      <c r="X142" s="301"/>
      <c r="Y142" s="301"/>
      <c r="Z142" s="301"/>
      <c r="AA142" s="24" t="str">
        <f>IFERROR(MAX(tblRiskRegister[[#This Row],[Impact to Mission]:[Impact to Obligations]])*tblRiskRegister[[#This Row],[Expectancy Score]],"")</f>
        <v/>
      </c>
      <c r="AB142" s="24" t="str">
        <f>tblRiskRegister[[#This Row],[Risk Score]]</f>
        <v/>
      </c>
      <c r="AC142" s="79"/>
      <c r="AD142" s="206">
        <v>16.5</v>
      </c>
      <c r="AE142" s="194" t="s">
        <v>165</v>
      </c>
      <c r="AF142" s="194" t="s">
        <v>442</v>
      </c>
      <c r="AG142" s="213"/>
      <c r="AH142" s="13"/>
      <c r="AI142" s="22" t="str">
        <f>IFERROR(VLOOKUP(10*tblRiskRegister[[#This Row],[Risk Treatment Safeguard Maturity Score]]+tblRiskRegister[[#This Row],[VCDB Index]],tblHITIndexWeightTable[],4,FALSE),"")</f>
        <v/>
      </c>
      <c r="AJ142" s="302"/>
      <c r="AK142" s="302"/>
      <c r="AL142" s="302"/>
      <c r="AM142" s="302"/>
      <c r="AN142" s="100" t="str">
        <f>IFERROR(MAX(tblRiskRegister[[#This Row],[Risk Treatment Safeguard Impact to Mission]:[Risk Treatment Safeguard Impact to Obligations]])*tblRiskRegister[[#This Row],[Risk Treatment
Safeguard Expectancy Score]],"")</f>
        <v/>
      </c>
      <c r="AO142" s="203" t="str">
        <f>IF(tblRiskRegister[[#This Row],[Risk Score]]&gt;AcceptableRisk,IF(tblRiskRegister[[#This Row],[Risk Treatment Safeguard Risk Score]]&lt;AcceptableRisk, IF(tblRiskRegister[[#This Row],[Risk Treatment Safeguard Risk Score]]&lt;=tblRiskRegister[[#This Row],[Risk Score]],"Yes","No"),"No"),"Yes")</f>
        <v>No</v>
      </c>
      <c r="AP142" s="15"/>
      <c r="AQ142" s="15"/>
      <c r="AR142" s="16"/>
    </row>
    <row r="143" spans="2:44" ht="63.75" x14ac:dyDescent="0.2">
      <c r="B143" s="207">
        <v>16.600000000000001</v>
      </c>
      <c r="C143" s="194" t="s">
        <v>166</v>
      </c>
      <c r="D143" s="88" t="s">
        <v>89</v>
      </c>
      <c r="E143" s="274" t="s">
        <v>657</v>
      </c>
      <c r="F143" s="14"/>
      <c r="G143" s="88" t="s">
        <v>463</v>
      </c>
      <c r="H143" s="88" t="s">
        <v>463</v>
      </c>
      <c r="I143" s="223"/>
      <c r="J143" s="292" t="s">
        <v>666</v>
      </c>
      <c r="K143" s="292" t="s">
        <v>666</v>
      </c>
      <c r="L143" s="292" t="s">
        <v>666</v>
      </c>
      <c r="M143" s="292" t="s">
        <v>666</v>
      </c>
      <c r="N143" s="292" t="s">
        <v>666</v>
      </c>
      <c r="O143" s="295">
        <f>COUNTIF(tblRiskRegister[[#This Row],[Defends Against Malware]:[Defends Against Targeted Intrusions]],"Yes")</f>
        <v>0</v>
      </c>
      <c r="P143" s="12"/>
      <c r="Q143" s="12"/>
      <c r="R143" s="12"/>
      <c r="S143" s="12"/>
      <c r="T143" s="13"/>
      <c r="U143" s="199">
        <f>IFERROR(VLOOKUP(tblRiskRegister[[#This Row],[Asset Class]],tblVCDBIndex[],4,FALSE),"")</f>
        <v>1</v>
      </c>
      <c r="V143" s="24" t="str">
        <f>IFERROR(VLOOKUP(10*tblRiskRegister[[#This Row],[Safeguard Maturity Score]]+tblRiskRegister[[#This Row],[VCDB Index]],tblHITIndexWeightTable[],4,FALSE),"")</f>
        <v/>
      </c>
      <c r="W143" s="301"/>
      <c r="X143" s="301"/>
      <c r="Y143" s="301"/>
      <c r="Z143" s="301"/>
      <c r="AA143" s="24" t="str">
        <f>IFERROR(MAX(tblRiskRegister[[#This Row],[Impact to Mission]:[Impact to Obligations]])*tblRiskRegister[[#This Row],[Expectancy Score]],"")</f>
        <v/>
      </c>
      <c r="AB143" s="24" t="str">
        <f>tblRiskRegister[[#This Row],[Risk Score]]</f>
        <v/>
      </c>
      <c r="AC143" s="79"/>
      <c r="AD143" s="206">
        <v>16.600000000000001</v>
      </c>
      <c r="AE143" s="194" t="s">
        <v>166</v>
      </c>
      <c r="AF143" s="194" t="s">
        <v>443</v>
      </c>
      <c r="AG143" s="213"/>
      <c r="AH143" s="13"/>
      <c r="AI143" s="22" t="str">
        <f>IFERROR(VLOOKUP(10*tblRiskRegister[[#This Row],[Risk Treatment Safeguard Maturity Score]]+tblRiskRegister[[#This Row],[VCDB Index]],tblHITIndexWeightTable[],4,FALSE),"")</f>
        <v/>
      </c>
      <c r="AJ143" s="302"/>
      <c r="AK143" s="302"/>
      <c r="AL143" s="302"/>
      <c r="AM143" s="302"/>
      <c r="AN143" s="100" t="str">
        <f>IFERROR(MAX(tblRiskRegister[[#This Row],[Risk Treatment Safeguard Impact to Mission]:[Risk Treatment Safeguard Impact to Obligations]])*tblRiskRegister[[#This Row],[Risk Treatment
Safeguard Expectancy Score]],"")</f>
        <v/>
      </c>
      <c r="AO143" s="203" t="str">
        <f>IF(tblRiskRegister[[#This Row],[Risk Score]]&gt;AcceptableRisk,IF(tblRiskRegister[[#This Row],[Risk Treatment Safeguard Risk Score]]&lt;AcceptableRisk, IF(tblRiskRegister[[#This Row],[Risk Treatment Safeguard Risk Score]]&lt;=tblRiskRegister[[#This Row],[Risk Score]],"Yes","No"),"No"),"Yes")</f>
        <v>No</v>
      </c>
      <c r="AP143" s="15"/>
      <c r="AQ143" s="15"/>
      <c r="AR143" s="16"/>
    </row>
    <row r="144" spans="2:44" ht="51" x14ac:dyDescent="0.2">
      <c r="B144" s="207">
        <v>16.7</v>
      </c>
      <c r="C144" s="194" t="s">
        <v>167</v>
      </c>
      <c r="D144" s="88" t="s">
        <v>89</v>
      </c>
      <c r="E144" s="274" t="s">
        <v>657</v>
      </c>
      <c r="F144" s="14"/>
      <c r="G144" s="88" t="s">
        <v>463</v>
      </c>
      <c r="H144" s="88" t="s">
        <v>463</v>
      </c>
      <c r="I144" s="223"/>
      <c r="J144" s="292" t="s">
        <v>666</v>
      </c>
      <c r="K144" s="292" t="s">
        <v>666</v>
      </c>
      <c r="L144" s="292" t="s">
        <v>666</v>
      </c>
      <c r="M144" s="292" t="s">
        <v>666</v>
      </c>
      <c r="N144" s="292" t="s">
        <v>666</v>
      </c>
      <c r="O144" s="295">
        <f>COUNTIF(tblRiskRegister[[#This Row],[Defends Against Malware]:[Defends Against Targeted Intrusions]],"Yes")</f>
        <v>0</v>
      </c>
      <c r="P144" s="12"/>
      <c r="Q144" s="12"/>
      <c r="R144" s="12"/>
      <c r="S144" s="12"/>
      <c r="T144" s="13"/>
      <c r="U144" s="199">
        <f>IFERROR(VLOOKUP(tblRiskRegister[[#This Row],[Asset Class]],tblVCDBIndex[],4,FALSE),"")</f>
        <v>1</v>
      </c>
      <c r="V144" s="24" t="str">
        <f>IFERROR(VLOOKUP(10*tblRiskRegister[[#This Row],[Safeguard Maturity Score]]+tblRiskRegister[[#This Row],[VCDB Index]],tblHITIndexWeightTable[],4,FALSE),"")</f>
        <v/>
      </c>
      <c r="W144" s="301"/>
      <c r="X144" s="301"/>
      <c r="Y144" s="301"/>
      <c r="Z144" s="301"/>
      <c r="AA144" s="24" t="str">
        <f>IFERROR(MAX(tblRiskRegister[[#This Row],[Impact to Mission]:[Impact to Obligations]])*tblRiskRegister[[#This Row],[Expectancy Score]],"")</f>
        <v/>
      </c>
      <c r="AB144" s="24" t="str">
        <f>tblRiskRegister[[#This Row],[Risk Score]]</f>
        <v/>
      </c>
      <c r="AC144" s="79"/>
      <c r="AD144" s="206">
        <v>16.7</v>
      </c>
      <c r="AE144" s="194" t="s">
        <v>167</v>
      </c>
      <c r="AF144" s="194" t="s">
        <v>444</v>
      </c>
      <c r="AG144" s="213"/>
      <c r="AH144" s="13"/>
      <c r="AI144" s="22" t="str">
        <f>IFERROR(VLOOKUP(10*tblRiskRegister[[#This Row],[Risk Treatment Safeguard Maturity Score]]+tblRiskRegister[[#This Row],[VCDB Index]],tblHITIndexWeightTable[],4,FALSE),"")</f>
        <v/>
      </c>
      <c r="AJ144" s="302"/>
      <c r="AK144" s="302"/>
      <c r="AL144" s="302"/>
      <c r="AM144" s="302"/>
      <c r="AN144" s="100" t="str">
        <f>IFERROR(MAX(tblRiskRegister[[#This Row],[Risk Treatment Safeguard Impact to Mission]:[Risk Treatment Safeguard Impact to Obligations]])*tblRiskRegister[[#This Row],[Risk Treatment
Safeguard Expectancy Score]],"")</f>
        <v/>
      </c>
      <c r="AO144" s="203" t="str">
        <f>IF(tblRiskRegister[[#This Row],[Risk Score]]&gt;AcceptableRisk,IF(tblRiskRegister[[#This Row],[Risk Treatment Safeguard Risk Score]]&lt;AcceptableRisk, IF(tblRiskRegister[[#This Row],[Risk Treatment Safeguard Risk Score]]&lt;=tblRiskRegister[[#This Row],[Risk Score]],"Yes","No"),"No"),"Yes")</f>
        <v>No</v>
      </c>
      <c r="AP144" s="15"/>
      <c r="AQ144" s="15"/>
      <c r="AR144" s="16"/>
    </row>
    <row r="145" spans="2:44" ht="25.5" x14ac:dyDescent="0.2">
      <c r="B145" s="207">
        <v>16.8</v>
      </c>
      <c r="C145" s="194" t="s">
        <v>168</v>
      </c>
      <c r="D145" s="88" t="s">
        <v>89</v>
      </c>
      <c r="E145" s="274" t="s">
        <v>657</v>
      </c>
      <c r="F145" s="14"/>
      <c r="G145" s="88" t="s">
        <v>463</v>
      </c>
      <c r="H145" s="88" t="s">
        <v>463</v>
      </c>
      <c r="I145" s="223"/>
      <c r="J145" s="293" t="s">
        <v>667</v>
      </c>
      <c r="K145" s="293" t="s">
        <v>667</v>
      </c>
      <c r="L145" s="293" t="s">
        <v>667</v>
      </c>
      <c r="M145" s="293" t="s">
        <v>667</v>
      </c>
      <c r="N145" s="293" t="s">
        <v>667</v>
      </c>
      <c r="O145" s="295">
        <f>COUNTIF(tblRiskRegister[[#This Row],[Defends Against Malware]:[Defends Against Targeted Intrusions]],"Yes")</f>
        <v>5</v>
      </c>
      <c r="P145" s="12"/>
      <c r="Q145" s="12"/>
      <c r="R145" s="12"/>
      <c r="S145" s="12"/>
      <c r="T145" s="13"/>
      <c r="U145" s="199">
        <f>IFERROR(VLOOKUP(tblRiskRegister[[#This Row],[Asset Class]],tblVCDBIndex[],4,FALSE),"")</f>
        <v>1</v>
      </c>
      <c r="V145" s="24" t="str">
        <f>IFERROR(VLOOKUP(10*tblRiskRegister[[#This Row],[Safeguard Maturity Score]]+tblRiskRegister[[#This Row],[VCDB Index]],tblHITIndexWeightTable[],4,FALSE),"")</f>
        <v/>
      </c>
      <c r="W145" s="301"/>
      <c r="X145" s="301"/>
      <c r="Y145" s="301"/>
      <c r="Z145" s="301"/>
      <c r="AA145" s="24" t="str">
        <f>IFERROR(MAX(tblRiskRegister[[#This Row],[Impact to Mission]:[Impact to Obligations]])*tblRiskRegister[[#This Row],[Expectancy Score]],"")</f>
        <v/>
      </c>
      <c r="AB145" s="24" t="str">
        <f>tblRiskRegister[[#This Row],[Risk Score]]</f>
        <v/>
      </c>
      <c r="AC145" s="79"/>
      <c r="AD145" s="206">
        <v>16.8</v>
      </c>
      <c r="AE145" s="194" t="s">
        <v>168</v>
      </c>
      <c r="AF145" s="194" t="s">
        <v>445</v>
      </c>
      <c r="AG145" s="213"/>
      <c r="AH145" s="13"/>
      <c r="AI145" s="22" t="str">
        <f>IFERROR(VLOOKUP(10*tblRiskRegister[[#This Row],[Risk Treatment Safeguard Maturity Score]]+tblRiskRegister[[#This Row],[VCDB Index]],tblHITIndexWeightTable[],4,FALSE),"")</f>
        <v/>
      </c>
      <c r="AJ145" s="302"/>
      <c r="AK145" s="302"/>
      <c r="AL145" s="302"/>
      <c r="AM145" s="302"/>
      <c r="AN145" s="100" t="str">
        <f>IFERROR(MAX(tblRiskRegister[[#This Row],[Risk Treatment Safeguard Impact to Mission]:[Risk Treatment Safeguard Impact to Obligations]])*tblRiskRegister[[#This Row],[Risk Treatment
Safeguard Expectancy Score]],"")</f>
        <v/>
      </c>
      <c r="AO145" s="203" t="str">
        <f>IF(tblRiskRegister[[#This Row],[Risk Score]]&gt;AcceptableRisk,IF(tblRiskRegister[[#This Row],[Risk Treatment Safeguard Risk Score]]&lt;AcceptableRisk, IF(tblRiskRegister[[#This Row],[Risk Treatment Safeguard Risk Score]]&lt;=tblRiskRegister[[#This Row],[Risk Score]],"Yes","No"),"No"),"Yes")</f>
        <v>No</v>
      </c>
      <c r="AP145" s="15"/>
      <c r="AQ145" s="15"/>
      <c r="AR145" s="16"/>
    </row>
    <row r="146" spans="2:44" ht="63.75" x14ac:dyDescent="0.2">
      <c r="B146" s="207">
        <v>16.899999999999999</v>
      </c>
      <c r="C146" s="194" t="s">
        <v>169</v>
      </c>
      <c r="D146" s="88" t="s">
        <v>89</v>
      </c>
      <c r="E146" s="274" t="s">
        <v>657</v>
      </c>
      <c r="F146" s="14"/>
      <c r="G146" s="88" t="s">
        <v>463</v>
      </c>
      <c r="H146" s="88" t="s">
        <v>463</v>
      </c>
      <c r="I146" s="223"/>
      <c r="J146" s="293" t="s">
        <v>667</v>
      </c>
      <c r="K146" s="293" t="s">
        <v>667</v>
      </c>
      <c r="L146" s="293" t="s">
        <v>667</v>
      </c>
      <c r="M146" s="293" t="s">
        <v>667</v>
      </c>
      <c r="N146" s="293" t="s">
        <v>667</v>
      </c>
      <c r="O146" s="295">
        <f>COUNTIF(tblRiskRegister[[#This Row],[Defends Against Malware]:[Defends Against Targeted Intrusions]],"Yes")</f>
        <v>5</v>
      </c>
      <c r="P146" s="12"/>
      <c r="Q146" s="12"/>
      <c r="R146" s="12"/>
      <c r="S146" s="12"/>
      <c r="T146" s="13"/>
      <c r="U146" s="199">
        <f>IFERROR(VLOOKUP(tblRiskRegister[[#This Row],[Asset Class]],tblVCDBIndex[],4,FALSE),"")</f>
        <v>1</v>
      </c>
      <c r="V146" s="24" t="str">
        <f>IFERROR(VLOOKUP(10*tblRiskRegister[[#This Row],[Safeguard Maturity Score]]+tblRiskRegister[[#This Row],[VCDB Index]],tblHITIndexWeightTable[],4,FALSE),"")</f>
        <v/>
      </c>
      <c r="W146" s="301"/>
      <c r="X146" s="301"/>
      <c r="Y146" s="301"/>
      <c r="Z146" s="301"/>
      <c r="AA146" s="24" t="str">
        <f>IFERROR(MAX(tblRiskRegister[[#This Row],[Impact to Mission]:[Impact to Obligations]])*tblRiskRegister[[#This Row],[Expectancy Score]],"")</f>
        <v/>
      </c>
      <c r="AB146" s="24" t="str">
        <f>tblRiskRegister[[#This Row],[Risk Score]]</f>
        <v/>
      </c>
      <c r="AC146" s="79"/>
      <c r="AD146" s="206">
        <v>16.899999999999999</v>
      </c>
      <c r="AE146" s="194" t="s">
        <v>169</v>
      </c>
      <c r="AF146" s="194" t="s">
        <v>446</v>
      </c>
      <c r="AG146" s="213"/>
      <c r="AH146" s="13"/>
      <c r="AI146" s="22" t="str">
        <f>IFERROR(VLOOKUP(10*tblRiskRegister[[#This Row],[Risk Treatment Safeguard Maturity Score]]+tblRiskRegister[[#This Row],[VCDB Index]],tblHITIndexWeightTable[],4,FALSE),"")</f>
        <v/>
      </c>
      <c r="AJ146" s="302"/>
      <c r="AK146" s="302"/>
      <c r="AL146" s="302"/>
      <c r="AM146" s="302"/>
      <c r="AN146" s="100" t="str">
        <f>IFERROR(MAX(tblRiskRegister[[#This Row],[Risk Treatment Safeguard Impact to Mission]:[Risk Treatment Safeguard Impact to Obligations]])*tblRiskRegister[[#This Row],[Risk Treatment
Safeguard Expectancy Score]],"")</f>
        <v/>
      </c>
      <c r="AO146" s="203" t="str">
        <f>IF(tblRiskRegister[[#This Row],[Risk Score]]&gt;AcceptableRisk,IF(tblRiskRegister[[#This Row],[Risk Treatment Safeguard Risk Score]]&lt;AcceptableRisk, IF(tblRiskRegister[[#This Row],[Risk Treatment Safeguard Risk Score]]&lt;=tblRiskRegister[[#This Row],[Risk Score]],"Yes","No"),"No"),"Yes")</f>
        <v>No</v>
      </c>
      <c r="AP146" s="15"/>
      <c r="AQ146" s="15"/>
      <c r="AR146" s="16"/>
    </row>
    <row r="147" spans="2:44" ht="89.25" x14ac:dyDescent="0.2">
      <c r="B147" s="207" t="s">
        <v>460</v>
      </c>
      <c r="C147" s="194" t="s">
        <v>170</v>
      </c>
      <c r="D147" s="88" t="s">
        <v>89</v>
      </c>
      <c r="E147" s="274" t="s">
        <v>657</v>
      </c>
      <c r="F147" s="14"/>
      <c r="G147" s="88" t="s">
        <v>463</v>
      </c>
      <c r="H147" s="88" t="s">
        <v>463</v>
      </c>
      <c r="I147" s="223"/>
      <c r="J147" s="293" t="s">
        <v>667</v>
      </c>
      <c r="K147" s="293" t="s">
        <v>667</v>
      </c>
      <c r="L147" s="293" t="s">
        <v>667</v>
      </c>
      <c r="M147" s="293" t="s">
        <v>667</v>
      </c>
      <c r="N147" s="293" t="s">
        <v>667</v>
      </c>
      <c r="O147" s="295">
        <f>COUNTIF(tblRiskRegister[[#This Row],[Defends Against Malware]:[Defends Against Targeted Intrusions]],"Yes")</f>
        <v>5</v>
      </c>
      <c r="P147" s="12"/>
      <c r="Q147" s="12"/>
      <c r="R147" s="12"/>
      <c r="S147" s="12"/>
      <c r="T147" s="13"/>
      <c r="U147" s="199">
        <f>IFERROR(VLOOKUP(tblRiskRegister[[#This Row],[Asset Class]],tblVCDBIndex[],4,FALSE),"")</f>
        <v>1</v>
      </c>
      <c r="V147" s="24" t="str">
        <f>IFERROR(VLOOKUP(10*tblRiskRegister[[#This Row],[Safeguard Maturity Score]]+tblRiskRegister[[#This Row],[VCDB Index]],tblHITIndexWeightTable[],4,FALSE),"")</f>
        <v/>
      </c>
      <c r="W147" s="301"/>
      <c r="X147" s="301"/>
      <c r="Y147" s="301"/>
      <c r="Z147" s="301"/>
      <c r="AA147" s="24" t="str">
        <f>IFERROR(MAX(tblRiskRegister[[#This Row],[Impact to Mission]:[Impact to Obligations]])*tblRiskRegister[[#This Row],[Expectancy Score]],"")</f>
        <v/>
      </c>
      <c r="AB147" s="24" t="str">
        <f>tblRiskRegister[[#This Row],[Risk Score]]</f>
        <v/>
      </c>
      <c r="AC147" s="79"/>
      <c r="AD147" s="206" t="s">
        <v>460</v>
      </c>
      <c r="AE147" s="194" t="s">
        <v>170</v>
      </c>
      <c r="AF147" s="194" t="s">
        <v>447</v>
      </c>
      <c r="AG147" s="213"/>
      <c r="AH147" s="13"/>
      <c r="AI147" s="22" t="str">
        <f>IFERROR(VLOOKUP(10*tblRiskRegister[[#This Row],[Risk Treatment Safeguard Maturity Score]]+tblRiskRegister[[#This Row],[VCDB Index]],tblHITIndexWeightTable[],4,FALSE),"")</f>
        <v/>
      </c>
      <c r="AJ147" s="302"/>
      <c r="AK147" s="302"/>
      <c r="AL147" s="302"/>
      <c r="AM147" s="302"/>
      <c r="AN147" s="100" t="str">
        <f>IFERROR(MAX(tblRiskRegister[[#This Row],[Risk Treatment Safeguard Impact to Mission]:[Risk Treatment Safeguard Impact to Obligations]])*tblRiskRegister[[#This Row],[Risk Treatment
Safeguard Expectancy Score]],"")</f>
        <v/>
      </c>
      <c r="AO147" s="203" t="str">
        <f>IF(tblRiskRegister[[#This Row],[Risk Score]]&gt;AcceptableRisk,IF(tblRiskRegister[[#This Row],[Risk Treatment Safeguard Risk Score]]&lt;AcceptableRisk, IF(tblRiskRegister[[#This Row],[Risk Treatment Safeguard Risk Score]]&lt;=tblRiskRegister[[#This Row],[Risk Score]],"Yes","No"),"No"),"Yes")</f>
        <v>No</v>
      </c>
      <c r="AP147" s="15"/>
      <c r="AQ147" s="15"/>
      <c r="AR147" s="16"/>
    </row>
    <row r="148" spans="2:44" ht="89.25" x14ac:dyDescent="0.2">
      <c r="B148" s="207">
        <v>16.11</v>
      </c>
      <c r="C148" s="194" t="s">
        <v>171</v>
      </c>
      <c r="D148" s="88" t="s">
        <v>89</v>
      </c>
      <c r="E148" s="274" t="s">
        <v>657</v>
      </c>
      <c r="F148" s="14"/>
      <c r="G148" s="88" t="s">
        <v>463</v>
      </c>
      <c r="H148" s="88" t="s">
        <v>463</v>
      </c>
      <c r="I148" s="223"/>
      <c r="J148" s="293" t="s">
        <v>667</v>
      </c>
      <c r="K148" s="292" t="s">
        <v>666</v>
      </c>
      <c r="L148" s="293" t="s">
        <v>667</v>
      </c>
      <c r="M148" s="293" t="s">
        <v>667</v>
      </c>
      <c r="N148" s="293" t="s">
        <v>667</v>
      </c>
      <c r="O148" s="295">
        <f>COUNTIF(tblRiskRegister[[#This Row],[Defends Against Malware]:[Defends Against Targeted Intrusions]],"Yes")</f>
        <v>4</v>
      </c>
      <c r="P148" s="12"/>
      <c r="Q148" s="12"/>
      <c r="R148" s="12"/>
      <c r="S148" s="12"/>
      <c r="T148" s="13"/>
      <c r="U148" s="199">
        <f>IFERROR(VLOOKUP(tblRiskRegister[[#This Row],[Asset Class]],tblVCDBIndex[],4,FALSE),"")</f>
        <v>1</v>
      </c>
      <c r="V148" s="24" t="str">
        <f>IFERROR(VLOOKUP(10*tblRiskRegister[[#This Row],[Safeguard Maturity Score]]+tblRiskRegister[[#This Row],[VCDB Index]],tblHITIndexWeightTable[],4,FALSE),"")</f>
        <v/>
      </c>
      <c r="W148" s="301"/>
      <c r="X148" s="301"/>
      <c r="Y148" s="301"/>
      <c r="Z148" s="301"/>
      <c r="AA148" s="24" t="str">
        <f>IFERROR(MAX(tblRiskRegister[[#This Row],[Impact to Mission]:[Impact to Obligations]])*tblRiskRegister[[#This Row],[Expectancy Score]],"")</f>
        <v/>
      </c>
      <c r="AB148" s="24" t="str">
        <f>tblRiskRegister[[#This Row],[Risk Score]]</f>
        <v/>
      </c>
      <c r="AC148" s="79"/>
      <c r="AD148" s="206">
        <v>16.11</v>
      </c>
      <c r="AE148" s="194" t="s">
        <v>171</v>
      </c>
      <c r="AF148" s="194" t="s">
        <v>448</v>
      </c>
      <c r="AG148" s="213"/>
      <c r="AH148" s="13"/>
      <c r="AI148" s="22" t="str">
        <f>IFERROR(VLOOKUP(10*tblRiskRegister[[#This Row],[Risk Treatment Safeguard Maturity Score]]+tblRiskRegister[[#This Row],[VCDB Index]],tblHITIndexWeightTable[],4,FALSE),"")</f>
        <v/>
      </c>
      <c r="AJ148" s="302"/>
      <c r="AK148" s="302"/>
      <c r="AL148" s="302"/>
      <c r="AM148" s="302"/>
      <c r="AN148" s="100" t="str">
        <f>IFERROR(MAX(tblRiskRegister[[#This Row],[Risk Treatment Safeguard Impact to Mission]:[Risk Treatment Safeguard Impact to Obligations]])*tblRiskRegister[[#This Row],[Risk Treatment
Safeguard Expectancy Score]],"")</f>
        <v/>
      </c>
      <c r="AO148" s="203" t="str">
        <f>IF(tblRiskRegister[[#This Row],[Risk Score]]&gt;AcceptableRisk,IF(tblRiskRegister[[#This Row],[Risk Treatment Safeguard Risk Score]]&lt;AcceptableRisk, IF(tblRiskRegister[[#This Row],[Risk Treatment Safeguard Risk Score]]&lt;=tblRiskRegister[[#This Row],[Risk Score]],"Yes","No"),"No"),"Yes")</f>
        <v>No</v>
      </c>
      <c r="AP148" s="15"/>
      <c r="AQ148" s="15"/>
      <c r="AR148" s="16"/>
    </row>
    <row r="149" spans="2:44" ht="25.5" x14ac:dyDescent="0.2">
      <c r="B149" s="207">
        <v>16.12</v>
      </c>
      <c r="C149" s="194" t="s">
        <v>525</v>
      </c>
      <c r="D149" s="88" t="s">
        <v>89</v>
      </c>
      <c r="E149" s="274" t="s">
        <v>657</v>
      </c>
      <c r="F149" s="14"/>
      <c r="G149" s="88"/>
      <c r="H149" s="88" t="s">
        <v>463</v>
      </c>
      <c r="I149" s="223"/>
      <c r="J149" s="293" t="s">
        <v>667</v>
      </c>
      <c r="K149" s="292" t="s">
        <v>666</v>
      </c>
      <c r="L149" s="293" t="s">
        <v>667</v>
      </c>
      <c r="M149" s="293" t="s">
        <v>667</v>
      </c>
      <c r="N149" s="293" t="s">
        <v>667</v>
      </c>
      <c r="O149" s="295">
        <f>COUNTIF(tblRiskRegister[[#This Row],[Defends Against Malware]:[Defends Against Targeted Intrusions]],"Yes")</f>
        <v>4</v>
      </c>
      <c r="P149" s="12"/>
      <c r="Q149" s="12"/>
      <c r="R149" s="12"/>
      <c r="S149" s="12"/>
      <c r="T149" s="13"/>
      <c r="U149" s="199">
        <f>IFERROR(VLOOKUP(tblRiskRegister[[#This Row],[Asset Class]],tblVCDBIndex[],4,FALSE),"")</f>
        <v>1</v>
      </c>
      <c r="V149" s="24" t="str">
        <f>IFERROR(VLOOKUP(10*tblRiskRegister[[#This Row],[Safeguard Maturity Score]]+tblRiskRegister[[#This Row],[VCDB Index]],tblHITIndexWeightTable[],4,FALSE),"")</f>
        <v/>
      </c>
      <c r="W149" s="301"/>
      <c r="X149" s="301"/>
      <c r="Y149" s="301"/>
      <c r="Z149" s="301"/>
      <c r="AA149" s="24" t="str">
        <f>IFERROR(MAX(tblRiskRegister[[#This Row],[Impact to Mission]:[Impact to Obligations]])*tblRiskRegister[[#This Row],[Expectancy Score]],"")</f>
        <v/>
      </c>
      <c r="AB149" s="24" t="str">
        <f>tblRiskRegister[[#This Row],[Risk Score]]</f>
        <v/>
      </c>
      <c r="AC149" s="79"/>
      <c r="AD149" s="206">
        <v>16.12</v>
      </c>
      <c r="AE149" s="194" t="s">
        <v>525</v>
      </c>
      <c r="AF149" s="194" t="s">
        <v>573</v>
      </c>
      <c r="AG149" s="213"/>
      <c r="AH149" s="13"/>
      <c r="AI149" s="22" t="str">
        <f>IFERROR(VLOOKUP(10*tblRiskRegister[[#This Row],[Risk Treatment Safeguard Maturity Score]]+tblRiskRegister[[#This Row],[VCDB Index]],tblHITIndexWeightTable[],4,FALSE),"")</f>
        <v/>
      </c>
      <c r="AJ149" s="302"/>
      <c r="AK149" s="302"/>
      <c r="AL149" s="302"/>
      <c r="AM149" s="302"/>
      <c r="AN149" s="100" t="str">
        <f>IFERROR(MAX(tblRiskRegister[[#This Row],[Risk Treatment Safeguard Impact to Mission]:[Risk Treatment Safeguard Impact to Obligations]])*tblRiskRegister[[#This Row],[Risk Treatment
Safeguard Expectancy Score]],"")</f>
        <v/>
      </c>
      <c r="AO149" s="203" t="str">
        <f>IF(tblRiskRegister[[#This Row],[Risk Score]]&gt;AcceptableRisk,IF(tblRiskRegister[[#This Row],[Risk Treatment Safeguard Risk Score]]&lt;AcceptableRisk, IF(tblRiskRegister[[#This Row],[Risk Treatment Safeguard Risk Score]]&lt;=tblRiskRegister[[#This Row],[Risk Score]],"Yes","No"),"No"),"Yes")</f>
        <v>No</v>
      </c>
      <c r="AP149" s="15"/>
      <c r="AQ149" s="15"/>
      <c r="AR149" s="16"/>
    </row>
    <row r="150" spans="2:44" ht="51" x14ac:dyDescent="0.2">
      <c r="B150" s="207">
        <v>16.13</v>
      </c>
      <c r="C150" s="194" t="s">
        <v>526</v>
      </c>
      <c r="D150" s="88" t="s">
        <v>89</v>
      </c>
      <c r="E150" s="274" t="s">
        <v>657</v>
      </c>
      <c r="F150" s="14"/>
      <c r="G150" s="88"/>
      <c r="H150" s="88" t="s">
        <v>463</v>
      </c>
      <c r="I150" s="223"/>
      <c r="J150" s="293" t="s">
        <v>667</v>
      </c>
      <c r="K150" s="293" t="s">
        <v>667</v>
      </c>
      <c r="L150" s="293" t="s">
        <v>667</v>
      </c>
      <c r="M150" s="293" t="s">
        <v>667</v>
      </c>
      <c r="N150" s="293" t="s">
        <v>667</v>
      </c>
      <c r="O150" s="295">
        <f>COUNTIF(tblRiskRegister[[#This Row],[Defends Against Malware]:[Defends Against Targeted Intrusions]],"Yes")</f>
        <v>5</v>
      </c>
      <c r="P150" s="12"/>
      <c r="Q150" s="12"/>
      <c r="R150" s="12"/>
      <c r="S150" s="12"/>
      <c r="T150" s="13"/>
      <c r="U150" s="199">
        <f>IFERROR(VLOOKUP(tblRiskRegister[[#This Row],[Asset Class]],tblVCDBIndex[],4,FALSE),"")</f>
        <v>1</v>
      </c>
      <c r="V150" s="24" t="str">
        <f>IFERROR(VLOOKUP(10*tblRiskRegister[[#This Row],[Safeguard Maturity Score]]+tblRiskRegister[[#This Row],[VCDB Index]],tblHITIndexWeightTable[],4,FALSE),"")</f>
        <v/>
      </c>
      <c r="W150" s="301"/>
      <c r="X150" s="301"/>
      <c r="Y150" s="301"/>
      <c r="Z150" s="301"/>
      <c r="AA150" s="24" t="str">
        <f>IFERROR(MAX(tblRiskRegister[[#This Row],[Impact to Mission]:[Impact to Obligations]])*tblRiskRegister[[#This Row],[Expectancy Score]],"")</f>
        <v/>
      </c>
      <c r="AB150" s="24" t="str">
        <f>tblRiskRegister[[#This Row],[Risk Score]]</f>
        <v/>
      </c>
      <c r="AC150" s="79"/>
      <c r="AD150" s="206">
        <v>16.13</v>
      </c>
      <c r="AE150" s="194" t="s">
        <v>526</v>
      </c>
      <c r="AF150" s="194" t="s">
        <v>574</v>
      </c>
      <c r="AG150" s="213"/>
      <c r="AH150" s="13"/>
      <c r="AI150" s="22" t="str">
        <f>IFERROR(VLOOKUP(10*tblRiskRegister[[#This Row],[Risk Treatment Safeguard Maturity Score]]+tblRiskRegister[[#This Row],[VCDB Index]],tblHITIndexWeightTable[],4,FALSE),"")</f>
        <v/>
      </c>
      <c r="AJ150" s="302"/>
      <c r="AK150" s="302"/>
      <c r="AL150" s="302"/>
      <c r="AM150" s="302"/>
      <c r="AN150" s="100" t="str">
        <f>IFERROR(MAX(tblRiskRegister[[#This Row],[Risk Treatment Safeguard Impact to Mission]:[Risk Treatment Safeguard Impact to Obligations]])*tblRiskRegister[[#This Row],[Risk Treatment
Safeguard Expectancy Score]],"")</f>
        <v/>
      </c>
      <c r="AO150" s="203" t="str">
        <f>IF(tblRiskRegister[[#This Row],[Risk Score]]&gt;AcceptableRisk,IF(tblRiskRegister[[#This Row],[Risk Treatment Safeguard Risk Score]]&lt;AcceptableRisk, IF(tblRiskRegister[[#This Row],[Risk Treatment Safeguard Risk Score]]&lt;=tblRiskRegister[[#This Row],[Risk Score]],"Yes","No"),"No"),"Yes")</f>
        <v>No</v>
      </c>
      <c r="AP150" s="15"/>
      <c r="AQ150" s="15"/>
      <c r="AR150" s="16"/>
    </row>
    <row r="151" spans="2:44" ht="63.75" x14ac:dyDescent="0.2">
      <c r="B151" s="207">
        <v>16.14</v>
      </c>
      <c r="C151" s="194" t="s">
        <v>549</v>
      </c>
      <c r="D151" s="88" t="s">
        <v>89</v>
      </c>
      <c r="E151" s="274" t="s">
        <v>657</v>
      </c>
      <c r="F151" s="14"/>
      <c r="G151" s="88"/>
      <c r="H151" s="88" t="s">
        <v>463</v>
      </c>
      <c r="I151" s="223"/>
      <c r="J151" s="292" t="s">
        <v>666</v>
      </c>
      <c r="K151" s="292" t="s">
        <v>666</v>
      </c>
      <c r="L151" s="292" t="s">
        <v>666</v>
      </c>
      <c r="M151" s="292" t="s">
        <v>666</v>
      </c>
      <c r="N151" s="292" t="s">
        <v>666</v>
      </c>
      <c r="O151" s="295">
        <f>COUNTIF(tblRiskRegister[[#This Row],[Defends Against Malware]:[Defends Against Targeted Intrusions]],"Yes")</f>
        <v>0</v>
      </c>
      <c r="P151" s="12"/>
      <c r="Q151" s="12"/>
      <c r="R151" s="12"/>
      <c r="S151" s="12"/>
      <c r="T151" s="13"/>
      <c r="U151" s="199">
        <f>IFERROR(VLOOKUP(tblRiskRegister[[#This Row],[Asset Class]],tblVCDBIndex[],4,FALSE),"")</f>
        <v>1</v>
      </c>
      <c r="V151" s="24" t="str">
        <f>IFERROR(VLOOKUP(10*tblRiskRegister[[#This Row],[Safeguard Maturity Score]]+tblRiskRegister[[#This Row],[VCDB Index]],tblHITIndexWeightTable[],4,FALSE),"")</f>
        <v/>
      </c>
      <c r="W151" s="301"/>
      <c r="X151" s="301"/>
      <c r="Y151" s="301"/>
      <c r="Z151" s="301"/>
      <c r="AA151" s="24" t="str">
        <f>IFERROR(MAX(tblRiskRegister[[#This Row],[Impact to Mission]:[Impact to Obligations]])*tblRiskRegister[[#This Row],[Expectancy Score]],"")</f>
        <v/>
      </c>
      <c r="AB151" s="24" t="str">
        <f>tblRiskRegister[[#This Row],[Risk Score]]</f>
        <v/>
      </c>
      <c r="AC151" s="79"/>
      <c r="AD151" s="206">
        <v>16.14</v>
      </c>
      <c r="AE151" s="194" t="s">
        <v>549</v>
      </c>
      <c r="AF151" s="194" t="s">
        <v>575</v>
      </c>
      <c r="AG151" s="213"/>
      <c r="AH151" s="13"/>
      <c r="AI151" s="22" t="str">
        <f>IFERROR(VLOOKUP(10*tblRiskRegister[[#This Row],[Risk Treatment Safeguard Maturity Score]]+tblRiskRegister[[#This Row],[VCDB Index]],tblHITIndexWeightTable[],4,FALSE),"")</f>
        <v/>
      </c>
      <c r="AJ151" s="302"/>
      <c r="AK151" s="302"/>
      <c r="AL151" s="302"/>
      <c r="AM151" s="302"/>
      <c r="AN151" s="100" t="str">
        <f>IFERROR(MAX(tblRiskRegister[[#This Row],[Risk Treatment Safeguard Impact to Mission]:[Risk Treatment Safeguard Impact to Obligations]])*tblRiskRegister[[#This Row],[Risk Treatment
Safeguard Expectancy Score]],"")</f>
        <v/>
      </c>
      <c r="AO151" s="203" t="str">
        <f>IF(tblRiskRegister[[#This Row],[Risk Score]]&gt;AcceptableRisk,IF(tblRiskRegister[[#This Row],[Risk Treatment Safeguard Risk Score]]&lt;AcceptableRisk, IF(tblRiskRegister[[#This Row],[Risk Treatment Safeguard Risk Score]]&lt;=tblRiskRegister[[#This Row],[Risk Score]],"Yes","No"),"No"),"Yes")</f>
        <v>No</v>
      </c>
      <c r="AP151" s="15"/>
      <c r="AQ151" s="15"/>
      <c r="AR151" s="16"/>
    </row>
    <row r="152" spans="2:44" ht="76.5" x14ac:dyDescent="0.2">
      <c r="B152" s="207">
        <v>17.100000000000001</v>
      </c>
      <c r="C152" s="194" t="s">
        <v>84</v>
      </c>
      <c r="D152" s="88" t="s">
        <v>92</v>
      </c>
      <c r="E152" s="274" t="s">
        <v>655</v>
      </c>
      <c r="F152" s="14" t="s">
        <v>463</v>
      </c>
      <c r="G152" s="88" t="s">
        <v>463</v>
      </c>
      <c r="H152" s="88" t="s">
        <v>463</v>
      </c>
      <c r="I152" s="223"/>
      <c r="J152" s="292" t="s">
        <v>666</v>
      </c>
      <c r="K152" s="292" t="s">
        <v>666</v>
      </c>
      <c r="L152" s="292" t="s">
        <v>666</v>
      </c>
      <c r="M152" s="292" t="s">
        <v>666</v>
      </c>
      <c r="N152" s="292" t="s">
        <v>666</v>
      </c>
      <c r="O152" s="295">
        <f>COUNTIF(tblRiskRegister[[#This Row],[Defends Against Malware]:[Defends Against Targeted Intrusions]],"Yes")</f>
        <v>0</v>
      </c>
      <c r="P152" s="12"/>
      <c r="Q152" s="12"/>
      <c r="R152" s="12"/>
      <c r="S152" s="12"/>
      <c r="T152" s="13"/>
      <c r="U152" s="199">
        <f>IFERROR(VLOOKUP(tblRiskRegister[[#This Row],[Asset Class]],tblVCDBIndex[],4,FALSE),"")</f>
        <v>3</v>
      </c>
      <c r="V152" s="24" t="str">
        <f>IFERROR(VLOOKUP(10*tblRiskRegister[[#This Row],[Safeguard Maturity Score]]+tblRiskRegister[[#This Row],[VCDB Index]],tblHITIndexWeightTable[],4,FALSE),"")</f>
        <v/>
      </c>
      <c r="W152" s="301"/>
      <c r="X152" s="301"/>
      <c r="Y152" s="301"/>
      <c r="Z152" s="301"/>
      <c r="AA152" s="24" t="str">
        <f>IFERROR(MAX(tblRiskRegister[[#This Row],[Impact to Mission]:[Impact to Obligations]])*tblRiskRegister[[#This Row],[Expectancy Score]],"")</f>
        <v/>
      </c>
      <c r="AB152" s="24" t="str">
        <f>tblRiskRegister[[#This Row],[Risk Score]]</f>
        <v/>
      </c>
      <c r="AC152" s="79"/>
      <c r="AD152" s="206">
        <v>17.100000000000001</v>
      </c>
      <c r="AE152" s="194" t="s">
        <v>84</v>
      </c>
      <c r="AF152" s="194" t="s">
        <v>449</v>
      </c>
      <c r="AG152" s="213"/>
      <c r="AH152" s="13"/>
      <c r="AI152" s="22" t="str">
        <f>IFERROR(VLOOKUP(10*tblRiskRegister[[#This Row],[Risk Treatment Safeguard Maturity Score]]+tblRiskRegister[[#This Row],[VCDB Index]],tblHITIndexWeightTable[],4,FALSE),"")</f>
        <v/>
      </c>
      <c r="AJ152" s="302"/>
      <c r="AK152" s="302"/>
      <c r="AL152" s="302"/>
      <c r="AM152" s="302"/>
      <c r="AN152" s="100" t="str">
        <f>IFERROR(MAX(tblRiskRegister[[#This Row],[Risk Treatment Safeguard Impact to Mission]:[Risk Treatment Safeguard Impact to Obligations]])*tblRiskRegister[[#This Row],[Risk Treatment
Safeguard Expectancy Score]],"")</f>
        <v/>
      </c>
      <c r="AO152" s="203" t="str">
        <f>IF(tblRiskRegister[[#This Row],[Risk Score]]&gt;AcceptableRisk,IF(tblRiskRegister[[#This Row],[Risk Treatment Safeguard Risk Score]]&lt;AcceptableRisk, IF(tblRiskRegister[[#This Row],[Risk Treatment Safeguard Risk Score]]&lt;=tblRiskRegister[[#This Row],[Risk Score]],"Yes","No"),"No"),"Yes")</f>
        <v>No</v>
      </c>
      <c r="AP152" s="15"/>
      <c r="AQ152" s="15"/>
      <c r="AR152" s="16"/>
    </row>
    <row r="153" spans="2:44" ht="51" x14ac:dyDescent="0.2">
      <c r="B153" s="207">
        <v>17.2</v>
      </c>
      <c r="C153" s="194" t="s">
        <v>85</v>
      </c>
      <c r="D153" s="88" t="s">
        <v>92</v>
      </c>
      <c r="E153" s="274" t="s">
        <v>655</v>
      </c>
      <c r="F153" s="14" t="s">
        <v>463</v>
      </c>
      <c r="G153" s="88" t="s">
        <v>463</v>
      </c>
      <c r="H153" s="88" t="s">
        <v>463</v>
      </c>
      <c r="I153" s="223"/>
      <c r="J153" s="292" t="s">
        <v>666</v>
      </c>
      <c r="K153" s="292" t="s">
        <v>666</v>
      </c>
      <c r="L153" s="292" t="s">
        <v>666</v>
      </c>
      <c r="M153" s="292" t="s">
        <v>666</v>
      </c>
      <c r="N153" s="292" t="s">
        <v>666</v>
      </c>
      <c r="O153" s="295">
        <f>COUNTIF(tblRiskRegister[[#This Row],[Defends Against Malware]:[Defends Against Targeted Intrusions]],"Yes")</f>
        <v>0</v>
      </c>
      <c r="P153" s="12"/>
      <c r="Q153" s="12"/>
      <c r="R153" s="12"/>
      <c r="S153" s="12"/>
      <c r="T153" s="13"/>
      <c r="U153" s="199">
        <f>IFERROR(VLOOKUP(tblRiskRegister[[#This Row],[Asset Class]],tblVCDBIndex[],4,FALSE),"")</f>
        <v>3</v>
      </c>
      <c r="V153" s="24" t="str">
        <f>IFERROR(VLOOKUP(10*tblRiskRegister[[#This Row],[Safeguard Maturity Score]]+tblRiskRegister[[#This Row],[VCDB Index]],tblHITIndexWeightTable[],4,FALSE),"")</f>
        <v/>
      </c>
      <c r="W153" s="301"/>
      <c r="X153" s="301"/>
      <c r="Y153" s="301"/>
      <c r="Z153" s="301"/>
      <c r="AA153" s="24" t="str">
        <f>IFERROR(MAX(tblRiskRegister[[#This Row],[Impact to Mission]:[Impact to Obligations]])*tblRiskRegister[[#This Row],[Expectancy Score]],"")</f>
        <v/>
      </c>
      <c r="AB153" s="24" t="str">
        <f>tblRiskRegister[[#This Row],[Risk Score]]</f>
        <v/>
      </c>
      <c r="AC153" s="79"/>
      <c r="AD153" s="206">
        <v>17.2</v>
      </c>
      <c r="AE153" s="194" t="s">
        <v>85</v>
      </c>
      <c r="AF153" s="194" t="s">
        <v>450</v>
      </c>
      <c r="AG153" s="213"/>
      <c r="AH153" s="13"/>
      <c r="AI153" s="22" t="str">
        <f>IFERROR(VLOOKUP(10*tblRiskRegister[[#This Row],[Risk Treatment Safeguard Maturity Score]]+tblRiskRegister[[#This Row],[VCDB Index]],tblHITIndexWeightTable[],4,FALSE),"")</f>
        <v/>
      </c>
      <c r="AJ153" s="302"/>
      <c r="AK153" s="302"/>
      <c r="AL153" s="302"/>
      <c r="AM153" s="302"/>
      <c r="AN153" s="100" t="str">
        <f>IFERROR(MAX(tblRiskRegister[[#This Row],[Risk Treatment Safeguard Impact to Mission]:[Risk Treatment Safeguard Impact to Obligations]])*tblRiskRegister[[#This Row],[Risk Treatment
Safeguard Expectancy Score]],"")</f>
        <v/>
      </c>
      <c r="AO153" s="203" t="str">
        <f>IF(tblRiskRegister[[#This Row],[Risk Score]]&gt;AcceptableRisk,IF(tblRiskRegister[[#This Row],[Risk Treatment Safeguard Risk Score]]&lt;AcceptableRisk, IF(tblRiskRegister[[#This Row],[Risk Treatment Safeguard Risk Score]]&lt;=tblRiskRegister[[#This Row],[Risk Score]],"Yes","No"),"No"),"Yes")</f>
        <v>No</v>
      </c>
      <c r="AP153" s="15"/>
      <c r="AQ153" s="15"/>
      <c r="AR153" s="16"/>
    </row>
    <row r="154" spans="2:44" ht="51" x14ac:dyDescent="0.2">
      <c r="B154" s="207">
        <v>17.3</v>
      </c>
      <c r="C154" s="194" t="s">
        <v>86</v>
      </c>
      <c r="D154" s="88" t="s">
        <v>92</v>
      </c>
      <c r="E154" s="274" t="s">
        <v>655</v>
      </c>
      <c r="F154" s="14" t="s">
        <v>463</v>
      </c>
      <c r="G154" s="88" t="s">
        <v>463</v>
      </c>
      <c r="H154" s="88" t="s">
        <v>463</v>
      </c>
      <c r="I154" s="223"/>
      <c r="J154" s="292" t="s">
        <v>666</v>
      </c>
      <c r="K154" s="292" t="s">
        <v>666</v>
      </c>
      <c r="L154" s="292" t="s">
        <v>666</v>
      </c>
      <c r="M154" s="292" t="s">
        <v>666</v>
      </c>
      <c r="N154" s="292" t="s">
        <v>666</v>
      </c>
      <c r="O154" s="295">
        <f>COUNTIF(tblRiskRegister[[#This Row],[Defends Against Malware]:[Defends Against Targeted Intrusions]],"Yes")</f>
        <v>0</v>
      </c>
      <c r="P154" s="12"/>
      <c r="Q154" s="12"/>
      <c r="R154" s="12"/>
      <c r="S154" s="12"/>
      <c r="T154" s="13"/>
      <c r="U154" s="199">
        <f>IFERROR(VLOOKUP(tblRiskRegister[[#This Row],[Asset Class]],tblVCDBIndex[],4,FALSE),"")</f>
        <v>3</v>
      </c>
      <c r="V154" s="24" t="str">
        <f>IFERROR(VLOOKUP(10*tblRiskRegister[[#This Row],[Safeguard Maturity Score]]+tblRiskRegister[[#This Row],[VCDB Index]],tblHITIndexWeightTable[],4,FALSE),"")</f>
        <v/>
      </c>
      <c r="W154" s="301"/>
      <c r="X154" s="301"/>
      <c r="Y154" s="301"/>
      <c r="Z154" s="301"/>
      <c r="AA154" s="24" t="str">
        <f>IFERROR(MAX(tblRiskRegister[[#This Row],[Impact to Mission]:[Impact to Obligations]])*tblRiskRegister[[#This Row],[Expectancy Score]],"")</f>
        <v/>
      </c>
      <c r="AB154" s="24" t="str">
        <f>tblRiskRegister[[#This Row],[Risk Score]]</f>
        <v/>
      </c>
      <c r="AC154" s="79"/>
      <c r="AD154" s="206">
        <v>17.3</v>
      </c>
      <c r="AE154" s="194" t="s">
        <v>86</v>
      </c>
      <c r="AF154" s="194" t="s">
        <v>451</v>
      </c>
      <c r="AG154" s="213"/>
      <c r="AH154" s="13"/>
      <c r="AI154" s="22" t="str">
        <f>IFERROR(VLOOKUP(10*tblRiskRegister[[#This Row],[Risk Treatment Safeguard Maturity Score]]+tblRiskRegister[[#This Row],[VCDB Index]],tblHITIndexWeightTable[],4,FALSE),"")</f>
        <v/>
      </c>
      <c r="AJ154" s="302"/>
      <c r="AK154" s="302"/>
      <c r="AL154" s="302"/>
      <c r="AM154" s="302"/>
      <c r="AN154" s="100" t="str">
        <f>IFERROR(MAX(tblRiskRegister[[#This Row],[Risk Treatment Safeguard Impact to Mission]:[Risk Treatment Safeguard Impact to Obligations]])*tblRiskRegister[[#This Row],[Risk Treatment
Safeguard Expectancy Score]],"")</f>
        <v/>
      </c>
      <c r="AO154" s="203" t="str">
        <f>IF(tblRiskRegister[[#This Row],[Risk Score]]&gt;AcceptableRisk,IF(tblRiskRegister[[#This Row],[Risk Treatment Safeguard Risk Score]]&lt;AcceptableRisk, IF(tblRiskRegister[[#This Row],[Risk Treatment Safeguard Risk Score]]&lt;=tblRiskRegister[[#This Row],[Risk Score]],"Yes","No"),"No"),"Yes")</f>
        <v>No</v>
      </c>
      <c r="AP154" s="15"/>
      <c r="AQ154" s="15"/>
      <c r="AR154" s="16"/>
    </row>
    <row r="155" spans="2:44" ht="38.25" x14ac:dyDescent="0.2">
      <c r="B155" s="207">
        <v>17.399999999999999</v>
      </c>
      <c r="C155" s="194" t="s">
        <v>196</v>
      </c>
      <c r="D155" s="88" t="s">
        <v>92</v>
      </c>
      <c r="E155" s="274" t="s">
        <v>655</v>
      </c>
      <c r="F155" s="14"/>
      <c r="G155" s="88" t="s">
        <v>463</v>
      </c>
      <c r="H155" s="88" t="s">
        <v>463</v>
      </c>
      <c r="I155" s="223"/>
      <c r="J155" s="292" t="s">
        <v>666</v>
      </c>
      <c r="K155" s="292" t="s">
        <v>666</v>
      </c>
      <c r="L155" s="292" t="s">
        <v>666</v>
      </c>
      <c r="M155" s="292" t="s">
        <v>666</v>
      </c>
      <c r="N155" s="292" t="s">
        <v>666</v>
      </c>
      <c r="O155" s="295">
        <f>COUNTIF(tblRiskRegister[[#This Row],[Defends Against Malware]:[Defends Against Targeted Intrusions]],"Yes")</f>
        <v>0</v>
      </c>
      <c r="P155" s="12"/>
      <c r="Q155" s="12"/>
      <c r="R155" s="12"/>
      <c r="S155" s="12"/>
      <c r="T155" s="13"/>
      <c r="U155" s="199">
        <f>IFERROR(VLOOKUP(tblRiskRegister[[#This Row],[Asset Class]],tblVCDBIndex[],4,FALSE),"")</f>
        <v>3</v>
      </c>
      <c r="V155" s="24" t="str">
        <f>IFERROR(VLOOKUP(10*tblRiskRegister[[#This Row],[Safeguard Maturity Score]]+tblRiskRegister[[#This Row],[VCDB Index]],tblHITIndexWeightTable[],4,FALSE),"")</f>
        <v/>
      </c>
      <c r="W155" s="301"/>
      <c r="X155" s="301"/>
      <c r="Y155" s="301"/>
      <c r="Z155" s="301"/>
      <c r="AA155" s="24" t="str">
        <f>IFERROR(MAX(tblRiskRegister[[#This Row],[Impact to Mission]:[Impact to Obligations]])*tblRiskRegister[[#This Row],[Expectancy Score]],"")</f>
        <v/>
      </c>
      <c r="AB155" s="24" t="str">
        <f>tblRiskRegister[[#This Row],[Risk Score]]</f>
        <v/>
      </c>
      <c r="AC155" s="79"/>
      <c r="AD155" s="206">
        <v>17.399999999999999</v>
      </c>
      <c r="AE155" s="194" t="s">
        <v>196</v>
      </c>
      <c r="AF155" s="194" t="s">
        <v>452</v>
      </c>
      <c r="AG155" s="213"/>
      <c r="AH155" s="13"/>
      <c r="AI155" s="22" t="str">
        <f>IFERROR(VLOOKUP(10*tblRiskRegister[[#This Row],[Risk Treatment Safeguard Maturity Score]]+tblRiskRegister[[#This Row],[VCDB Index]],tblHITIndexWeightTable[],4,FALSE),"")</f>
        <v/>
      </c>
      <c r="AJ155" s="302"/>
      <c r="AK155" s="302"/>
      <c r="AL155" s="302"/>
      <c r="AM155" s="302"/>
      <c r="AN155" s="100" t="str">
        <f>IFERROR(MAX(tblRiskRegister[[#This Row],[Risk Treatment Safeguard Impact to Mission]:[Risk Treatment Safeguard Impact to Obligations]])*tblRiskRegister[[#This Row],[Risk Treatment
Safeguard Expectancy Score]],"")</f>
        <v/>
      </c>
      <c r="AO155" s="203" t="str">
        <f>IF(tblRiskRegister[[#This Row],[Risk Score]]&gt;AcceptableRisk,IF(tblRiskRegister[[#This Row],[Risk Treatment Safeguard Risk Score]]&lt;AcceptableRisk, IF(tblRiskRegister[[#This Row],[Risk Treatment Safeguard Risk Score]]&lt;=tblRiskRegister[[#This Row],[Risk Score]],"Yes","No"),"No"),"Yes")</f>
        <v>No</v>
      </c>
      <c r="AP155" s="15"/>
      <c r="AQ155" s="15"/>
      <c r="AR155" s="16"/>
    </row>
    <row r="156" spans="2:44" ht="51" x14ac:dyDescent="0.2">
      <c r="B156" s="207">
        <v>17.5</v>
      </c>
      <c r="C156" s="194" t="s">
        <v>197</v>
      </c>
      <c r="D156" s="88" t="s">
        <v>92</v>
      </c>
      <c r="E156" s="274" t="s">
        <v>655</v>
      </c>
      <c r="F156" s="14"/>
      <c r="G156" s="88" t="s">
        <v>463</v>
      </c>
      <c r="H156" s="88" t="s">
        <v>463</v>
      </c>
      <c r="I156" s="223"/>
      <c r="J156" s="292" t="s">
        <v>666</v>
      </c>
      <c r="K156" s="292" t="s">
        <v>666</v>
      </c>
      <c r="L156" s="292" t="s">
        <v>666</v>
      </c>
      <c r="M156" s="292" t="s">
        <v>666</v>
      </c>
      <c r="N156" s="292" t="s">
        <v>666</v>
      </c>
      <c r="O156" s="295">
        <f>COUNTIF(tblRiskRegister[[#This Row],[Defends Against Malware]:[Defends Against Targeted Intrusions]],"Yes")</f>
        <v>0</v>
      </c>
      <c r="P156" s="12"/>
      <c r="Q156" s="12"/>
      <c r="R156" s="12"/>
      <c r="S156" s="12"/>
      <c r="T156" s="13"/>
      <c r="U156" s="199">
        <f>IFERROR(VLOOKUP(tblRiskRegister[[#This Row],[Asset Class]],tblVCDBIndex[],4,FALSE),"")</f>
        <v>3</v>
      </c>
      <c r="V156" s="24" t="str">
        <f>IFERROR(VLOOKUP(10*tblRiskRegister[[#This Row],[Safeguard Maturity Score]]+tblRiskRegister[[#This Row],[VCDB Index]],tblHITIndexWeightTable[],4,FALSE),"")</f>
        <v/>
      </c>
      <c r="W156" s="301"/>
      <c r="X156" s="301"/>
      <c r="Y156" s="301"/>
      <c r="Z156" s="301"/>
      <c r="AA156" s="24" t="str">
        <f>IFERROR(MAX(tblRiskRegister[[#This Row],[Impact to Mission]:[Impact to Obligations]])*tblRiskRegister[[#This Row],[Expectancy Score]],"")</f>
        <v/>
      </c>
      <c r="AB156" s="24" t="str">
        <f>tblRiskRegister[[#This Row],[Risk Score]]</f>
        <v/>
      </c>
      <c r="AC156" s="79"/>
      <c r="AD156" s="206">
        <v>17.5</v>
      </c>
      <c r="AE156" s="194" t="s">
        <v>197</v>
      </c>
      <c r="AF156" s="194" t="s">
        <v>453</v>
      </c>
      <c r="AG156" s="213"/>
      <c r="AH156" s="13"/>
      <c r="AI156" s="22" t="str">
        <f>IFERROR(VLOOKUP(10*tblRiskRegister[[#This Row],[Risk Treatment Safeguard Maturity Score]]+tblRiskRegister[[#This Row],[VCDB Index]],tblHITIndexWeightTable[],4,FALSE),"")</f>
        <v/>
      </c>
      <c r="AJ156" s="302"/>
      <c r="AK156" s="302"/>
      <c r="AL156" s="302"/>
      <c r="AM156" s="302"/>
      <c r="AN156" s="100" t="str">
        <f>IFERROR(MAX(tblRiskRegister[[#This Row],[Risk Treatment Safeguard Impact to Mission]:[Risk Treatment Safeguard Impact to Obligations]])*tblRiskRegister[[#This Row],[Risk Treatment
Safeguard Expectancy Score]],"")</f>
        <v/>
      </c>
      <c r="AO156" s="203" t="str">
        <f>IF(tblRiskRegister[[#This Row],[Risk Score]]&gt;AcceptableRisk,IF(tblRiskRegister[[#This Row],[Risk Treatment Safeguard Risk Score]]&lt;AcceptableRisk, IF(tblRiskRegister[[#This Row],[Risk Treatment Safeguard Risk Score]]&lt;=tblRiskRegister[[#This Row],[Risk Score]],"Yes","No"),"No"),"Yes")</f>
        <v>No</v>
      </c>
      <c r="AP156" s="15"/>
      <c r="AQ156" s="15"/>
      <c r="AR156" s="16"/>
    </row>
    <row r="157" spans="2:44" ht="51" x14ac:dyDescent="0.2">
      <c r="B157" s="207">
        <v>17.600000000000001</v>
      </c>
      <c r="C157" s="194" t="s">
        <v>198</v>
      </c>
      <c r="D157" s="88" t="s">
        <v>92</v>
      </c>
      <c r="E157" s="274" t="s">
        <v>655</v>
      </c>
      <c r="F157" s="14"/>
      <c r="G157" s="88" t="s">
        <v>463</v>
      </c>
      <c r="H157" s="88" t="s">
        <v>463</v>
      </c>
      <c r="I157" s="223"/>
      <c r="J157" s="292" t="s">
        <v>666</v>
      </c>
      <c r="K157" s="292" t="s">
        <v>666</v>
      </c>
      <c r="L157" s="292" t="s">
        <v>666</v>
      </c>
      <c r="M157" s="292" t="s">
        <v>666</v>
      </c>
      <c r="N157" s="292" t="s">
        <v>666</v>
      </c>
      <c r="O157" s="295">
        <f>COUNTIF(tblRiskRegister[[#This Row],[Defends Against Malware]:[Defends Against Targeted Intrusions]],"Yes")</f>
        <v>0</v>
      </c>
      <c r="P157" s="12"/>
      <c r="Q157" s="12"/>
      <c r="R157" s="12"/>
      <c r="S157" s="12"/>
      <c r="T157" s="13"/>
      <c r="U157" s="199">
        <f>IFERROR(VLOOKUP(tblRiskRegister[[#This Row],[Asset Class]],tblVCDBIndex[],4,FALSE),"")</f>
        <v>3</v>
      </c>
      <c r="V157" s="24" t="str">
        <f>IFERROR(VLOOKUP(10*tblRiskRegister[[#This Row],[Safeguard Maturity Score]]+tblRiskRegister[[#This Row],[VCDB Index]],tblHITIndexWeightTable[],4,FALSE),"")</f>
        <v/>
      </c>
      <c r="W157" s="301"/>
      <c r="X157" s="301"/>
      <c r="Y157" s="301"/>
      <c r="Z157" s="301"/>
      <c r="AA157" s="24" t="str">
        <f>IFERROR(MAX(tblRiskRegister[[#This Row],[Impact to Mission]:[Impact to Obligations]])*tblRiskRegister[[#This Row],[Expectancy Score]],"")</f>
        <v/>
      </c>
      <c r="AB157" s="24" t="str">
        <f>tblRiskRegister[[#This Row],[Risk Score]]</f>
        <v/>
      </c>
      <c r="AC157" s="79"/>
      <c r="AD157" s="206">
        <v>17.600000000000001</v>
      </c>
      <c r="AE157" s="194" t="s">
        <v>198</v>
      </c>
      <c r="AF157" s="194" t="s">
        <v>454</v>
      </c>
      <c r="AG157" s="213"/>
      <c r="AH157" s="13"/>
      <c r="AI157" s="22" t="str">
        <f>IFERROR(VLOOKUP(10*tblRiskRegister[[#This Row],[Risk Treatment Safeguard Maturity Score]]+tblRiskRegister[[#This Row],[VCDB Index]],tblHITIndexWeightTable[],4,FALSE),"")</f>
        <v/>
      </c>
      <c r="AJ157" s="302"/>
      <c r="AK157" s="302"/>
      <c r="AL157" s="302"/>
      <c r="AM157" s="302"/>
      <c r="AN157" s="100" t="str">
        <f>IFERROR(MAX(tblRiskRegister[[#This Row],[Risk Treatment Safeguard Impact to Mission]:[Risk Treatment Safeguard Impact to Obligations]])*tblRiskRegister[[#This Row],[Risk Treatment
Safeguard Expectancy Score]],"")</f>
        <v/>
      </c>
      <c r="AO157" s="203" t="str">
        <f>IF(tblRiskRegister[[#This Row],[Risk Score]]&gt;AcceptableRisk,IF(tblRiskRegister[[#This Row],[Risk Treatment Safeguard Risk Score]]&lt;AcceptableRisk, IF(tblRiskRegister[[#This Row],[Risk Treatment Safeguard Risk Score]]&lt;=tblRiskRegister[[#This Row],[Risk Score]],"Yes","No"),"No"),"Yes")</f>
        <v>No</v>
      </c>
      <c r="AP157" s="15"/>
      <c r="AQ157" s="15"/>
      <c r="AR157" s="16"/>
    </row>
    <row r="158" spans="2:44" ht="51" x14ac:dyDescent="0.2">
      <c r="B158" s="207">
        <v>17.7</v>
      </c>
      <c r="C158" s="194" t="s">
        <v>199</v>
      </c>
      <c r="D158" s="88" t="s">
        <v>92</v>
      </c>
      <c r="E158" s="275" t="s">
        <v>658</v>
      </c>
      <c r="F158" s="14"/>
      <c r="G158" s="88" t="s">
        <v>463</v>
      </c>
      <c r="H158" s="88" t="s">
        <v>463</v>
      </c>
      <c r="I158" s="223"/>
      <c r="J158" s="292" t="s">
        <v>666</v>
      </c>
      <c r="K158" s="292" t="s">
        <v>666</v>
      </c>
      <c r="L158" s="292" t="s">
        <v>666</v>
      </c>
      <c r="M158" s="292" t="s">
        <v>666</v>
      </c>
      <c r="N158" s="292" t="s">
        <v>666</v>
      </c>
      <c r="O158" s="295">
        <f>COUNTIF(tblRiskRegister[[#This Row],[Defends Against Malware]:[Defends Against Targeted Intrusions]],"Yes")</f>
        <v>0</v>
      </c>
      <c r="P158" s="12"/>
      <c r="Q158" s="12"/>
      <c r="R158" s="12"/>
      <c r="S158" s="12"/>
      <c r="T158" s="13"/>
      <c r="U158" s="199">
        <f>IFERROR(VLOOKUP(tblRiskRegister[[#This Row],[Asset Class]],tblVCDBIndex[],4,FALSE),"")</f>
        <v>3</v>
      </c>
      <c r="V158" s="24" t="str">
        <f>IFERROR(VLOOKUP(10*tblRiskRegister[[#This Row],[Safeguard Maturity Score]]+tblRiskRegister[[#This Row],[VCDB Index]],tblHITIndexWeightTable[],4,FALSE),"")</f>
        <v/>
      </c>
      <c r="W158" s="301"/>
      <c r="X158" s="301"/>
      <c r="Y158" s="301"/>
      <c r="Z158" s="301"/>
      <c r="AA158" s="24" t="str">
        <f>IFERROR(MAX(tblRiskRegister[[#This Row],[Impact to Mission]:[Impact to Obligations]])*tblRiskRegister[[#This Row],[Expectancy Score]],"")</f>
        <v/>
      </c>
      <c r="AB158" s="24" t="str">
        <f>tblRiskRegister[[#This Row],[Risk Score]]</f>
        <v/>
      </c>
      <c r="AC158" s="79"/>
      <c r="AD158" s="206">
        <v>17.7</v>
      </c>
      <c r="AE158" s="194" t="s">
        <v>199</v>
      </c>
      <c r="AF158" s="194" t="s">
        <v>455</v>
      </c>
      <c r="AG158" s="213"/>
      <c r="AH158" s="13"/>
      <c r="AI158" s="22" t="str">
        <f>IFERROR(VLOOKUP(10*tblRiskRegister[[#This Row],[Risk Treatment Safeguard Maturity Score]]+tblRiskRegister[[#This Row],[VCDB Index]],tblHITIndexWeightTable[],4,FALSE),"")</f>
        <v/>
      </c>
      <c r="AJ158" s="302"/>
      <c r="AK158" s="302"/>
      <c r="AL158" s="302"/>
      <c r="AM158" s="302"/>
      <c r="AN158" s="100" t="str">
        <f>IFERROR(MAX(tblRiskRegister[[#This Row],[Risk Treatment Safeguard Impact to Mission]:[Risk Treatment Safeguard Impact to Obligations]])*tblRiskRegister[[#This Row],[Risk Treatment
Safeguard Expectancy Score]],"")</f>
        <v/>
      </c>
      <c r="AO158" s="203" t="str">
        <f>IF(tblRiskRegister[[#This Row],[Risk Score]]&gt;AcceptableRisk,IF(tblRiskRegister[[#This Row],[Risk Treatment Safeguard Risk Score]]&lt;AcceptableRisk, IF(tblRiskRegister[[#This Row],[Risk Treatment Safeguard Risk Score]]&lt;=tblRiskRegister[[#This Row],[Risk Score]],"Yes","No"),"No"),"Yes")</f>
        <v>No</v>
      </c>
      <c r="AP158" s="15"/>
      <c r="AQ158" s="15"/>
      <c r="AR158" s="16"/>
    </row>
    <row r="159" spans="2:44" ht="25.5" x14ac:dyDescent="0.2">
      <c r="B159" s="207">
        <v>17.8</v>
      </c>
      <c r="C159" s="194" t="s">
        <v>200</v>
      </c>
      <c r="D159" s="88" t="s">
        <v>92</v>
      </c>
      <c r="E159" s="275" t="s">
        <v>658</v>
      </c>
      <c r="F159" s="14"/>
      <c r="G159" s="88" t="s">
        <v>463</v>
      </c>
      <c r="H159" s="88" t="s">
        <v>463</v>
      </c>
      <c r="I159" s="223"/>
      <c r="J159" s="292" t="s">
        <v>666</v>
      </c>
      <c r="K159" s="292" t="s">
        <v>666</v>
      </c>
      <c r="L159" s="292" t="s">
        <v>666</v>
      </c>
      <c r="M159" s="292" t="s">
        <v>666</v>
      </c>
      <c r="N159" s="292" t="s">
        <v>666</v>
      </c>
      <c r="O159" s="295">
        <f>COUNTIF(tblRiskRegister[[#This Row],[Defends Against Malware]:[Defends Against Targeted Intrusions]],"Yes")</f>
        <v>0</v>
      </c>
      <c r="P159" s="12"/>
      <c r="Q159" s="12"/>
      <c r="R159" s="12"/>
      <c r="S159" s="12"/>
      <c r="T159" s="13"/>
      <c r="U159" s="199">
        <f>IFERROR(VLOOKUP(tblRiskRegister[[#This Row],[Asset Class]],tblVCDBIndex[],4,FALSE),"")</f>
        <v>3</v>
      </c>
      <c r="V159" s="24" t="str">
        <f>IFERROR(VLOOKUP(10*tblRiskRegister[[#This Row],[Safeguard Maturity Score]]+tblRiskRegister[[#This Row],[VCDB Index]],tblHITIndexWeightTable[],4,FALSE),"")</f>
        <v/>
      </c>
      <c r="W159" s="301"/>
      <c r="X159" s="301"/>
      <c r="Y159" s="301"/>
      <c r="Z159" s="301"/>
      <c r="AA159" s="24" t="str">
        <f>IFERROR(MAX(tblRiskRegister[[#This Row],[Impact to Mission]:[Impact to Obligations]])*tblRiskRegister[[#This Row],[Expectancy Score]],"")</f>
        <v/>
      </c>
      <c r="AB159" s="24" t="str">
        <f>tblRiskRegister[[#This Row],[Risk Score]]</f>
        <v/>
      </c>
      <c r="AC159" s="79"/>
      <c r="AD159" s="206">
        <v>17.8</v>
      </c>
      <c r="AE159" s="194" t="s">
        <v>200</v>
      </c>
      <c r="AF159" s="194" t="s">
        <v>456</v>
      </c>
      <c r="AG159" s="213"/>
      <c r="AH159" s="13"/>
      <c r="AI159" s="22" t="str">
        <f>IFERROR(VLOOKUP(10*tblRiskRegister[[#This Row],[Risk Treatment Safeguard Maturity Score]]+tblRiskRegister[[#This Row],[VCDB Index]],tblHITIndexWeightTable[],4,FALSE),"")</f>
        <v/>
      </c>
      <c r="AJ159" s="302"/>
      <c r="AK159" s="302"/>
      <c r="AL159" s="302"/>
      <c r="AM159" s="302"/>
      <c r="AN159" s="100" t="str">
        <f>IFERROR(MAX(tblRiskRegister[[#This Row],[Risk Treatment Safeguard Impact to Mission]:[Risk Treatment Safeguard Impact to Obligations]])*tblRiskRegister[[#This Row],[Risk Treatment
Safeguard Expectancy Score]],"")</f>
        <v/>
      </c>
      <c r="AO159" s="203" t="str">
        <f>IF(tblRiskRegister[[#This Row],[Risk Score]]&gt;AcceptableRisk,IF(tblRiskRegister[[#This Row],[Risk Treatment Safeguard Risk Score]]&lt;AcceptableRisk, IF(tblRiskRegister[[#This Row],[Risk Treatment Safeguard Risk Score]]&lt;=tblRiskRegister[[#This Row],[Risk Score]],"Yes","No"),"No"),"Yes")</f>
        <v>No</v>
      </c>
      <c r="AP159" s="15"/>
      <c r="AQ159" s="15"/>
      <c r="AR159" s="16"/>
    </row>
    <row r="160" spans="2:44" ht="51" x14ac:dyDescent="0.2">
      <c r="B160" s="207">
        <v>17.899999999999999</v>
      </c>
      <c r="C160" s="194" t="s">
        <v>550</v>
      </c>
      <c r="D160" s="88" t="s">
        <v>92</v>
      </c>
      <c r="E160" s="275" t="s">
        <v>658</v>
      </c>
      <c r="F160" s="14"/>
      <c r="G160" s="88"/>
      <c r="H160" s="88" t="s">
        <v>463</v>
      </c>
      <c r="I160" s="223"/>
      <c r="J160" s="292" t="s">
        <v>666</v>
      </c>
      <c r="K160" s="292" t="s">
        <v>666</v>
      </c>
      <c r="L160" s="292" t="s">
        <v>666</v>
      </c>
      <c r="M160" s="292" t="s">
        <v>666</v>
      </c>
      <c r="N160" s="292" t="s">
        <v>666</v>
      </c>
      <c r="O160" s="295">
        <f>COUNTIF(tblRiskRegister[[#This Row],[Defends Against Malware]:[Defends Against Targeted Intrusions]],"Yes")</f>
        <v>0</v>
      </c>
      <c r="P160" s="12"/>
      <c r="Q160" s="12"/>
      <c r="R160" s="12"/>
      <c r="S160" s="12"/>
      <c r="T160" s="13"/>
      <c r="U160" s="199">
        <f>IFERROR(VLOOKUP(tblRiskRegister[[#This Row],[Asset Class]],tblVCDBIndex[],4,FALSE),"")</f>
        <v>3</v>
      </c>
      <c r="V160" s="24" t="str">
        <f>IFERROR(VLOOKUP(10*tblRiskRegister[[#This Row],[Safeguard Maturity Score]]+tblRiskRegister[[#This Row],[VCDB Index]],tblHITIndexWeightTable[],4,FALSE),"")</f>
        <v/>
      </c>
      <c r="W160" s="301"/>
      <c r="X160" s="301"/>
      <c r="Y160" s="301"/>
      <c r="Z160" s="301"/>
      <c r="AA160" s="24" t="str">
        <f>IFERROR(MAX(tblRiskRegister[[#This Row],[Impact to Mission]:[Impact to Obligations]])*tblRiskRegister[[#This Row],[Expectancy Score]],"")</f>
        <v/>
      </c>
      <c r="AB160" s="24" t="str">
        <f>tblRiskRegister[[#This Row],[Risk Score]]</f>
        <v/>
      </c>
      <c r="AC160" s="79"/>
      <c r="AD160" s="206">
        <v>17.899999999999999</v>
      </c>
      <c r="AE160" s="194" t="s">
        <v>550</v>
      </c>
      <c r="AF160" s="194" t="s">
        <v>576</v>
      </c>
      <c r="AG160" s="213"/>
      <c r="AH160" s="13"/>
      <c r="AI160" s="22" t="str">
        <f>IFERROR(VLOOKUP(10*tblRiskRegister[[#This Row],[Risk Treatment Safeguard Maturity Score]]+tblRiskRegister[[#This Row],[VCDB Index]],tblHITIndexWeightTable[],4,FALSE),"")</f>
        <v/>
      </c>
      <c r="AJ160" s="302"/>
      <c r="AK160" s="302"/>
      <c r="AL160" s="302"/>
      <c r="AM160" s="302"/>
      <c r="AN160" s="100" t="str">
        <f>IFERROR(MAX(tblRiskRegister[[#This Row],[Risk Treatment Safeguard Impact to Mission]:[Risk Treatment Safeguard Impact to Obligations]])*tblRiskRegister[[#This Row],[Risk Treatment
Safeguard Expectancy Score]],"")</f>
        <v/>
      </c>
      <c r="AO160" s="203" t="str">
        <f>IF(tblRiskRegister[[#This Row],[Risk Score]]&gt;AcceptableRisk,IF(tblRiskRegister[[#This Row],[Risk Treatment Safeguard Risk Score]]&lt;AcceptableRisk, IF(tblRiskRegister[[#This Row],[Risk Treatment Safeguard Risk Score]]&lt;=tblRiskRegister[[#This Row],[Risk Score]],"Yes","No"),"No"),"Yes")</f>
        <v>No</v>
      </c>
      <c r="AP160" s="15"/>
      <c r="AQ160" s="15"/>
      <c r="AR160" s="16"/>
    </row>
    <row r="161" spans="2:44" ht="76.5" x14ac:dyDescent="0.2">
      <c r="B161" s="207">
        <v>18.100000000000001</v>
      </c>
      <c r="C161" s="194" t="s">
        <v>201</v>
      </c>
      <c r="D161" s="88" t="s">
        <v>92</v>
      </c>
      <c r="E161" s="274" t="s">
        <v>654</v>
      </c>
      <c r="F161" s="14"/>
      <c r="G161" s="88" t="s">
        <v>463</v>
      </c>
      <c r="H161" s="88" t="s">
        <v>463</v>
      </c>
      <c r="I161" s="223"/>
      <c r="J161" s="293" t="s">
        <v>667</v>
      </c>
      <c r="K161" s="293" t="s">
        <v>667</v>
      </c>
      <c r="L161" s="293" t="s">
        <v>667</v>
      </c>
      <c r="M161" s="292" t="s">
        <v>666</v>
      </c>
      <c r="N161" s="293" t="s">
        <v>667</v>
      </c>
      <c r="O161" s="295">
        <f>COUNTIF(tblRiskRegister[[#This Row],[Defends Against Malware]:[Defends Against Targeted Intrusions]],"Yes")</f>
        <v>4</v>
      </c>
      <c r="P161" s="12"/>
      <c r="Q161" s="12"/>
      <c r="R161" s="12"/>
      <c r="S161" s="12"/>
      <c r="T161" s="13"/>
      <c r="U161" s="199">
        <f>IFERROR(VLOOKUP(tblRiskRegister[[#This Row],[Asset Class]],tblVCDBIndex[],4,FALSE),"")</f>
        <v>3</v>
      </c>
      <c r="V161" s="24" t="str">
        <f>IFERROR(VLOOKUP(10*tblRiskRegister[[#This Row],[Safeguard Maturity Score]]+tblRiskRegister[[#This Row],[VCDB Index]],tblHITIndexWeightTable[],4,FALSE),"")</f>
        <v/>
      </c>
      <c r="W161" s="301"/>
      <c r="X161" s="301"/>
      <c r="Y161" s="301"/>
      <c r="Z161" s="301"/>
      <c r="AA161" s="24" t="str">
        <f>IFERROR(MAX(tblRiskRegister[[#This Row],[Impact to Mission]:[Impact to Obligations]])*tblRiskRegister[[#This Row],[Expectancy Score]],"")</f>
        <v/>
      </c>
      <c r="AB161" s="24" t="str">
        <f>tblRiskRegister[[#This Row],[Risk Score]]</f>
        <v/>
      </c>
      <c r="AC161" s="79"/>
      <c r="AD161" s="206">
        <v>18.100000000000001</v>
      </c>
      <c r="AE161" s="194" t="s">
        <v>201</v>
      </c>
      <c r="AF161" s="194" t="s">
        <v>457</v>
      </c>
      <c r="AG161" s="213"/>
      <c r="AH161" s="13"/>
      <c r="AI161" s="22" t="str">
        <f>IFERROR(VLOOKUP(10*tblRiskRegister[[#This Row],[Risk Treatment Safeguard Maturity Score]]+tblRiskRegister[[#This Row],[VCDB Index]],tblHITIndexWeightTable[],4,FALSE),"")</f>
        <v/>
      </c>
      <c r="AJ161" s="302"/>
      <c r="AK161" s="302"/>
      <c r="AL161" s="302"/>
      <c r="AM161" s="302"/>
      <c r="AN161" s="100" t="str">
        <f>IFERROR(MAX(tblRiskRegister[[#This Row],[Risk Treatment Safeguard Impact to Mission]:[Risk Treatment Safeguard Impact to Obligations]])*tblRiskRegister[[#This Row],[Risk Treatment
Safeguard Expectancy Score]],"")</f>
        <v/>
      </c>
      <c r="AO161" s="203" t="str">
        <f>IF(tblRiskRegister[[#This Row],[Risk Score]]&gt;AcceptableRisk,IF(tblRiskRegister[[#This Row],[Risk Treatment Safeguard Risk Score]]&lt;AcceptableRisk, IF(tblRiskRegister[[#This Row],[Risk Treatment Safeguard Risk Score]]&lt;=tblRiskRegister[[#This Row],[Risk Score]],"Yes","No"),"No"),"Yes")</f>
        <v>No</v>
      </c>
      <c r="AP161" s="15"/>
      <c r="AQ161" s="15"/>
      <c r="AR161" s="16"/>
    </row>
    <row r="162" spans="2:44" ht="51" x14ac:dyDescent="0.2">
      <c r="B162" s="207">
        <v>18.2</v>
      </c>
      <c r="C162" s="194" t="s">
        <v>222</v>
      </c>
      <c r="D162" s="88" t="s">
        <v>90</v>
      </c>
      <c r="E162" s="274" t="s">
        <v>654</v>
      </c>
      <c r="F162" s="14"/>
      <c r="G162" s="88" t="s">
        <v>463</v>
      </c>
      <c r="H162" s="88" t="s">
        <v>463</v>
      </c>
      <c r="I162" s="223"/>
      <c r="J162" s="293" t="s">
        <v>667</v>
      </c>
      <c r="K162" s="293" t="s">
        <v>667</v>
      </c>
      <c r="L162" s="293" t="s">
        <v>667</v>
      </c>
      <c r="M162" s="293" t="s">
        <v>667</v>
      </c>
      <c r="N162" s="293" t="s">
        <v>667</v>
      </c>
      <c r="O162" s="295">
        <f>COUNTIF(tblRiskRegister[[#This Row],[Defends Against Malware]:[Defends Against Targeted Intrusions]],"Yes")</f>
        <v>5</v>
      </c>
      <c r="P162" s="12"/>
      <c r="Q162" s="12"/>
      <c r="R162" s="12"/>
      <c r="S162" s="12"/>
      <c r="T162" s="13"/>
      <c r="U162" s="199">
        <f>IFERROR(VLOOKUP(tblRiskRegister[[#This Row],[Asset Class]],tblVCDBIndex[],4,FALSE),"")</f>
        <v>1</v>
      </c>
      <c r="V162" s="24" t="str">
        <f>IFERROR(VLOOKUP(10*tblRiskRegister[[#This Row],[Safeguard Maturity Score]]+tblRiskRegister[[#This Row],[VCDB Index]],tblHITIndexWeightTable[],4,FALSE),"")</f>
        <v/>
      </c>
      <c r="W162" s="301"/>
      <c r="X162" s="301"/>
      <c r="Y162" s="301"/>
      <c r="Z162" s="301"/>
      <c r="AA162" s="24" t="str">
        <f>IFERROR(MAX(tblRiskRegister[[#This Row],[Impact to Mission]:[Impact to Obligations]])*tblRiskRegister[[#This Row],[Expectancy Score]],"")</f>
        <v/>
      </c>
      <c r="AB162" s="24" t="str">
        <f>tblRiskRegister[[#This Row],[Risk Score]]</f>
        <v/>
      </c>
      <c r="AC162" s="79"/>
      <c r="AD162" s="206">
        <v>18.2</v>
      </c>
      <c r="AE162" s="194" t="s">
        <v>222</v>
      </c>
      <c r="AF162" s="194" t="s">
        <v>458</v>
      </c>
      <c r="AG162" s="213"/>
      <c r="AH162" s="13"/>
      <c r="AI162" s="22" t="str">
        <f>IFERROR(VLOOKUP(10*tblRiskRegister[[#This Row],[Risk Treatment Safeguard Maturity Score]]+tblRiskRegister[[#This Row],[VCDB Index]],tblHITIndexWeightTable[],4,FALSE),"")</f>
        <v/>
      </c>
      <c r="AJ162" s="302"/>
      <c r="AK162" s="302"/>
      <c r="AL162" s="302"/>
      <c r="AM162" s="302"/>
      <c r="AN162" s="100" t="str">
        <f>IFERROR(MAX(tblRiskRegister[[#This Row],[Risk Treatment Safeguard Impact to Mission]:[Risk Treatment Safeguard Impact to Obligations]])*tblRiskRegister[[#This Row],[Risk Treatment
Safeguard Expectancy Score]],"")</f>
        <v/>
      </c>
      <c r="AO162" s="203" t="str">
        <f>IF(tblRiskRegister[[#This Row],[Risk Score]]&gt;AcceptableRisk,IF(tblRiskRegister[[#This Row],[Risk Treatment Safeguard Risk Score]]&lt;AcceptableRisk, IF(tblRiskRegister[[#This Row],[Risk Treatment Safeguard Risk Score]]&lt;=tblRiskRegister[[#This Row],[Risk Score]],"Yes","No"),"No"),"Yes")</f>
        <v>No</v>
      </c>
      <c r="AP162" s="15"/>
      <c r="AQ162" s="15"/>
      <c r="AR162" s="16"/>
    </row>
    <row r="163" spans="2:44" ht="25.5" x14ac:dyDescent="0.2">
      <c r="B163" s="207">
        <v>18.3</v>
      </c>
      <c r="C163" s="194" t="s">
        <v>223</v>
      </c>
      <c r="D163" s="88" t="s">
        <v>90</v>
      </c>
      <c r="E163" s="274" t="s">
        <v>657</v>
      </c>
      <c r="F163" s="14"/>
      <c r="G163" s="88" t="s">
        <v>463</v>
      </c>
      <c r="H163" s="88" t="s">
        <v>463</v>
      </c>
      <c r="I163" s="223"/>
      <c r="J163" s="293" t="s">
        <v>667</v>
      </c>
      <c r="K163" s="293" t="s">
        <v>667</v>
      </c>
      <c r="L163" s="293" t="s">
        <v>667</v>
      </c>
      <c r="M163" s="293" t="s">
        <v>667</v>
      </c>
      <c r="N163" s="293" t="s">
        <v>667</v>
      </c>
      <c r="O163" s="295">
        <f>COUNTIF(tblRiskRegister[[#This Row],[Defends Against Malware]:[Defends Against Targeted Intrusions]],"Yes")</f>
        <v>5</v>
      </c>
      <c r="P163" s="12"/>
      <c r="Q163" s="12"/>
      <c r="R163" s="12"/>
      <c r="S163" s="12"/>
      <c r="T163" s="13"/>
      <c r="U163" s="199">
        <f>IFERROR(VLOOKUP(tblRiskRegister[[#This Row],[Asset Class]],tblVCDBIndex[],4,FALSE),"")</f>
        <v>1</v>
      </c>
      <c r="V163" s="24" t="str">
        <f>IFERROR(VLOOKUP(10*tblRiskRegister[[#This Row],[Safeguard Maturity Score]]+tblRiskRegister[[#This Row],[VCDB Index]],tblHITIndexWeightTable[],4,FALSE),"")</f>
        <v/>
      </c>
      <c r="W163" s="301"/>
      <c r="X163" s="301"/>
      <c r="Y163" s="301"/>
      <c r="Z163" s="301"/>
      <c r="AA163" s="24" t="str">
        <f>IFERROR(MAX(tblRiskRegister[[#This Row],[Impact to Mission]:[Impact to Obligations]])*tblRiskRegister[[#This Row],[Expectancy Score]],"")</f>
        <v/>
      </c>
      <c r="AB163" s="24" t="str">
        <f>tblRiskRegister[[#This Row],[Risk Score]]</f>
        <v/>
      </c>
      <c r="AC163" s="79"/>
      <c r="AD163" s="206">
        <v>18.3</v>
      </c>
      <c r="AE163" s="194" t="s">
        <v>223</v>
      </c>
      <c r="AF163" s="194" t="s">
        <v>459</v>
      </c>
      <c r="AG163" s="213"/>
      <c r="AH163" s="13"/>
      <c r="AI163" s="22" t="str">
        <f>IFERROR(VLOOKUP(10*tblRiskRegister[[#This Row],[Risk Treatment Safeguard Maturity Score]]+tblRiskRegister[[#This Row],[VCDB Index]],tblHITIndexWeightTable[],4,FALSE),"")</f>
        <v/>
      </c>
      <c r="AJ163" s="302"/>
      <c r="AK163" s="302"/>
      <c r="AL163" s="302"/>
      <c r="AM163" s="302"/>
      <c r="AN163" s="100" t="str">
        <f>IFERROR(MAX(tblRiskRegister[[#This Row],[Risk Treatment Safeguard Impact to Mission]:[Risk Treatment Safeguard Impact to Obligations]])*tblRiskRegister[[#This Row],[Risk Treatment
Safeguard Expectancy Score]],"")</f>
        <v/>
      </c>
      <c r="AO163" s="203" t="str">
        <f>IF(tblRiskRegister[[#This Row],[Risk Score]]&gt;AcceptableRisk,IF(tblRiskRegister[[#This Row],[Risk Treatment Safeguard Risk Score]]&lt;AcceptableRisk, IF(tblRiskRegister[[#This Row],[Risk Treatment Safeguard Risk Score]]&lt;=tblRiskRegister[[#This Row],[Risk Score]],"Yes","No"),"No"),"Yes")</f>
        <v>No</v>
      </c>
      <c r="AP163" s="15"/>
      <c r="AQ163" s="15"/>
      <c r="AR163" s="16"/>
    </row>
    <row r="164" spans="2:44" ht="25.5" x14ac:dyDescent="0.2">
      <c r="B164" s="207">
        <v>18.399999999999999</v>
      </c>
      <c r="C164" s="194" t="s">
        <v>551</v>
      </c>
      <c r="D164" s="88" t="s">
        <v>90</v>
      </c>
      <c r="E164" s="274" t="s">
        <v>657</v>
      </c>
      <c r="F164" s="14"/>
      <c r="G164" s="88"/>
      <c r="H164" s="88" t="s">
        <v>463</v>
      </c>
      <c r="I164" s="223"/>
      <c r="J164" s="292" t="s">
        <v>666</v>
      </c>
      <c r="K164" s="292" t="s">
        <v>666</v>
      </c>
      <c r="L164" s="292" t="s">
        <v>666</v>
      </c>
      <c r="M164" s="292" t="s">
        <v>666</v>
      </c>
      <c r="N164" s="292" t="s">
        <v>666</v>
      </c>
      <c r="O164" s="295">
        <f>COUNTIF(tblRiskRegister[[#This Row],[Defends Against Malware]:[Defends Against Targeted Intrusions]],"Yes")</f>
        <v>0</v>
      </c>
      <c r="P164" s="12"/>
      <c r="Q164" s="12"/>
      <c r="R164" s="12"/>
      <c r="S164" s="12"/>
      <c r="T164" s="13"/>
      <c r="U164" s="199">
        <f>IFERROR(VLOOKUP(tblRiskRegister[[#This Row],[Asset Class]],tblVCDBIndex[],4,FALSE),"")</f>
        <v>1</v>
      </c>
      <c r="V164" s="24" t="str">
        <f>IFERROR(VLOOKUP(10*tblRiskRegister[[#This Row],[Safeguard Maturity Score]]+tblRiskRegister[[#This Row],[VCDB Index]],tblHITIndexWeightTable[],4,FALSE),"")</f>
        <v/>
      </c>
      <c r="W164" s="301"/>
      <c r="X164" s="301"/>
      <c r="Y164" s="301"/>
      <c r="Z164" s="301"/>
      <c r="AA164" s="24" t="str">
        <f>IFERROR(MAX(tblRiskRegister[[#This Row],[Impact to Mission]:[Impact to Obligations]])*tblRiskRegister[[#This Row],[Expectancy Score]],"")</f>
        <v/>
      </c>
      <c r="AB164" s="24" t="str">
        <f>tblRiskRegister[[#This Row],[Risk Score]]</f>
        <v/>
      </c>
      <c r="AC164" s="79"/>
      <c r="AD164" s="206">
        <v>18.399999999999999</v>
      </c>
      <c r="AE164" s="194" t="s">
        <v>551</v>
      </c>
      <c r="AF164" s="194" t="s">
        <v>577</v>
      </c>
      <c r="AG164" s="213"/>
      <c r="AH164" s="13"/>
      <c r="AI164" s="22" t="str">
        <f>IFERROR(VLOOKUP(10*tblRiskRegister[[#This Row],[Risk Treatment Safeguard Maturity Score]]+tblRiskRegister[[#This Row],[VCDB Index]],tblHITIndexWeightTable[],4,FALSE),"")</f>
        <v/>
      </c>
      <c r="AJ164" s="302"/>
      <c r="AK164" s="302"/>
      <c r="AL164" s="302"/>
      <c r="AM164" s="302"/>
      <c r="AN164" s="100" t="str">
        <f>IFERROR(MAX(tblRiskRegister[[#This Row],[Risk Treatment Safeguard Impact to Mission]:[Risk Treatment Safeguard Impact to Obligations]])*tblRiskRegister[[#This Row],[Risk Treatment
Safeguard Expectancy Score]],"")</f>
        <v/>
      </c>
      <c r="AO164" s="203" t="str">
        <f>IF(tblRiskRegister[[#This Row],[Risk Score]]&gt;AcceptableRisk,IF(tblRiskRegister[[#This Row],[Risk Treatment Safeguard Risk Score]]&lt;AcceptableRisk, IF(tblRiskRegister[[#This Row],[Risk Treatment Safeguard Risk Score]]&lt;=tblRiskRegister[[#This Row],[Risk Score]],"Yes","No"),"No"),"Yes")</f>
        <v>No</v>
      </c>
      <c r="AP164" s="15"/>
      <c r="AQ164" s="15"/>
      <c r="AR164" s="16"/>
    </row>
    <row r="165" spans="2:44" ht="25.5" x14ac:dyDescent="0.2">
      <c r="B165" s="207">
        <v>18.5</v>
      </c>
      <c r="C165" s="194" t="s">
        <v>536</v>
      </c>
      <c r="D165" s="88" t="s">
        <v>92</v>
      </c>
      <c r="E165" s="274" t="s">
        <v>654</v>
      </c>
      <c r="F165" s="14"/>
      <c r="G165" s="88"/>
      <c r="H165" s="88" t="s">
        <v>463</v>
      </c>
      <c r="I165" s="223"/>
      <c r="J165" s="293" t="s">
        <v>667</v>
      </c>
      <c r="K165" s="293" t="s">
        <v>667</v>
      </c>
      <c r="L165" s="293" t="s">
        <v>667</v>
      </c>
      <c r="M165" s="293" t="s">
        <v>667</v>
      </c>
      <c r="N165" s="293" t="s">
        <v>667</v>
      </c>
      <c r="O165" s="295">
        <f>COUNTIF(tblRiskRegister[[#This Row],[Defends Against Malware]:[Defends Against Targeted Intrusions]],"Yes")</f>
        <v>5</v>
      </c>
      <c r="P165" s="12"/>
      <c r="Q165" s="12"/>
      <c r="R165" s="12"/>
      <c r="S165" s="12"/>
      <c r="T165" s="13"/>
      <c r="U165" s="199">
        <f>IFERROR(VLOOKUP(tblRiskRegister[[#This Row],[Asset Class]],tblVCDBIndex[],4,FALSE),"")</f>
        <v>3</v>
      </c>
      <c r="V165" s="24" t="str">
        <f>IFERROR(VLOOKUP(10*tblRiskRegister[[#This Row],[Safeguard Maturity Score]]+tblRiskRegister[[#This Row],[VCDB Index]],tblHITIndexWeightTable[],4,FALSE),"")</f>
        <v/>
      </c>
      <c r="W165" s="301"/>
      <c r="X165" s="301"/>
      <c r="Y165" s="301"/>
      <c r="Z165" s="301"/>
      <c r="AA165" s="24" t="str">
        <f>IFERROR(MAX(tblRiskRegister[[#This Row],[Impact to Mission]:[Impact to Obligations]])*tblRiskRegister[[#This Row],[Expectancy Score]],"")</f>
        <v/>
      </c>
      <c r="AB165" s="24" t="str">
        <f>tblRiskRegister[[#This Row],[Risk Score]]</f>
        <v/>
      </c>
      <c r="AC165" s="79"/>
      <c r="AD165" s="206">
        <v>18.5</v>
      </c>
      <c r="AE165" s="194" t="s">
        <v>536</v>
      </c>
      <c r="AF165" s="194" t="s">
        <v>578</v>
      </c>
      <c r="AG165" s="213"/>
      <c r="AH165" s="13"/>
      <c r="AI165" s="22" t="str">
        <f>IFERROR(VLOOKUP(10*tblRiskRegister[[#This Row],[Risk Treatment Safeguard Maturity Score]]+tblRiskRegister[[#This Row],[VCDB Index]],tblHITIndexWeightTable[],4,FALSE),"")</f>
        <v/>
      </c>
      <c r="AJ165" s="302"/>
      <c r="AK165" s="302"/>
      <c r="AL165" s="302"/>
      <c r="AM165" s="302"/>
      <c r="AN165" s="100" t="str">
        <f>IFERROR(MAX(tblRiskRegister[[#This Row],[Risk Treatment Safeguard Impact to Mission]:[Risk Treatment Safeguard Impact to Obligations]])*tblRiskRegister[[#This Row],[Risk Treatment
Safeguard Expectancy Score]],"")</f>
        <v/>
      </c>
      <c r="AO165" s="203" t="str">
        <f>IF(tblRiskRegister[[#This Row],[Risk Score]]&gt;AcceptableRisk,IF(tblRiskRegister[[#This Row],[Risk Treatment Safeguard Risk Score]]&lt;AcceptableRisk, IF(tblRiskRegister[[#This Row],[Risk Treatment Safeguard Risk Score]]&lt;=tblRiskRegister[[#This Row],[Risk Score]],"Yes","No"),"No"),"Yes")</f>
        <v>No</v>
      </c>
      <c r="AP165" s="15"/>
      <c r="AQ165" s="15"/>
      <c r="AR165" s="16"/>
    </row>
  </sheetData>
  <sheetProtection sheet="1" formatCells="0" formatColumns="0" formatRows="0" insertRows="0" sort="0" autoFilter="0" pivotTables="0"/>
  <mergeCells count="7">
    <mergeCell ref="AT10:AV10"/>
    <mergeCell ref="B2:B4"/>
    <mergeCell ref="D2:F2"/>
    <mergeCell ref="D3:F3"/>
    <mergeCell ref="D4:F4"/>
    <mergeCell ref="C10:AB10"/>
    <mergeCell ref="AD10:AO10"/>
  </mergeCells>
  <phoneticPr fontId="29" type="noConversion"/>
  <conditionalFormatting sqref="AB13:AB165">
    <cfRule type="iconSet" priority="1">
      <iconSet showValue="0" reverse="1">
        <cfvo type="percent" val="0"/>
        <cfvo type="num" val="&quot;AcceptableRisk&quot;"/>
        <cfvo type="num" val="15"/>
      </iconSet>
    </cfRule>
    <cfRule type="iconSet" priority="2">
      <iconSet showValue="0" reverse="1">
        <cfvo type="percent" val="0"/>
        <cfvo type="num" val="9"/>
        <cfvo type="num" val="15"/>
      </iconSet>
    </cfRule>
    <cfRule type="iconSet" priority="45">
      <iconSet showValue="0" reverse="1">
        <cfvo type="percent" val="0"/>
        <cfvo type="num" val="AcceptableRisk"/>
        <cfvo type="num" val="15"/>
      </iconSet>
    </cfRule>
  </conditionalFormatting>
  <conditionalFormatting sqref="E136 E121 E116 E111:E113 E97 E94 E82:E83 E76:E80 E73 E38 E21 E17 E15">
    <cfRule type="containsText" dxfId="270" priority="33" operator="containsText" text="Protect">
      <formula>NOT(ISERROR(SEARCH("Protect",E15)))</formula>
    </cfRule>
    <cfRule type="containsText" dxfId="269" priority="34" operator="containsText" text="Respond">
      <formula>NOT(ISERROR(SEARCH("Respond",E15)))</formula>
    </cfRule>
    <cfRule type="containsText" dxfId="268" priority="35" operator="containsText" text="Detect">
      <formula>NOT(ISERROR(SEARCH("Detect",E15)))</formula>
    </cfRule>
    <cfRule type="containsText" dxfId="267" priority="36" operator="containsText" text="Identify">
      <formula>NOT(ISERROR(SEARCH("Identify",E15)))</formula>
    </cfRule>
    <cfRule type="containsText" dxfId="266" priority="37" operator="containsText" text="Identity">
      <formula>NOT(ISERROR(SEARCH("Identity",E15)))</formula>
    </cfRule>
  </conditionalFormatting>
  <conditionalFormatting sqref="E165 E161:E162 E135 E131:E133 E106 E69:E70 E62 E55 E51 E31:E32 E25:E26 E18:E19 E16 E13">
    <cfRule type="containsText" dxfId="265" priority="28" operator="containsText" text="Protect">
      <formula>NOT(ISERROR(SEARCH("Protect",E13)))</formula>
    </cfRule>
    <cfRule type="containsText" dxfId="264" priority="29" operator="containsText" text="Respond">
      <formula>NOT(ISERROR(SEARCH("Respond",E13)))</formula>
    </cfRule>
    <cfRule type="containsText" dxfId="263" priority="30" operator="containsText" text="Detect">
      <formula>NOT(ISERROR(SEARCH("Detect",E13)))</formula>
    </cfRule>
    <cfRule type="containsText" dxfId="262" priority="31" operator="containsText" text="Identify">
      <formula>NOT(ISERROR(SEARCH("Identify",E13)))</formula>
    </cfRule>
    <cfRule type="containsText" dxfId="261" priority="32" operator="containsText" text="Identity">
      <formula>NOT(ISERROR(SEARCH("Identity",E13)))</formula>
    </cfRule>
  </conditionalFormatting>
  <conditionalFormatting sqref="E71 E66 E53 E48 E20 E14">
    <cfRule type="containsText" dxfId="260" priority="23" operator="containsText" text="Protect">
      <formula>NOT(ISERROR(SEARCH("Protect",E14)))</formula>
    </cfRule>
    <cfRule type="containsText" dxfId="259" priority="24" operator="containsText" text="Respond">
      <formula>NOT(ISERROR(SEARCH("Respond",E14)))</formula>
    </cfRule>
    <cfRule type="containsText" dxfId="258" priority="25" operator="containsText" text="Detect">
      <formula>NOT(ISERROR(SEARCH("Detect",E14)))</formula>
    </cfRule>
    <cfRule type="containsText" dxfId="257" priority="26" operator="containsText" text="Identify">
      <formula>NOT(ISERROR(SEARCH("Identify",E14)))</formula>
    </cfRule>
    <cfRule type="containsText" dxfId="256" priority="27" operator="containsText" text="Identity">
      <formula>NOT(ISERROR(SEARCH("Identity",E14)))</formula>
    </cfRule>
  </conditionalFormatting>
  <conditionalFormatting sqref="E163:E164 E137:E151 E134 E122:E130 E117:E120 E114:E115 E107:E110 E103:E105 E100 E95:E96 E84:E93 E81 E74:E75 E72 E67:E68 E63:E65 E56:E61 E54 E52 E49:E50 E39:E47 E33:E37 E27:E30 E22:E24">
    <cfRule type="containsText" dxfId="255" priority="18" operator="containsText" text="Protect">
      <formula>NOT(ISERROR(SEARCH("Protect",E22)))</formula>
    </cfRule>
    <cfRule type="containsText" dxfId="254" priority="19" operator="containsText" text="Respond">
      <formula>NOT(ISERROR(SEARCH("Respond",E22)))</formula>
    </cfRule>
    <cfRule type="containsText" dxfId="253" priority="20" operator="containsText" text="Detect">
      <formula>NOT(ISERROR(SEARCH("Detect",E22)))</formula>
    </cfRule>
    <cfRule type="containsText" dxfId="252" priority="21" operator="containsText" text="Identify">
      <formula>NOT(ISERROR(SEARCH("Identify",E22)))</formula>
    </cfRule>
    <cfRule type="containsText" dxfId="251" priority="22" operator="containsText" text="Identity">
      <formula>NOT(ISERROR(SEARCH("Identity",E22)))</formula>
    </cfRule>
  </conditionalFormatting>
  <conditionalFormatting sqref="E158:E160 E101:E102 E98:E99">
    <cfRule type="containsText" dxfId="250" priority="13" operator="containsText" text="Protect">
      <formula>NOT(ISERROR(SEARCH("Protect",E98)))</formula>
    </cfRule>
    <cfRule type="containsText" dxfId="249" priority="14" operator="containsText" text="Respond">
      <formula>NOT(ISERROR(SEARCH("Respond",E98)))</formula>
    </cfRule>
    <cfRule type="containsText" dxfId="248" priority="15" operator="containsText" text="Detect">
      <formula>NOT(ISERROR(SEARCH("Detect",E98)))</formula>
    </cfRule>
    <cfRule type="containsText" dxfId="247" priority="16" operator="containsText" text="Identify">
      <formula>NOT(ISERROR(SEARCH("Identify",E98)))</formula>
    </cfRule>
    <cfRule type="containsText" dxfId="246" priority="17" operator="containsText" text="Identity">
      <formula>NOT(ISERROR(SEARCH("Identity",E98)))</formula>
    </cfRule>
  </conditionalFormatting>
  <conditionalFormatting sqref="E152:E156">
    <cfRule type="containsText" dxfId="245" priority="8" operator="containsText" text="Protect">
      <formula>NOT(ISERROR(SEARCH("Protect",E152)))</formula>
    </cfRule>
    <cfRule type="containsText" dxfId="244" priority="9" operator="containsText" text="Respond">
      <formula>NOT(ISERROR(SEARCH("Respond",E152)))</formula>
    </cfRule>
    <cfRule type="containsText" dxfId="243" priority="10" operator="containsText" text="Detect">
      <formula>NOT(ISERROR(SEARCH("Detect",E152)))</formula>
    </cfRule>
    <cfRule type="containsText" dxfId="242" priority="11" operator="containsText" text="Identify">
      <formula>NOT(ISERROR(SEARCH("Identify",E152)))</formula>
    </cfRule>
    <cfRule type="containsText" dxfId="241" priority="12" operator="containsText" text="Identity">
      <formula>NOT(ISERROR(SEARCH("Identity",E152)))</formula>
    </cfRule>
  </conditionalFormatting>
  <conditionalFormatting sqref="E157">
    <cfRule type="containsText" dxfId="240" priority="3" operator="containsText" text="Protect">
      <formula>NOT(ISERROR(SEARCH("Protect",E157)))</formula>
    </cfRule>
    <cfRule type="containsText" dxfId="239" priority="4" operator="containsText" text="Respond">
      <formula>NOT(ISERROR(SEARCH("Respond",E157)))</formula>
    </cfRule>
    <cfRule type="containsText" dxfId="238" priority="5" operator="containsText" text="Detect">
      <formula>NOT(ISERROR(SEARCH("Detect",E157)))</formula>
    </cfRule>
    <cfRule type="containsText" dxfId="237" priority="6" operator="containsText" text="Identify">
      <formula>NOT(ISERROR(SEARCH("Identify",E157)))</formula>
    </cfRule>
    <cfRule type="containsText" dxfId="236" priority="7" operator="containsText" text="Identity">
      <formula>NOT(ISERROR(SEARCH("Identity",E157)))</formula>
    </cfRule>
  </conditionalFormatting>
  <dataValidations count="6">
    <dataValidation type="list" allowBlank="1" showInputMessage="1" showErrorMessage="1" sqref="AC13:AC165" xr:uid="{9E6E66ED-08E3-4354-9676-F8FD026E4D65}">
      <formula1>"Accept,Reduce"</formula1>
    </dataValidation>
    <dataValidation type="list" allowBlank="1" showInputMessage="1" showErrorMessage="1" sqref="AQ13:AQ165" xr:uid="{73C997AE-F49E-40F2-A4E8-3DEAB8D0614E}">
      <formula1>"Q1, Q2, Q3, Q4"</formula1>
    </dataValidation>
    <dataValidation type="list" allowBlank="1" showInputMessage="1" showErrorMessage="1" sqref="D13:D165" xr:uid="{BF1472F2-8876-4FCB-9D8A-474DF21EFABA}">
      <formula1>Asset_Classes</formula1>
    </dataValidation>
    <dataValidation type="list" allowBlank="1" showInputMessage="1" showErrorMessage="1" sqref="AR13:AR165" xr:uid="{2254A6F9-A2C3-4091-8C2E-2AAEA95BFA9B}">
      <formula1>"2021,2022,2023,2024,2025,2026,2027,2028,2029,2030,2031"</formula1>
    </dataValidation>
    <dataValidation type="list" allowBlank="1" showInputMessage="1" showErrorMessage="1" sqref="AH13:AH165 T13:T165" xr:uid="{3E7C67A2-A01D-41EC-ADC5-49D6B399FC67}">
      <formula1>Maturity_Score</formula1>
    </dataValidation>
    <dataValidation type="list" allowBlank="1" showInputMessage="1" showErrorMessage="1" sqref="W13:Z165 AJ13:AM165" xr:uid="{A98200F5-7726-434D-9F8F-8EEFA687ACA6}">
      <formula1>"1,2,3,4,5"</formula1>
    </dataValidation>
  </dataValidations>
  <pageMargins left="0.7" right="0.7" top="0.75" bottom="0.75" header="0.3" footer="0.3"/>
  <pageSetup orientation="portrait" r:id="rId1"/>
  <ignoredErrors>
    <ignoredError sqref="B34 B48 B81 B120 B147" numberStoredAsText="1"/>
  </ignoredErrors>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6A260-A880-418F-AD10-26A9E6DE92D4}">
  <sheetPr codeName="Sheet6">
    <tabColor rgb="FF0086BF"/>
  </sheetPr>
  <dimension ref="B1:J69"/>
  <sheetViews>
    <sheetView showGridLines="0" workbookViewId="0">
      <selection activeCell="B2" sqref="B2:B8"/>
    </sheetView>
  </sheetViews>
  <sheetFormatPr defaultColWidth="9.140625" defaultRowHeight="15" x14ac:dyDescent="0.2"/>
  <cols>
    <col min="1" max="1" width="9.140625" style="2"/>
    <col min="2" max="2" width="22" style="179" customWidth="1"/>
    <col min="3" max="3" width="28.85546875" style="19" customWidth="1"/>
    <col min="4" max="4" width="90" style="10" customWidth="1"/>
    <col min="5" max="5" width="9.140625" style="2"/>
    <col min="6" max="6" width="20.42578125" style="2" bestFit="1" customWidth="1"/>
    <col min="7" max="9" width="31.5703125" style="2" customWidth="1"/>
    <col min="10" max="10" width="42.140625" style="2" customWidth="1"/>
    <col min="11" max="11" width="16.42578125" style="2" customWidth="1"/>
    <col min="12" max="16384" width="9.140625" style="2"/>
  </cols>
  <sheetData>
    <row r="1" spans="2:10" ht="15.75" thickBot="1" x14ac:dyDescent="0.25"/>
    <row r="2" spans="2:10" ht="15.75" x14ac:dyDescent="0.2">
      <c r="B2" s="346" t="s">
        <v>115</v>
      </c>
      <c r="C2" s="231" t="s">
        <v>121</v>
      </c>
      <c r="D2" s="38" t="s">
        <v>116</v>
      </c>
      <c r="F2" s="349" t="s">
        <v>17</v>
      </c>
      <c r="G2" s="350"/>
      <c r="H2" s="350"/>
      <c r="I2" s="350"/>
      <c r="J2" s="350"/>
    </row>
    <row r="3" spans="2:10" ht="25.5" x14ac:dyDescent="0.2">
      <c r="B3" s="347"/>
      <c r="C3" s="232"/>
      <c r="D3" s="32" t="s">
        <v>255</v>
      </c>
      <c r="F3" s="136" t="s">
        <v>5</v>
      </c>
      <c r="G3" s="137" t="s">
        <v>6</v>
      </c>
      <c r="H3" s="137" t="s">
        <v>94</v>
      </c>
      <c r="I3" s="138" t="s">
        <v>95</v>
      </c>
      <c r="J3" s="139" t="s">
        <v>21</v>
      </c>
    </row>
    <row r="4" spans="2:10" ht="25.5" x14ac:dyDescent="0.2">
      <c r="B4" s="347"/>
      <c r="C4" s="233"/>
      <c r="D4" s="32" t="s">
        <v>256</v>
      </c>
      <c r="F4" s="140" t="s">
        <v>4</v>
      </c>
      <c r="G4" s="30" t="s">
        <v>113</v>
      </c>
      <c r="H4" s="30" t="s">
        <v>113</v>
      </c>
      <c r="I4" s="39" t="s">
        <v>114</v>
      </c>
      <c r="J4" s="30" t="s">
        <v>113</v>
      </c>
    </row>
    <row r="5" spans="2:10" ht="25.5" x14ac:dyDescent="0.2">
      <c r="B5" s="347"/>
      <c r="C5" s="224"/>
      <c r="D5" s="190" t="s">
        <v>256</v>
      </c>
      <c r="F5" s="143" t="s">
        <v>129</v>
      </c>
      <c r="G5" s="30" t="s">
        <v>509</v>
      </c>
      <c r="H5" s="30" t="s">
        <v>509</v>
      </c>
      <c r="I5" s="39" t="s">
        <v>114</v>
      </c>
      <c r="J5" s="30" t="s">
        <v>509</v>
      </c>
    </row>
    <row r="6" spans="2:10" ht="12.75" x14ac:dyDescent="0.2">
      <c r="B6" s="347"/>
      <c r="C6" s="234"/>
      <c r="D6" s="32" t="s">
        <v>117</v>
      </c>
      <c r="F6" s="143" t="s">
        <v>130</v>
      </c>
      <c r="G6" s="30" t="s">
        <v>509</v>
      </c>
      <c r="H6" s="30" t="s">
        <v>509</v>
      </c>
      <c r="I6" s="39" t="s">
        <v>114</v>
      </c>
      <c r="J6" s="30" t="s">
        <v>509</v>
      </c>
    </row>
    <row r="7" spans="2:10" ht="12.75" x14ac:dyDescent="0.2">
      <c r="B7" s="347"/>
      <c r="C7" s="235"/>
      <c r="D7" s="32" t="s">
        <v>118</v>
      </c>
      <c r="F7" s="143" t="s">
        <v>131</v>
      </c>
      <c r="G7" s="30" t="s">
        <v>509</v>
      </c>
      <c r="H7" s="30" t="s">
        <v>509</v>
      </c>
      <c r="I7" s="39" t="s">
        <v>114</v>
      </c>
      <c r="J7" s="30" t="s">
        <v>509</v>
      </c>
    </row>
    <row r="8" spans="2:10" ht="26.25" thickBot="1" x14ac:dyDescent="0.25">
      <c r="B8" s="348"/>
      <c r="C8" s="236"/>
      <c r="D8" s="32" t="s">
        <v>515</v>
      </c>
      <c r="F8" s="143"/>
      <c r="G8" s="227"/>
      <c r="H8" s="228" t="str">
        <f>IF(ISBLANK('1. Impact Criteria Survey '!H42),"",'1. Impact Criteria Survey '!H42)</f>
        <v/>
      </c>
      <c r="I8" s="229"/>
      <c r="J8" s="230" t="str">
        <f>IF(ISBLANK('1. Impact Criteria Survey '!H68),"",'1. Impact Criteria Survey '!H68)</f>
        <v/>
      </c>
    </row>
    <row r="9" spans="2:10" x14ac:dyDescent="0.2">
      <c r="C9" s="28"/>
      <c r="F9" s="143" t="s">
        <v>132</v>
      </c>
      <c r="G9" s="30" t="s">
        <v>509</v>
      </c>
      <c r="H9" s="30" t="s">
        <v>509</v>
      </c>
      <c r="I9" s="39" t="s">
        <v>114</v>
      </c>
      <c r="J9" s="30" t="s">
        <v>509</v>
      </c>
    </row>
    <row r="10" spans="2:10" ht="16.5" thickBot="1" x14ac:dyDescent="0.25">
      <c r="B10" s="225" t="s">
        <v>24</v>
      </c>
      <c r="C10" s="180" t="s">
        <v>257</v>
      </c>
      <c r="D10" s="180" t="s">
        <v>116</v>
      </c>
      <c r="F10" s="144" t="s">
        <v>133</v>
      </c>
      <c r="G10" s="30" t="s">
        <v>509</v>
      </c>
      <c r="H10" s="30" t="s">
        <v>509</v>
      </c>
      <c r="I10" s="145" t="str">
        <f>IF(ISBLANK('1. Impact Criteria Survey '!H56),"",'1. Impact Criteria Survey '!H56)</f>
        <v/>
      </c>
      <c r="J10" s="30" t="s">
        <v>509</v>
      </c>
    </row>
    <row r="11" spans="2:10" ht="12.75" customHeight="1" x14ac:dyDescent="0.2">
      <c r="B11" s="343" t="s">
        <v>112</v>
      </c>
      <c r="C11" s="279" t="s">
        <v>107</v>
      </c>
      <c r="D11" s="185" t="s">
        <v>258</v>
      </c>
    </row>
    <row r="12" spans="2:10" ht="12.75" customHeight="1" x14ac:dyDescent="0.2">
      <c r="B12" s="344"/>
      <c r="C12" s="280" t="s">
        <v>108</v>
      </c>
      <c r="D12" s="183" t="s">
        <v>259</v>
      </c>
    </row>
    <row r="13" spans="2:10" ht="15" customHeight="1" x14ac:dyDescent="0.2">
      <c r="B13" s="344"/>
      <c r="C13" s="280" t="s">
        <v>20</v>
      </c>
      <c r="D13" s="226" t="s">
        <v>260</v>
      </c>
      <c r="F13" s="351" t="s">
        <v>505</v>
      </c>
      <c r="G13" s="352"/>
    </row>
    <row r="14" spans="2:10" ht="25.5" x14ac:dyDescent="0.2">
      <c r="B14" s="344"/>
      <c r="C14" s="280" t="s">
        <v>461</v>
      </c>
      <c r="D14" s="183" t="s">
        <v>510</v>
      </c>
      <c r="F14" s="191" t="s">
        <v>502</v>
      </c>
      <c r="G14" s="162" t="s">
        <v>507</v>
      </c>
    </row>
    <row r="15" spans="2:10" ht="25.5" x14ac:dyDescent="0.2">
      <c r="B15" s="344"/>
      <c r="C15" s="280" t="s">
        <v>462</v>
      </c>
      <c r="D15" s="183" t="s">
        <v>510</v>
      </c>
      <c r="F15" s="192" t="s">
        <v>503</v>
      </c>
      <c r="G15" s="122" t="s">
        <v>508</v>
      </c>
    </row>
    <row r="16" spans="2:10" ht="25.5" x14ac:dyDescent="0.2">
      <c r="B16" s="344"/>
      <c r="C16" s="280" t="s">
        <v>524</v>
      </c>
      <c r="D16" s="183" t="s">
        <v>510</v>
      </c>
      <c r="F16" s="193" t="s">
        <v>504</v>
      </c>
      <c r="G16" s="122" t="s">
        <v>506</v>
      </c>
      <c r="I16" s="28"/>
    </row>
    <row r="17" spans="2:9" ht="25.5" x14ac:dyDescent="0.2">
      <c r="B17" s="344"/>
      <c r="C17" s="280" t="s">
        <v>653</v>
      </c>
      <c r="D17" s="183" t="s">
        <v>663</v>
      </c>
      <c r="E17" s="272"/>
      <c r="F17" s="89"/>
      <c r="H17" s="28"/>
    </row>
    <row r="18" spans="2:9" ht="25.5" x14ac:dyDescent="0.2">
      <c r="B18" s="344"/>
      <c r="C18" s="281" t="s">
        <v>254</v>
      </c>
      <c r="D18" s="183" t="s">
        <v>513</v>
      </c>
      <c r="I18" s="28"/>
    </row>
    <row r="19" spans="2:9" ht="25.5" x14ac:dyDescent="0.2">
      <c r="B19" s="344"/>
      <c r="C19" s="282" t="s">
        <v>660</v>
      </c>
      <c r="D19" s="183" t="s">
        <v>669</v>
      </c>
      <c r="I19" s="28"/>
    </row>
    <row r="20" spans="2:9" ht="25.5" x14ac:dyDescent="0.2">
      <c r="B20" s="344"/>
      <c r="C20" s="282" t="s">
        <v>661</v>
      </c>
      <c r="D20" s="183" t="s">
        <v>669</v>
      </c>
      <c r="I20" s="28"/>
    </row>
    <row r="21" spans="2:9" ht="25.5" x14ac:dyDescent="0.2">
      <c r="B21" s="344"/>
      <c r="C21" s="282" t="s">
        <v>662</v>
      </c>
      <c r="D21" s="183" t="s">
        <v>669</v>
      </c>
      <c r="I21" s="28"/>
    </row>
    <row r="22" spans="2:9" ht="25.5" x14ac:dyDescent="0.2">
      <c r="B22" s="344"/>
      <c r="C22" s="282" t="s">
        <v>652</v>
      </c>
      <c r="D22" s="183" t="s">
        <v>669</v>
      </c>
      <c r="I22" s="28"/>
    </row>
    <row r="23" spans="2:9" ht="25.5" x14ac:dyDescent="0.2">
      <c r="B23" s="344"/>
      <c r="C23" s="282" t="s">
        <v>651</v>
      </c>
      <c r="D23" s="183" t="s">
        <v>669</v>
      </c>
      <c r="E23" s="272"/>
      <c r="I23" s="28"/>
    </row>
    <row r="24" spans="2:9" ht="25.5" x14ac:dyDescent="0.2">
      <c r="B24" s="344"/>
      <c r="C24" s="282" t="s">
        <v>659</v>
      </c>
      <c r="D24" s="183" t="s">
        <v>671</v>
      </c>
    </row>
    <row r="25" spans="2:9" ht="12.75" customHeight="1" x14ac:dyDescent="0.2">
      <c r="B25" s="344"/>
      <c r="C25" s="283" t="s">
        <v>477</v>
      </c>
      <c r="D25" s="183" t="s">
        <v>511</v>
      </c>
    </row>
    <row r="26" spans="2:9" ht="12.75" customHeight="1" x14ac:dyDescent="0.2">
      <c r="B26" s="344"/>
      <c r="C26" s="281" t="s">
        <v>481</v>
      </c>
      <c r="D26" s="183" t="s">
        <v>523</v>
      </c>
    </row>
    <row r="27" spans="2:9" ht="25.5" x14ac:dyDescent="0.2">
      <c r="B27" s="344"/>
      <c r="C27" s="283" t="s">
        <v>471</v>
      </c>
      <c r="D27" s="183" t="s">
        <v>514</v>
      </c>
    </row>
    <row r="28" spans="2:9" ht="12.75" customHeight="1" x14ac:dyDescent="0.2">
      <c r="B28" s="344"/>
      <c r="C28" s="283" t="s">
        <v>579</v>
      </c>
      <c r="D28" s="278" t="s">
        <v>670</v>
      </c>
    </row>
    <row r="29" spans="2:9" ht="12.75" customHeight="1" x14ac:dyDescent="0.2">
      <c r="B29" s="344"/>
      <c r="C29" s="283" t="s">
        <v>122</v>
      </c>
      <c r="D29" s="183" t="s">
        <v>261</v>
      </c>
    </row>
    <row r="30" spans="2:9" ht="25.5" x14ac:dyDescent="0.2">
      <c r="B30" s="344"/>
      <c r="C30" s="280" t="s">
        <v>18</v>
      </c>
      <c r="D30" s="183" t="s">
        <v>262</v>
      </c>
    </row>
    <row r="31" spans="2:9" ht="25.5" x14ac:dyDescent="0.2">
      <c r="B31" s="344"/>
      <c r="C31" s="280" t="s">
        <v>469</v>
      </c>
      <c r="D31" s="183" t="s">
        <v>520</v>
      </c>
    </row>
    <row r="32" spans="2:9" ht="12.75" customHeight="1" x14ac:dyDescent="0.2">
      <c r="B32" s="344"/>
      <c r="C32" s="283" t="s">
        <v>0</v>
      </c>
      <c r="D32" s="183" t="s">
        <v>263</v>
      </c>
    </row>
    <row r="33" spans="2:4" ht="25.5" x14ac:dyDescent="0.2">
      <c r="B33" s="344"/>
      <c r="C33" s="283" t="s">
        <v>96</v>
      </c>
      <c r="D33" s="183" t="s">
        <v>264</v>
      </c>
    </row>
    <row r="34" spans="2:4" ht="25.5" x14ac:dyDescent="0.2">
      <c r="B34" s="344"/>
      <c r="C34" s="283" t="s">
        <v>98</v>
      </c>
      <c r="D34" s="183" t="s">
        <v>512</v>
      </c>
    </row>
    <row r="35" spans="2:4" ht="13.5" customHeight="1" x14ac:dyDescent="0.2">
      <c r="B35" s="344"/>
      <c r="C35" s="283" t="s">
        <v>1</v>
      </c>
      <c r="D35" s="183" t="s">
        <v>265</v>
      </c>
    </row>
    <row r="36" spans="2:4" ht="12.75" customHeight="1" x14ac:dyDescent="0.2">
      <c r="B36" s="344"/>
      <c r="C36" s="280" t="s">
        <v>2</v>
      </c>
      <c r="D36" s="183" t="s">
        <v>473</v>
      </c>
    </row>
    <row r="37" spans="2:4" ht="13.5" customHeight="1" thickBot="1" x14ac:dyDescent="0.25">
      <c r="B37" s="345"/>
      <c r="C37" s="284" t="s">
        <v>3</v>
      </c>
      <c r="D37" s="184" t="s">
        <v>521</v>
      </c>
    </row>
    <row r="38" spans="2:4" ht="12.75" customHeight="1" x14ac:dyDescent="0.2">
      <c r="B38" s="343" t="s">
        <v>110</v>
      </c>
      <c r="C38" s="287" t="s">
        <v>126</v>
      </c>
      <c r="D38" s="185" t="s">
        <v>266</v>
      </c>
    </row>
    <row r="39" spans="2:4" ht="12.75" customHeight="1" x14ac:dyDescent="0.2">
      <c r="B39" s="344"/>
      <c r="C39" s="288" t="s">
        <v>25</v>
      </c>
      <c r="D39" s="183" t="s">
        <v>258</v>
      </c>
    </row>
    <row r="40" spans="2:4" ht="25.5" x14ac:dyDescent="0.2">
      <c r="B40" s="344"/>
      <c r="C40" s="288" t="s">
        <v>29</v>
      </c>
      <c r="D40" s="183" t="s">
        <v>259</v>
      </c>
    </row>
    <row r="41" spans="2:4" ht="25.5" x14ac:dyDescent="0.2">
      <c r="B41" s="344"/>
      <c r="C41" s="288" t="s">
        <v>30</v>
      </c>
      <c r="D41" s="183" t="s">
        <v>267</v>
      </c>
    </row>
    <row r="42" spans="2:4" ht="12.75" customHeight="1" x14ac:dyDescent="0.2">
      <c r="B42" s="344"/>
      <c r="C42" s="289" t="s">
        <v>109</v>
      </c>
      <c r="D42" s="183" t="s">
        <v>268</v>
      </c>
    </row>
    <row r="43" spans="2:4" ht="25.5" x14ac:dyDescent="0.2">
      <c r="B43" s="344"/>
      <c r="C43" s="290" t="s">
        <v>123</v>
      </c>
      <c r="D43" s="183" t="s">
        <v>269</v>
      </c>
    </row>
    <row r="44" spans="2:4" ht="25.5" x14ac:dyDescent="0.2">
      <c r="B44" s="344"/>
      <c r="C44" s="288" t="s">
        <v>472</v>
      </c>
      <c r="D44" s="183" t="s">
        <v>270</v>
      </c>
    </row>
    <row r="45" spans="2:4" ht="25.5" x14ac:dyDescent="0.2">
      <c r="B45" s="344"/>
      <c r="C45" s="283" t="s">
        <v>31</v>
      </c>
      <c r="D45" s="183" t="s">
        <v>263</v>
      </c>
    </row>
    <row r="46" spans="2:4" ht="38.25" x14ac:dyDescent="0.2">
      <c r="B46" s="344"/>
      <c r="C46" s="283" t="s">
        <v>97</v>
      </c>
      <c r="D46" s="183" t="s">
        <v>264</v>
      </c>
    </row>
    <row r="47" spans="2:4" ht="38.25" x14ac:dyDescent="0.2">
      <c r="B47" s="344"/>
      <c r="C47" s="283" t="s">
        <v>464</v>
      </c>
      <c r="D47" s="183" t="s">
        <v>512</v>
      </c>
    </row>
    <row r="48" spans="2:4" ht="25.5" x14ac:dyDescent="0.2">
      <c r="B48" s="344"/>
      <c r="C48" s="283" t="s">
        <v>32</v>
      </c>
      <c r="D48" s="183" t="s">
        <v>265</v>
      </c>
    </row>
    <row r="49" spans="2:4" ht="25.5" x14ac:dyDescent="0.2">
      <c r="B49" s="344"/>
      <c r="C49" s="288" t="s">
        <v>34</v>
      </c>
      <c r="D49" s="183" t="s">
        <v>474</v>
      </c>
    </row>
    <row r="50" spans="2:4" ht="12.75" customHeight="1" x14ac:dyDescent="0.2">
      <c r="B50" s="344"/>
      <c r="C50" s="288" t="s">
        <v>111</v>
      </c>
      <c r="D50" s="183" t="s">
        <v>271</v>
      </c>
    </row>
    <row r="51" spans="2:4" ht="25.5" x14ac:dyDescent="0.2">
      <c r="B51" s="344"/>
      <c r="C51" s="289" t="s">
        <v>33</v>
      </c>
      <c r="D51" s="183" t="s">
        <v>272</v>
      </c>
    </row>
    <row r="52" spans="2:4" ht="12.75" customHeight="1" x14ac:dyDescent="0.2">
      <c r="B52" s="344"/>
      <c r="C52" s="289" t="s">
        <v>103</v>
      </c>
      <c r="D52" s="183" t="s">
        <v>273</v>
      </c>
    </row>
    <row r="53" spans="2:4" ht="13.5" customHeight="1" thickBot="1" x14ac:dyDescent="0.25">
      <c r="B53" s="345"/>
      <c r="C53" s="291" t="s">
        <v>26</v>
      </c>
      <c r="D53" s="184" t="s">
        <v>274</v>
      </c>
    </row>
    <row r="54" spans="2:4" ht="25.5" x14ac:dyDescent="0.2">
      <c r="B54" s="343" t="s">
        <v>465</v>
      </c>
      <c r="C54" s="285" t="s">
        <v>98</v>
      </c>
      <c r="D54" s="185" t="s">
        <v>516</v>
      </c>
    </row>
    <row r="55" spans="2:4" ht="13.5" customHeight="1" x14ac:dyDescent="0.2">
      <c r="B55" s="344"/>
      <c r="C55" s="286" t="s">
        <v>27</v>
      </c>
      <c r="D55" s="183" t="s">
        <v>517</v>
      </c>
    </row>
    <row r="56" spans="2:4" ht="26.25" thickBot="1" x14ac:dyDescent="0.25">
      <c r="B56" s="345"/>
      <c r="C56" s="286" t="s">
        <v>28</v>
      </c>
      <c r="D56" s="183" t="s">
        <v>518</v>
      </c>
    </row>
    <row r="57" spans="2:4" ht="15.75" customHeight="1" x14ac:dyDescent="0.2">
      <c r="B57" s="298"/>
      <c r="C57" s="2"/>
      <c r="D57" s="2"/>
    </row>
    <row r="58" spans="2:4" ht="12.75" x14ac:dyDescent="0.2">
      <c r="B58" s="19"/>
      <c r="C58" s="10"/>
      <c r="D58" s="2"/>
    </row>
    <row r="59" spans="2:4" ht="12.75" x14ac:dyDescent="0.2">
      <c r="B59" s="19"/>
      <c r="C59" s="10"/>
      <c r="D59" s="2"/>
    </row>
    <row r="60" spans="2:4" ht="12.75" x14ac:dyDescent="0.2">
      <c r="B60" s="19"/>
      <c r="C60" s="10"/>
      <c r="D60" s="2"/>
    </row>
    <row r="61" spans="2:4" ht="12.75" x14ac:dyDescent="0.2">
      <c r="B61" s="19"/>
      <c r="C61" s="10"/>
      <c r="D61" s="2"/>
    </row>
    <row r="62" spans="2:4" ht="12.75" x14ac:dyDescent="0.2">
      <c r="B62" s="19"/>
      <c r="C62" s="10"/>
      <c r="D62" s="2"/>
    </row>
    <row r="63" spans="2:4" ht="12.75" x14ac:dyDescent="0.2">
      <c r="B63" s="19"/>
      <c r="C63" s="10"/>
      <c r="D63" s="2"/>
    </row>
    <row r="64" spans="2:4" ht="12.75" x14ac:dyDescent="0.2">
      <c r="B64" s="19"/>
      <c r="C64" s="10"/>
      <c r="D64" s="2"/>
    </row>
    <row r="65" spans="2:4" ht="12.75" x14ac:dyDescent="0.2">
      <c r="B65" s="19"/>
      <c r="C65" s="10"/>
      <c r="D65" s="2"/>
    </row>
    <row r="66" spans="2:4" ht="12.75" x14ac:dyDescent="0.2">
      <c r="B66" s="19"/>
      <c r="C66" s="10"/>
      <c r="D66" s="2"/>
    </row>
    <row r="67" spans="2:4" ht="12.75" x14ac:dyDescent="0.2">
      <c r="B67" s="19"/>
      <c r="C67" s="10"/>
      <c r="D67" s="2"/>
    </row>
    <row r="68" spans="2:4" ht="12.75" x14ac:dyDescent="0.2">
      <c r="B68" s="19"/>
      <c r="C68" s="10"/>
      <c r="D68" s="2"/>
    </row>
    <row r="69" spans="2:4" x14ac:dyDescent="0.2">
      <c r="C69" s="10"/>
      <c r="D69" s="2"/>
    </row>
  </sheetData>
  <sheetProtection sheet="1" objects="1" scenarios="1"/>
  <mergeCells count="6">
    <mergeCell ref="B54:B56"/>
    <mergeCell ref="B2:B8"/>
    <mergeCell ref="F2:J2"/>
    <mergeCell ref="F13:G13"/>
    <mergeCell ref="B11:B37"/>
    <mergeCell ref="B38:B53"/>
  </mergeCells>
  <pageMargins left="0.7" right="0.7" top="0.75" bottom="0.75" header="0.3" footer="0.3"/>
  <pageSetup orientation="portrait" r:id="rId1"/>
  <ignoredErrors>
    <ignoredError sqref="G9:H10 J9:J10 J4:J7 G4:H7" calculatedColumn="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1100-E161-4811-8D8E-DF07EF73F8B4}">
  <sheetPr codeName="Sheet7">
    <tabColor rgb="FF0086BF"/>
  </sheetPr>
  <dimension ref="B2:H86"/>
  <sheetViews>
    <sheetView showGridLines="0" zoomScale="104" workbookViewId="0">
      <selection activeCell="B1" sqref="B1"/>
    </sheetView>
  </sheetViews>
  <sheetFormatPr defaultColWidth="9.140625" defaultRowHeight="12.75" x14ac:dyDescent="0.2"/>
  <cols>
    <col min="1" max="1" width="9.140625" style="2"/>
    <col min="2" max="2" width="35" style="2" bestFit="1" customWidth="1"/>
    <col min="3" max="3" width="56.7109375" style="10" customWidth="1"/>
    <col min="4" max="4" width="50.42578125" style="2" customWidth="1"/>
    <col min="5" max="5" width="34.5703125" style="2" customWidth="1"/>
    <col min="6" max="6" width="15.42578125" style="2" bestFit="1" customWidth="1"/>
    <col min="7" max="7" width="17.5703125" style="2" bestFit="1" customWidth="1"/>
    <col min="8" max="8" width="18.42578125" style="2" bestFit="1" customWidth="1"/>
    <col min="9" max="16384" width="9.140625" style="2"/>
  </cols>
  <sheetData>
    <row r="2" spans="2:5" ht="10.5" customHeight="1" x14ac:dyDescent="0.2">
      <c r="B2" s="18"/>
      <c r="C2" s="186"/>
      <c r="D2" s="18"/>
      <c r="E2" s="18"/>
    </row>
    <row r="4" spans="2:5" x14ac:dyDescent="0.2">
      <c r="B4" s="27" t="s">
        <v>466</v>
      </c>
      <c r="C4" s="32" t="s">
        <v>467</v>
      </c>
    </row>
    <row r="6" spans="2:5" x14ac:dyDescent="0.2">
      <c r="B6" s="6" t="s">
        <v>466</v>
      </c>
    </row>
    <row r="7" spans="2:5" x14ac:dyDescent="0.2">
      <c r="B7" s="8" t="s">
        <v>89</v>
      </c>
    </row>
    <row r="8" spans="2:5" x14ac:dyDescent="0.2">
      <c r="B8" s="8" t="s">
        <v>87</v>
      </c>
    </row>
    <row r="9" spans="2:5" x14ac:dyDescent="0.2">
      <c r="B9" s="8" t="s">
        <v>88</v>
      </c>
    </row>
    <row r="10" spans="2:5" x14ac:dyDescent="0.2">
      <c r="B10" s="8" t="s">
        <v>92</v>
      </c>
    </row>
    <row r="11" spans="2:5" x14ac:dyDescent="0.2">
      <c r="B11" s="8" t="s">
        <v>90</v>
      </c>
    </row>
    <row r="12" spans="2:5" x14ac:dyDescent="0.2">
      <c r="B12" s="8" t="s">
        <v>91</v>
      </c>
    </row>
    <row r="14" spans="2:5" ht="10.5" customHeight="1" x14ac:dyDescent="0.2">
      <c r="B14" s="18"/>
      <c r="C14" s="186"/>
      <c r="D14" s="18"/>
      <c r="E14" s="18"/>
    </row>
    <row r="16" spans="2:5" ht="25.5" x14ac:dyDescent="0.2">
      <c r="B16" s="27" t="s">
        <v>125</v>
      </c>
      <c r="C16" s="32" t="s">
        <v>124</v>
      </c>
    </row>
    <row r="18" spans="2:5" x14ac:dyDescent="0.2">
      <c r="B18" s="6" t="s">
        <v>125</v>
      </c>
      <c r="C18" s="19" t="s">
        <v>4</v>
      </c>
    </row>
    <row r="19" spans="2:5" x14ac:dyDescent="0.2">
      <c r="B19" s="6">
        <v>1</v>
      </c>
      <c r="C19" s="7" t="s">
        <v>104</v>
      </c>
    </row>
    <row r="20" spans="2:5" ht="25.5" x14ac:dyDescent="0.2">
      <c r="B20" s="6">
        <v>2</v>
      </c>
      <c r="C20" s="7" t="s">
        <v>105</v>
      </c>
    </row>
    <row r="21" spans="2:5" x14ac:dyDescent="0.2">
      <c r="B21" s="6">
        <v>3</v>
      </c>
      <c r="C21" s="7" t="s">
        <v>106</v>
      </c>
    </row>
    <row r="22" spans="2:5" x14ac:dyDescent="0.2">
      <c r="B22" s="6">
        <v>4</v>
      </c>
      <c r="C22" s="7" t="s">
        <v>127</v>
      </c>
    </row>
    <row r="23" spans="2:5" ht="25.5" x14ac:dyDescent="0.2">
      <c r="B23" s="6">
        <v>5</v>
      </c>
      <c r="C23" s="7" t="s">
        <v>128</v>
      </c>
    </row>
    <row r="24" spans="2:5" x14ac:dyDescent="0.2">
      <c r="B24" s="6"/>
      <c r="C24" s="7"/>
    </row>
    <row r="25" spans="2:5" ht="10.5" customHeight="1" x14ac:dyDescent="0.2">
      <c r="B25" s="18"/>
      <c r="C25" s="186"/>
      <c r="D25" s="18"/>
      <c r="E25" s="18"/>
    </row>
    <row r="26" spans="2:5" x14ac:dyDescent="0.2">
      <c r="B26" s="6"/>
      <c r="C26" s="7"/>
    </row>
    <row r="27" spans="2:5" ht="25.5" x14ac:dyDescent="0.2">
      <c r="B27" s="27" t="s">
        <v>468</v>
      </c>
      <c r="C27" s="32" t="s">
        <v>476</v>
      </c>
    </row>
    <row r="29" spans="2:5" x14ac:dyDescent="0.2">
      <c r="B29" s="6" t="s">
        <v>475</v>
      </c>
      <c r="C29" s="19" t="s">
        <v>470</v>
      </c>
      <c r="D29" s="6" t="s">
        <v>229</v>
      </c>
    </row>
    <row r="30" spans="2:5" x14ac:dyDescent="0.2">
      <c r="B30" s="6">
        <v>1</v>
      </c>
      <c r="C30" s="7" t="s">
        <v>230</v>
      </c>
      <c r="D30" s="7" t="s">
        <v>490</v>
      </c>
    </row>
    <row r="31" spans="2:5" ht="25.5" x14ac:dyDescent="0.2">
      <c r="B31" s="6">
        <v>2</v>
      </c>
      <c r="C31" s="7" t="s">
        <v>231</v>
      </c>
      <c r="D31" s="7" t="s">
        <v>491</v>
      </c>
    </row>
    <row r="32" spans="2:5" ht="25.5" x14ac:dyDescent="0.2">
      <c r="B32" s="6">
        <v>3</v>
      </c>
      <c r="C32" s="7" t="s">
        <v>232</v>
      </c>
      <c r="D32" s="7" t="s">
        <v>492</v>
      </c>
    </row>
    <row r="33" spans="2:8" x14ac:dyDescent="0.2">
      <c r="B33" s="6">
        <v>4</v>
      </c>
      <c r="C33" s="7" t="s">
        <v>233</v>
      </c>
      <c r="D33" s="7" t="s">
        <v>493</v>
      </c>
    </row>
    <row r="34" spans="2:8" x14ac:dyDescent="0.2">
      <c r="B34" s="6">
        <v>5</v>
      </c>
      <c r="C34" s="7" t="s">
        <v>234</v>
      </c>
      <c r="D34" s="7" t="s">
        <v>494</v>
      </c>
    </row>
    <row r="36" spans="2:8" ht="10.5" customHeight="1" x14ac:dyDescent="0.2">
      <c r="B36" s="18"/>
      <c r="C36" s="186"/>
      <c r="D36" s="18"/>
      <c r="E36" s="18"/>
    </row>
    <row r="38" spans="2:8" x14ac:dyDescent="0.2">
      <c r="B38" s="189" t="s">
        <v>8</v>
      </c>
      <c r="C38" s="190" t="s">
        <v>119</v>
      </c>
    </row>
    <row r="40" spans="2:8" x14ac:dyDescent="0.2">
      <c r="B40" s="19" t="s">
        <v>7</v>
      </c>
      <c r="C40" s="19" t="s">
        <v>8</v>
      </c>
    </row>
    <row r="41" spans="2:8" ht="38.65" customHeight="1" x14ac:dyDescent="0.2">
      <c r="B41" s="7" t="str">
        <f>IF(AcceptableRisk&gt;0, "&lt; " &amp; AcceptableRisk, "Complete the Risk Acceptance Criteria table in Enterprise Parameters")</f>
        <v>Complete the Risk Acceptance Criteria table in Enterprise Parameters</v>
      </c>
      <c r="C41" s="7" t="str">
        <f>IF(AcceptableRisk&gt;0, "All scores lower than '" &amp; AcceptableRisk &amp; "' may be automatically accepted. All other risks must be reduced.","Complete the Risk Acceptance Criteria table in Enterprise parameters.")</f>
        <v>Complete the Risk Acceptance Criteria table in Enterprise parameters.</v>
      </c>
      <c r="H41" s="237"/>
    </row>
    <row r="43" spans="2:8" ht="10.5" customHeight="1" x14ac:dyDescent="0.2">
      <c r="B43" s="18"/>
      <c r="C43" s="186"/>
      <c r="D43" s="18"/>
      <c r="E43" s="18"/>
    </row>
    <row r="45" spans="2:8" x14ac:dyDescent="0.2">
      <c r="B45" s="27" t="s">
        <v>18</v>
      </c>
      <c r="C45" s="32" t="s">
        <v>120</v>
      </c>
    </row>
    <row r="47" spans="2:8" x14ac:dyDescent="0.2">
      <c r="B47" s="101" t="s">
        <v>99</v>
      </c>
      <c r="C47" s="187">
        <v>8893</v>
      </c>
      <c r="D47" s="101" t="s">
        <v>100</v>
      </c>
      <c r="E47" s="102">
        <v>44406</v>
      </c>
    </row>
    <row r="48" spans="2:8" x14ac:dyDescent="0.2">
      <c r="B48" s="103" t="s">
        <v>20</v>
      </c>
      <c r="C48" s="188" t="s">
        <v>9</v>
      </c>
      <c r="D48" s="103" t="s">
        <v>10</v>
      </c>
      <c r="E48" s="103" t="s">
        <v>12</v>
      </c>
    </row>
    <row r="49" spans="2:5" x14ac:dyDescent="0.2">
      <c r="B49" s="104" t="s">
        <v>92</v>
      </c>
      <c r="C49" s="188">
        <f>MAX(C50:C55)</f>
        <v>4458</v>
      </c>
      <c r="D49" s="105">
        <f>tblVCDBIndex[[#This Row],[Sum of Threat Count / Industry]]/$C$47</f>
        <v>0.50129315191723822</v>
      </c>
      <c r="E49" s="106">
        <f>IF(tblVCDBIndex[[#This Row],[Percentage]]&lt;0.2,1,IF(tblVCDBIndex[[#This Row],[Percentage]]&lt;0.4,2,IF(tblVCDBIndex[[#This Row],[Percentage]]&lt;0.6,3,IF(tblVCDBIndex[[#This Row],[Percentage]]&lt;0.8,4,5))))</f>
        <v>3</v>
      </c>
    </row>
    <row r="50" spans="2:5" x14ac:dyDescent="0.2">
      <c r="B50" s="107" t="s">
        <v>89</v>
      </c>
      <c r="C50" s="188">
        <v>1253</v>
      </c>
      <c r="D50" s="108">
        <f>tblVCDBIndex[[#This Row],[Sum of Threat Count / Industry]]/$C$47</f>
        <v>0.14089733498257057</v>
      </c>
      <c r="E50" s="103">
        <f>IF(tblVCDBIndex[[#This Row],[Percentage]]&lt;0.2,1,IF(tblVCDBIndex[[#This Row],[Percentage]]&lt;0.4,2,IF(tblVCDBIndex[[#This Row],[Percentage]]&lt;0.6,3,IF(tblVCDBIndex[[#This Row],[Percentage]]&lt;0.8,4,5))))</f>
        <v>1</v>
      </c>
    </row>
    <row r="51" spans="2:5" x14ac:dyDescent="0.2">
      <c r="B51" s="109" t="s">
        <v>87</v>
      </c>
      <c r="C51" s="188">
        <f>MAX(C52:C57)</f>
        <v>4458</v>
      </c>
      <c r="D51" s="110">
        <f>tblVCDBIndex[[#This Row],[Sum of Threat Count / Industry]]/$C$47</f>
        <v>0.50129315191723822</v>
      </c>
      <c r="E51" s="111">
        <f>IF(tblVCDBIndex[[#This Row],[Percentage]]&lt;0.2,1,IF(tblVCDBIndex[[#This Row],[Percentage]]&lt;0.4,2,IF(tblVCDBIndex[[#This Row],[Percentage]]&lt;0.6,3,IF(tblVCDBIndex[[#This Row],[Percentage]]&lt;0.8,4,5))))</f>
        <v>3</v>
      </c>
    </row>
    <row r="52" spans="2:5" x14ac:dyDescent="0.2">
      <c r="B52" s="112" t="s">
        <v>88</v>
      </c>
      <c r="C52" s="188">
        <v>798</v>
      </c>
      <c r="D52" s="108">
        <f>tblVCDBIndex[[#This Row],[Sum of Threat Count / Industry]]/$C$47</f>
        <v>8.9733498257056107E-2</v>
      </c>
      <c r="E52" s="103">
        <f>IF(tblVCDBIndex[[#This Row],[Percentage]]&lt;0.2,1,IF(tblVCDBIndex[[#This Row],[Percentage]]&lt;0.4,2,IF(tblVCDBIndex[[#This Row],[Percentage]]&lt;0.6,3,IF(tblVCDBIndex[[#This Row],[Percentage]]&lt;0.8,4,5))))</f>
        <v>1</v>
      </c>
    </row>
    <row r="53" spans="2:5" x14ac:dyDescent="0.2">
      <c r="B53" s="112" t="s">
        <v>90</v>
      </c>
      <c r="C53" s="188">
        <v>62</v>
      </c>
      <c r="D53" s="108">
        <f>tblVCDBIndex[[#This Row],[Sum of Threat Count / Industry]]/$C$47</f>
        <v>6.9717755538063649E-3</v>
      </c>
      <c r="E53" s="103">
        <f>IF(tblVCDBIndex[[#This Row],[Percentage]]&lt;0.2,1,IF(tblVCDBIndex[[#This Row],[Percentage]]&lt;0.4,2,IF(tblVCDBIndex[[#This Row],[Percentage]]&lt;0.6,3,IF(tblVCDBIndex[[#This Row],[Percentage]]&lt;0.8,4,5))))</f>
        <v>1</v>
      </c>
    </row>
    <row r="54" spans="2:5" x14ac:dyDescent="0.2">
      <c r="B54" s="112" t="s">
        <v>91</v>
      </c>
      <c r="C54" s="188">
        <v>4458</v>
      </c>
      <c r="D54" s="108">
        <f>tblVCDBIndex[[#This Row],[Sum of Threat Count / Industry]]/$C$47</f>
        <v>0.50129315191723822</v>
      </c>
      <c r="E54" s="103">
        <f>IF(tblVCDBIndex[[#This Row],[Percentage]]&lt;0.2,1,IF(tblVCDBIndex[[#This Row],[Percentage]]&lt;0.4,2,IF(tblVCDBIndex[[#This Row],[Percentage]]&lt;0.6,3,IF(tblVCDBIndex[[#This Row],[Percentage]]&lt;0.8,4,5))))</f>
        <v>3</v>
      </c>
    </row>
    <row r="55" spans="2:5" x14ac:dyDescent="0.2">
      <c r="B55" s="112" t="s">
        <v>102</v>
      </c>
      <c r="C55" s="188">
        <v>863</v>
      </c>
      <c r="D55" s="108">
        <f>tblVCDBIndex[[#This Row],[Sum of Threat Count / Industry]]/$C$47</f>
        <v>9.7042617789272465E-2</v>
      </c>
      <c r="E55" s="103">
        <f>IF(tblVCDBIndex[[#This Row],[Percentage]]&lt;0.2,1,IF(tblVCDBIndex[[#This Row],[Percentage]]&lt;0.4,2,IF(tblVCDBIndex[[#This Row],[Percentage]]&lt;0.6,3,IF(tblVCDBIndex[[#This Row],[Percentage]]&lt;0.8,4,5))))</f>
        <v>1</v>
      </c>
    </row>
    <row r="57" spans="2:5" x14ac:dyDescent="0.2">
      <c r="B57" s="18"/>
      <c r="C57" s="186"/>
      <c r="D57" s="18"/>
      <c r="E57" s="18"/>
    </row>
    <row r="59" spans="2:5" ht="25.5" x14ac:dyDescent="0.2">
      <c r="B59" s="27" t="s">
        <v>19</v>
      </c>
      <c r="C59" s="32" t="s">
        <v>519</v>
      </c>
    </row>
    <row r="61" spans="2:5" ht="10.5" customHeight="1" x14ac:dyDescent="0.2">
      <c r="B61" s="6" t="s">
        <v>101</v>
      </c>
      <c r="C61" s="19" t="s">
        <v>11</v>
      </c>
      <c r="D61" s="6" t="s">
        <v>18</v>
      </c>
      <c r="E61" s="6" t="s">
        <v>470</v>
      </c>
    </row>
    <row r="62" spans="2:5" x14ac:dyDescent="0.2">
      <c r="B62" s="6">
        <v>51</v>
      </c>
      <c r="C62" s="19">
        <v>5</v>
      </c>
      <c r="D62" s="6">
        <v>1</v>
      </c>
      <c r="E62" s="6">
        <v>1</v>
      </c>
    </row>
    <row r="63" spans="2:5" x14ac:dyDescent="0.2">
      <c r="B63" s="6">
        <v>52</v>
      </c>
      <c r="C63" s="19">
        <v>5</v>
      </c>
      <c r="D63" s="6">
        <v>2</v>
      </c>
      <c r="E63" s="6">
        <v>1</v>
      </c>
    </row>
    <row r="64" spans="2:5" x14ac:dyDescent="0.2">
      <c r="B64" s="6">
        <v>53</v>
      </c>
      <c r="C64" s="19">
        <v>5</v>
      </c>
      <c r="D64" s="6">
        <v>3</v>
      </c>
      <c r="E64" s="6">
        <v>1</v>
      </c>
    </row>
    <row r="65" spans="2:5" x14ac:dyDescent="0.2">
      <c r="B65" s="6">
        <v>54</v>
      </c>
      <c r="C65" s="19">
        <v>5</v>
      </c>
      <c r="D65" s="6">
        <v>4</v>
      </c>
      <c r="E65" s="6">
        <v>2</v>
      </c>
    </row>
    <row r="66" spans="2:5" x14ac:dyDescent="0.2">
      <c r="B66" s="6">
        <v>55</v>
      </c>
      <c r="C66" s="19">
        <v>5</v>
      </c>
      <c r="D66" s="6">
        <v>5</v>
      </c>
      <c r="E66" s="6">
        <v>2</v>
      </c>
    </row>
    <row r="67" spans="2:5" x14ac:dyDescent="0.2">
      <c r="B67" s="6">
        <v>41</v>
      </c>
      <c r="C67" s="19">
        <v>4</v>
      </c>
      <c r="D67" s="6">
        <v>1</v>
      </c>
      <c r="E67" s="6">
        <v>1</v>
      </c>
    </row>
    <row r="68" spans="2:5" x14ac:dyDescent="0.2">
      <c r="B68" s="6">
        <v>42</v>
      </c>
      <c r="C68" s="19">
        <v>4</v>
      </c>
      <c r="D68" s="6">
        <v>2</v>
      </c>
      <c r="E68" s="6">
        <v>2</v>
      </c>
    </row>
    <row r="69" spans="2:5" x14ac:dyDescent="0.2">
      <c r="B69" s="6">
        <v>43</v>
      </c>
      <c r="C69" s="19">
        <v>4</v>
      </c>
      <c r="D69" s="6">
        <v>3</v>
      </c>
      <c r="E69" s="6">
        <v>2</v>
      </c>
    </row>
    <row r="70" spans="2:5" x14ac:dyDescent="0.2">
      <c r="B70" s="6">
        <v>44</v>
      </c>
      <c r="C70" s="19">
        <v>4</v>
      </c>
      <c r="D70" s="6">
        <v>4</v>
      </c>
      <c r="E70" s="6">
        <v>3</v>
      </c>
    </row>
    <row r="71" spans="2:5" x14ac:dyDescent="0.2">
      <c r="B71" s="6">
        <v>45</v>
      </c>
      <c r="C71" s="19">
        <v>4</v>
      </c>
      <c r="D71" s="6">
        <v>5</v>
      </c>
      <c r="E71" s="6">
        <v>3</v>
      </c>
    </row>
    <row r="72" spans="2:5" x14ac:dyDescent="0.2">
      <c r="B72" s="6">
        <v>31</v>
      </c>
      <c r="C72" s="19">
        <v>3</v>
      </c>
      <c r="D72" s="6">
        <v>1</v>
      </c>
      <c r="E72" s="6">
        <v>1</v>
      </c>
    </row>
    <row r="73" spans="2:5" x14ac:dyDescent="0.2">
      <c r="B73" s="6">
        <v>32</v>
      </c>
      <c r="C73" s="19">
        <v>3</v>
      </c>
      <c r="D73" s="6">
        <v>2</v>
      </c>
      <c r="E73" s="6">
        <v>2</v>
      </c>
    </row>
    <row r="74" spans="2:5" x14ac:dyDescent="0.2">
      <c r="B74" s="6">
        <v>33</v>
      </c>
      <c r="C74" s="19">
        <v>3</v>
      </c>
      <c r="D74" s="6">
        <v>3</v>
      </c>
      <c r="E74" s="6">
        <v>3</v>
      </c>
    </row>
    <row r="75" spans="2:5" x14ac:dyDescent="0.2">
      <c r="B75" s="6">
        <v>34</v>
      </c>
      <c r="C75" s="19">
        <v>3</v>
      </c>
      <c r="D75" s="6">
        <v>4</v>
      </c>
      <c r="E75" s="6">
        <v>4</v>
      </c>
    </row>
    <row r="76" spans="2:5" x14ac:dyDescent="0.2">
      <c r="B76" s="6">
        <v>35</v>
      </c>
      <c r="C76" s="19">
        <v>3</v>
      </c>
      <c r="D76" s="6">
        <v>5</v>
      </c>
      <c r="E76" s="6">
        <v>5</v>
      </c>
    </row>
    <row r="77" spans="2:5" x14ac:dyDescent="0.2">
      <c r="B77" s="6">
        <v>21</v>
      </c>
      <c r="C77" s="19">
        <v>2</v>
      </c>
      <c r="D77" s="6">
        <v>1</v>
      </c>
      <c r="E77" s="6">
        <v>3</v>
      </c>
    </row>
    <row r="78" spans="2:5" x14ac:dyDescent="0.2">
      <c r="B78" s="6">
        <v>22</v>
      </c>
      <c r="C78" s="19">
        <v>2</v>
      </c>
      <c r="D78" s="6">
        <v>2</v>
      </c>
      <c r="E78" s="6">
        <v>3</v>
      </c>
    </row>
    <row r="79" spans="2:5" x14ac:dyDescent="0.2">
      <c r="B79" s="6">
        <v>23</v>
      </c>
      <c r="C79" s="19">
        <v>2</v>
      </c>
      <c r="D79" s="6">
        <v>3</v>
      </c>
      <c r="E79" s="6">
        <v>4</v>
      </c>
    </row>
    <row r="80" spans="2:5" x14ac:dyDescent="0.2">
      <c r="B80" s="6">
        <v>24</v>
      </c>
      <c r="C80" s="19">
        <v>2</v>
      </c>
      <c r="D80" s="6">
        <v>4</v>
      </c>
      <c r="E80" s="6">
        <v>4</v>
      </c>
    </row>
    <row r="81" spans="2:5" x14ac:dyDescent="0.2">
      <c r="B81" s="6">
        <v>25</v>
      </c>
      <c r="C81" s="19">
        <v>2</v>
      </c>
      <c r="D81" s="6">
        <v>5</v>
      </c>
      <c r="E81" s="6">
        <v>5</v>
      </c>
    </row>
    <row r="82" spans="2:5" x14ac:dyDescent="0.2">
      <c r="B82" s="6">
        <v>11</v>
      </c>
      <c r="C82" s="19">
        <v>1</v>
      </c>
      <c r="D82" s="6">
        <v>1</v>
      </c>
      <c r="E82" s="6">
        <v>4</v>
      </c>
    </row>
    <row r="83" spans="2:5" x14ac:dyDescent="0.2">
      <c r="B83" s="6">
        <v>12</v>
      </c>
      <c r="C83" s="19">
        <v>1</v>
      </c>
      <c r="D83" s="6">
        <v>2</v>
      </c>
      <c r="E83" s="6">
        <v>4</v>
      </c>
    </row>
    <row r="84" spans="2:5" x14ac:dyDescent="0.2">
      <c r="B84" s="6">
        <v>13</v>
      </c>
      <c r="C84" s="19">
        <v>1</v>
      </c>
      <c r="D84" s="6">
        <v>3</v>
      </c>
      <c r="E84" s="6">
        <v>5</v>
      </c>
    </row>
    <row r="85" spans="2:5" x14ac:dyDescent="0.2">
      <c r="B85" s="6">
        <v>14</v>
      </c>
      <c r="C85" s="19">
        <v>1</v>
      </c>
      <c r="D85" s="6">
        <v>4</v>
      </c>
      <c r="E85" s="6">
        <v>5</v>
      </c>
    </row>
    <row r="86" spans="2:5" x14ac:dyDescent="0.2">
      <c r="B86" s="6">
        <v>15</v>
      </c>
      <c r="C86" s="19">
        <v>1</v>
      </c>
      <c r="D86" s="6">
        <v>5</v>
      </c>
      <c r="E86" s="6">
        <v>5</v>
      </c>
    </row>
  </sheetData>
  <sheetProtection sheet="1" objects="1" scenarios="1"/>
  <dataValidations disablePrompts="1" count="1">
    <dataValidation type="list" allowBlank="1" showInputMessage="1" showErrorMessage="1" sqref="B50" xr:uid="{E97CA396-3BF4-4441-B7BF-A8433F33ACCE}">
      <formula1>Asset_Class</formula1>
    </dataValidation>
  </dataValidations>
  <pageMargins left="0.7" right="0.7" top="0.75" bottom="0.75" header="0.3" footer="0.3"/>
  <pageSetup orientation="portrait" r:id="rId1"/>
  <tableParts count="6">
    <tablePart r:id="rId2"/>
    <tablePart r:id="rId3"/>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D9B9-5136-46FF-8D39-0FFC16453045}">
  <sheetPr>
    <tabColor rgb="FFA391F1"/>
  </sheetPr>
  <dimension ref="B1:P157"/>
  <sheetViews>
    <sheetView showGridLines="0" workbookViewId="0">
      <selection activeCell="B1" sqref="B1:E1"/>
    </sheetView>
  </sheetViews>
  <sheetFormatPr defaultColWidth="9.140625" defaultRowHeight="12.75" x14ac:dyDescent="0.2"/>
  <cols>
    <col min="1" max="1" width="5.28515625" style="40" customWidth="1"/>
    <col min="2" max="2" width="17.7109375" style="45" customWidth="1"/>
    <col min="3" max="4" width="15.7109375" style="44" customWidth="1"/>
    <col min="5" max="5" width="16.7109375" style="44" customWidth="1"/>
    <col min="6" max="6" width="9.140625" style="40"/>
    <col min="7" max="7" width="100.42578125" style="40" customWidth="1"/>
    <col min="8" max="8" width="9.140625" style="40"/>
    <col min="9" max="9" width="17.140625" style="40" customWidth="1"/>
    <col min="10" max="10" width="72.42578125" style="40" customWidth="1"/>
    <col min="11" max="16384" width="9.140625" style="40"/>
  </cols>
  <sheetData>
    <row r="1" spans="2:16" ht="57" customHeight="1" thickBot="1" x14ac:dyDescent="0.4">
      <c r="B1" s="358" t="s">
        <v>275</v>
      </c>
      <c r="C1" s="359"/>
      <c r="D1" s="359"/>
      <c r="E1" s="360"/>
      <c r="G1" s="255" t="s">
        <v>276</v>
      </c>
      <c r="H1" s="42"/>
      <c r="I1" s="353" t="s">
        <v>277</v>
      </c>
      <c r="J1" s="354"/>
      <c r="K1" s="42"/>
      <c r="L1" s="42"/>
      <c r="M1" s="42"/>
      <c r="N1" s="42"/>
      <c r="O1" s="42"/>
      <c r="P1" s="42"/>
    </row>
    <row r="2" spans="2:16" ht="15.75" customHeight="1" thickBot="1" x14ac:dyDescent="0.25">
      <c r="G2" s="266" t="s">
        <v>621</v>
      </c>
    </row>
    <row r="3" spans="2:16" ht="24.75" thickBot="1" x14ac:dyDescent="0.25">
      <c r="B3" s="355" t="s">
        <v>634</v>
      </c>
      <c r="C3" s="356"/>
      <c r="D3" s="356"/>
      <c r="E3" s="357"/>
      <c r="G3" s="264" t="s">
        <v>622</v>
      </c>
      <c r="I3" s="46" t="s">
        <v>125</v>
      </c>
      <c r="J3" s="46" t="s">
        <v>4</v>
      </c>
    </row>
    <row r="4" spans="2:16" ht="39.75" thickTop="1" thickBot="1" x14ac:dyDescent="0.25">
      <c r="B4" s="47" t="s">
        <v>522</v>
      </c>
      <c r="C4" s="48" t="s">
        <v>279</v>
      </c>
      <c r="D4" s="48" t="s">
        <v>280</v>
      </c>
      <c r="E4" s="49" t="s">
        <v>281</v>
      </c>
      <c r="F4" s="50"/>
      <c r="G4" s="264" t="s">
        <v>623</v>
      </c>
      <c r="H4" s="43"/>
      <c r="I4" s="46">
        <v>1</v>
      </c>
      <c r="J4" s="51" t="s">
        <v>104</v>
      </c>
      <c r="K4" s="43"/>
      <c r="L4" s="43"/>
      <c r="M4" s="43"/>
      <c r="N4" s="43"/>
      <c r="O4" s="43"/>
      <c r="P4" s="43"/>
    </row>
    <row r="5" spans="2:16" s="50" customFormat="1" ht="13.5" thickTop="1" x14ac:dyDescent="0.2">
      <c r="B5" s="82">
        <v>1.1000000000000001</v>
      </c>
      <c r="C5" s="52"/>
      <c r="D5" s="52" t="str">
        <f>LEFT($C5, 1)</f>
        <v/>
      </c>
      <c r="E5" s="57" t="str">
        <f>D5</f>
        <v/>
      </c>
      <c r="F5" s="40"/>
      <c r="G5" s="259" t="s">
        <v>624</v>
      </c>
      <c r="H5" s="43"/>
      <c r="I5" s="46">
        <v>2</v>
      </c>
      <c r="J5" s="51" t="s">
        <v>105</v>
      </c>
      <c r="K5" s="43"/>
      <c r="L5" s="43"/>
      <c r="M5" s="43"/>
      <c r="N5" s="43"/>
      <c r="O5" s="43"/>
      <c r="P5" s="43"/>
    </row>
    <row r="6" spans="2:16" x14ac:dyDescent="0.2">
      <c r="B6" s="83">
        <v>1.2</v>
      </c>
      <c r="C6" s="54"/>
      <c r="D6" s="54" t="str">
        <f t="shared" ref="D6:D69" si="0">LEFT($C6, 1)</f>
        <v/>
      </c>
      <c r="E6" s="56" t="str">
        <f t="shared" ref="E6:E69" si="1">D6</f>
        <v/>
      </c>
      <c r="G6" s="267" t="s">
        <v>625</v>
      </c>
      <c r="H6" s="43"/>
      <c r="I6" s="46">
        <v>3</v>
      </c>
      <c r="J6" s="51" t="s">
        <v>106</v>
      </c>
      <c r="K6" s="43"/>
      <c r="L6" s="43"/>
      <c r="M6" s="43"/>
      <c r="N6" s="43"/>
      <c r="O6" s="43"/>
      <c r="P6" s="43"/>
    </row>
    <row r="7" spans="2:16" x14ac:dyDescent="0.2">
      <c r="B7" s="82">
        <v>1.3</v>
      </c>
      <c r="C7" s="52"/>
      <c r="D7" s="52" t="str">
        <f t="shared" si="0"/>
        <v/>
      </c>
      <c r="E7" s="57" t="str">
        <f t="shared" si="1"/>
        <v/>
      </c>
      <c r="G7" s="259" t="s">
        <v>650</v>
      </c>
      <c r="H7" s="43"/>
      <c r="I7" s="46">
        <v>4</v>
      </c>
      <c r="J7" s="51" t="s">
        <v>127</v>
      </c>
      <c r="K7" s="43"/>
      <c r="L7" s="43"/>
      <c r="M7" s="43"/>
      <c r="N7" s="43"/>
      <c r="O7" s="43"/>
      <c r="P7" s="43"/>
    </row>
    <row r="8" spans="2:16" x14ac:dyDescent="0.2">
      <c r="B8" s="83">
        <v>1.4</v>
      </c>
      <c r="C8" s="54"/>
      <c r="D8" s="54" t="str">
        <f t="shared" si="0"/>
        <v/>
      </c>
      <c r="E8" s="56" t="str">
        <f t="shared" si="1"/>
        <v/>
      </c>
      <c r="G8" s="259" t="s">
        <v>626</v>
      </c>
      <c r="H8" s="43"/>
      <c r="I8" s="46">
        <v>5</v>
      </c>
      <c r="J8" s="51" t="s">
        <v>128</v>
      </c>
      <c r="K8" s="43"/>
      <c r="L8" s="43"/>
      <c r="M8" s="43"/>
      <c r="N8" s="43"/>
      <c r="O8" s="43"/>
      <c r="P8" s="43"/>
    </row>
    <row r="9" spans="2:16" x14ac:dyDescent="0.2">
      <c r="B9" s="82">
        <v>1.5</v>
      </c>
      <c r="C9" s="52"/>
      <c r="D9" s="52" t="str">
        <f t="shared" si="0"/>
        <v/>
      </c>
      <c r="E9" s="57" t="str">
        <f t="shared" si="1"/>
        <v/>
      </c>
      <c r="G9" s="259" t="s">
        <v>627</v>
      </c>
      <c r="H9" s="43"/>
      <c r="I9" s="43"/>
      <c r="J9" s="43"/>
      <c r="K9" s="43"/>
      <c r="L9" s="43"/>
      <c r="M9" s="43"/>
      <c r="N9" s="43"/>
      <c r="O9" s="43"/>
      <c r="P9" s="43"/>
    </row>
    <row r="10" spans="2:16" x14ac:dyDescent="0.2">
      <c r="B10" s="83">
        <v>2.1</v>
      </c>
      <c r="C10" s="54"/>
      <c r="D10" s="54" t="str">
        <f t="shared" si="0"/>
        <v/>
      </c>
      <c r="E10" s="56" t="str">
        <f t="shared" si="1"/>
        <v/>
      </c>
      <c r="G10" s="259" t="s">
        <v>628</v>
      </c>
      <c r="H10" s="43"/>
      <c r="I10" s="43"/>
      <c r="J10" s="43"/>
      <c r="K10" s="43"/>
      <c r="L10" s="43"/>
      <c r="M10" s="43"/>
      <c r="N10" s="43"/>
      <c r="O10" s="43"/>
      <c r="P10" s="43"/>
    </row>
    <row r="11" spans="2:16" ht="24" x14ac:dyDescent="0.2">
      <c r="B11" s="82">
        <v>2.2000000000000002</v>
      </c>
      <c r="C11" s="52"/>
      <c r="D11" s="52" t="str">
        <f t="shared" si="0"/>
        <v/>
      </c>
      <c r="E11" s="57" t="str">
        <f t="shared" si="1"/>
        <v/>
      </c>
      <c r="G11" s="264" t="s">
        <v>649</v>
      </c>
      <c r="H11" s="43"/>
      <c r="I11" s="43"/>
      <c r="J11" s="43"/>
      <c r="K11" s="43"/>
      <c r="L11" s="43"/>
      <c r="M11" s="43"/>
      <c r="N11" s="43"/>
      <c r="O11" s="43"/>
      <c r="P11" s="43"/>
    </row>
    <row r="12" spans="2:16" x14ac:dyDescent="0.2">
      <c r="B12" s="83">
        <v>2.2999999999999998</v>
      </c>
      <c r="C12" s="54"/>
      <c r="D12" s="54" t="str">
        <f t="shared" si="0"/>
        <v/>
      </c>
      <c r="E12" s="56" t="str">
        <f t="shared" si="1"/>
        <v/>
      </c>
      <c r="G12" s="267" t="s">
        <v>629</v>
      </c>
      <c r="H12" s="43"/>
      <c r="I12" s="43"/>
      <c r="J12" s="43"/>
      <c r="K12" s="43"/>
      <c r="L12" s="43"/>
      <c r="M12" s="43"/>
      <c r="N12" s="43"/>
      <c r="O12" s="43"/>
      <c r="P12" s="43"/>
    </row>
    <row r="13" spans="2:16" x14ac:dyDescent="0.2">
      <c r="B13" s="82">
        <v>2.4</v>
      </c>
      <c r="C13" s="52"/>
      <c r="D13" s="52" t="str">
        <f t="shared" si="0"/>
        <v/>
      </c>
      <c r="E13" s="57" t="str">
        <f t="shared" si="1"/>
        <v/>
      </c>
      <c r="G13" s="267" t="s">
        <v>630</v>
      </c>
      <c r="H13" s="43"/>
      <c r="I13" s="43"/>
      <c r="J13" s="43"/>
      <c r="K13" s="43"/>
      <c r="L13" s="43"/>
      <c r="M13" s="43"/>
      <c r="N13" s="43"/>
      <c r="O13" s="43"/>
      <c r="P13" s="43"/>
    </row>
    <row r="14" spans="2:16" ht="24" x14ac:dyDescent="0.2">
      <c r="B14" s="83">
        <v>2.5</v>
      </c>
      <c r="C14" s="54"/>
      <c r="D14" s="54" t="str">
        <f t="shared" si="0"/>
        <v/>
      </c>
      <c r="E14" s="56" t="str">
        <f t="shared" si="1"/>
        <v/>
      </c>
      <c r="G14" s="268" t="s">
        <v>631</v>
      </c>
      <c r="H14" s="43"/>
      <c r="I14" s="43"/>
      <c r="J14" s="43"/>
      <c r="K14" s="43"/>
      <c r="L14" s="43"/>
      <c r="M14" s="43"/>
      <c r="N14" s="43"/>
      <c r="O14" s="43"/>
      <c r="P14" s="43"/>
    </row>
    <row r="15" spans="2:16" x14ac:dyDescent="0.2">
      <c r="B15" s="82">
        <v>2.6</v>
      </c>
      <c r="C15" s="52"/>
      <c r="D15" s="52" t="str">
        <f t="shared" si="0"/>
        <v/>
      </c>
      <c r="E15" s="57" t="str">
        <f t="shared" si="1"/>
        <v/>
      </c>
      <c r="G15" s="259" t="s">
        <v>632</v>
      </c>
      <c r="H15" s="43"/>
      <c r="I15" s="43"/>
      <c r="J15" s="43"/>
      <c r="K15" s="43"/>
      <c r="L15" s="43"/>
      <c r="M15" s="43"/>
      <c r="N15" s="43"/>
      <c r="O15" s="43"/>
      <c r="P15" s="43"/>
    </row>
    <row r="16" spans="2:16" ht="36.75" thickBot="1" x14ac:dyDescent="0.25">
      <c r="B16" s="83">
        <v>2.7</v>
      </c>
      <c r="C16" s="54"/>
      <c r="D16" s="54" t="str">
        <f t="shared" si="0"/>
        <v/>
      </c>
      <c r="E16" s="56" t="str">
        <f t="shared" si="1"/>
        <v/>
      </c>
      <c r="G16" s="269" t="s">
        <v>633</v>
      </c>
      <c r="H16" s="43"/>
      <c r="I16" s="43"/>
      <c r="J16" s="43"/>
      <c r="K16" s="43"/>
      <c r="L16" s="43"/>
      <c r="M16" s="43"/>
      <c r="N16" s="43"/>
      <c r="O16" s="43"/>
      <c r="P16" s="43"/>
    </row>
    <row r="17" spans="2:16" ht="15" x14ac:dyDescent="0.25">
      <c r="B17" s="82">
        <v>3.1</v>
      </c>
      <c r="C17" s="52"/>
      <c r="D17" s="52" t="str">
        <f t="shared" si="0"/>
        <v/>
      </c>
      <c r="E17" s="57" t="str">
        <f t="shared" si="1"/>
        <v/>
      </c>
      <c r="G17"/>
      <c r="H17" s="43"/>
      <c r="I17" s="43"/>
      <c r="J17" s="43"/>
      <c r="K17" s="43"/>
      <c r="L17" s="43"/>
      <c r="M17" s="43"/>
      <c r="N17" s="43"/>
      <c r="O17" s="43"/>
      <c r="P17" s="43"/>
    </row>
    <row r="18" spans="2:16" ht="15" x14ac:dyDescent="0.25">
      <c r="B18" s="83">
        <v>3.2</v>
      </c>
      <c r="C18" s="54"/>
      <c r="D18" s="54" t="str">
        <f t="shared" si="0"/>
        <v/>
      </c>
      <c r="E18" s="56" t="str">
        <f t="shared" si="1"/>
        <v/>
      </c>
      <c r="G18"/>
      <c r="H18" s="43"/>
      <c r="I18" s="43"/>
      <c r="J18" s="43"/>
      <c r="K18" s="43"/>
      <c r="L18" s="43"/>
      <c r="M18" s="43"/>
      <c r="N18" s="43"/>
      <c r="O18" s="43"/>
      <c r="P18" s="43"/>
    </row>
    <row r="19" spans="2:16" ht="15" x14ac:dyDescent="0.25">
      <c r="B19" s="82">
        <v>3.3</v>
      </c>
      <c r="C19" s="52"/>
      <c r="D19" s="52" t="str">
        <f t="shared" si="0"/>
        <v/>
      </c>
      <c r="E19" s="57" t="str">
        <f t="shared" si="1"/>
        <v/>
      </c>
      <c r="G19" s="253"/>
      <c r="H19" s="43"/>
      <c r="I19" s="43"/>
      <c r="J19" s="43"/>
      <c r="K19" s="43"/>
      <c r="L19" s="43"/>
      <c r="M19" s="43"/>
      <c r="N19" s="43"/>
      <c r="O19" s="43"/>
      <c r="P19" s="43"/>
    </row>
    <row r="20" spans="2:16" ht="14.25" x14ac:dyDescent="0.2">
      <c r="B20" s="83">
        <v>3.4</v>
      </c>
      <c r="C20" s="54"/>
      <c r="D20" s="54" t="str">
        <f t="shared" si="0"/>
        <v/>
      </c>
      <c r="E20" s="56" t="str">
        <f t="shared" si="1"/>
        <v/>
      </c>
      <c r="G20" s="254"/>
      <c r="H20" s="43"/>
      <c r="I20" s="43"/>
      <c r="J20" s="43"/>
      <c r="K20" s="43"/>
      <c r="L20" s="43"/>
      <c r="M20" s="43"/>
      <c r="N20" s="43"/>
      <c r="O20" s="43"/>
      <c r="P20" s="43"/>
    </row>
    <row r="21" spans="2:16" x14ac:dyDescent="0.2">
      <c r="B21" s="82">
        <v>3.5</v>
      </c>
      <c r="C21" s="52"/>
      <c r="D21" s="52" t="str">
        <f t="shared" si="0"/>
        <v/>
      </c>
      <c r="E21" s="57" t="str">
        <f t="shared" si="1"/>
        <v/>
      </c>
      <c r="G21" s="95"/>
      <c r="H21" s="58"/>
      <c r="I21" s="58"/>
      <c r="J21" s="58"/>
      <c r="K21" s="58"/>
      <c r="L21" s="58"/>
      <c r="M21" s="58"/>
      <c r="N21" s="58"/>
      <c r="O21" s="58"/>
      <c r="P21" s="58"/>
    </row>
    <row r="22" spans="2:16" x14ac:dyDescent="0.2">
      <c r="B22" s="83">
        <v>3.6</v>
      </c>
      <c r="C22" s="54"/>
      <c r="D22" s="54" t="str">
        <f t="shared" si="0"/>
        <v/>
      </c>
      <c r="E22" s="56" t="str">
        <f t="shared" si="1"/>
        <v/>
      </c>
      <c r="G22" s="58"/>
      <c r="H22" s="58"/>
      <c r="I22" s="58"/>
      <c r="J22" s="58"/>
      <c r="K22" s="58"/>
      <c r="L22" s="58"/>
      <c r="M22" s="58"/>
      <c r="N22" s="58"/>
      <c r="O22" s="58"/>
      <c r="P22" s="58"/>
    </row>
    <row r="23" spans="2:16" x14ac:dyDescent="0.2">
      <c r="B23" s="82">
        <v>3.7</v>
      </c>
      <c r="C23" s="52"/>
      <c r="D23" s="52" t="str">
        <f t="shared" si="0"/>
        <v/>
      </c>
      <c r="E23" s="57" t="str">
        <f t="shared" si="1"/>
        <v/>
      </c>
      <c r="G23" s="58"/>
      <c r="H23" s="58"/>
      <c r="I23" s="58"/>
      <c r="J23" s="58"/>
      <c r="K23" s="58"/>
      <c r="L23" s="58"/>
      <c r="M23" s="58"/>
      <c r="N23" s="58"/>
      <c r="O23" s="58"/>
      <c r="P23" s="58"/>
    </row>
    <row r="24" spans="2:16" x14ac:dyDescent="0.2">
      <c r="B24" s="83">
        <v>3.8</v>
      </c>
      <c r="C24" s="54"/>
      <c r="D24" s="54" t="str">
        <f t="shared" si="0"/>
        <v/>
      </c>
      <c r="E24" s="56" t="str">
        <f t="shared" si="1"/>
        <v/>
      </c>
      <c r="G24" s="58"/>
      <c r="H24" s="58"/>
      <c r="I24" s="58"/>
      <c r="J24" s="58"/>
      <c r="K24" s="58"/>
      <c r="L24" s="58"/>
      <c r="M24" s="58"/>
      <c r="N24" s="58"/>
      <c r="O24" s="58"/>
      <c r="P24" s="58"/>
    </row>
    <row r="25" spans="2:16" x14ac:dyDescent="0.2">
      <c r="B25" s="82">
        <v>3.9</v>
      </c>
      <c r="C25" s="52"/>
      <c r="D25" s="52" t="str">
        <f t="shared" si="0"/>
        <v/>
      </c>
      <c r="E25" s="57" t="str">
        <f t="shared" si="1"/>
        <v/>
      </c>
      <c r="G25" s="58"/>
      <c r="H25" s="58"/>
      <c r="I25" s="58"/>
      <c r="J25" s="58"/>
      <c r="K25" s="58"/>
      <c r="L25" s="58"/>
      <c r="M25" s="58"/>
      <c r="N25" s="58"/>
      <c r="O25" s="58"/>
      <c r="P25" s="58"/>
    </row>
    <row r="26" spans="2:16" x14ac:dyDescent="0.2">
      <c r="B26" s="83" t="s">
        <v>528</v>
      </c>
      <c r="C26" s="54"/>
      <c r="D26" s="54" t="str">
        <f t="shared" si="0"/>
        <v/>
      </c>
      <c r="E26" s="56" t="str">
        <f t="shared" si="1"/>
        <v/>
      </c>
      <c r="G26" s="58"/>
      <c r="H26" s="58"/>
      <c r="I26" s="58"/>
      <c r="J26" s="58"/>
      <c r="K26" s="58"/>
      <c r="L26" s="58"/>
      <c r="M26" s="58"/>
      <c r="N26" s="58"/>
      <c r="O26" s="58"/>
      <c r="P26" s="58"/>
    </row>
    <row r="27" spans="2:16" x14ac:dyDescent="0.2">
      <c r="B27" s="82">
        <v>3.11</v>
      </c>
      <c r="C27" s="52"/>
      <c r="D27" s="52" t="str">
        <f t="shared" si="0"/>
        <v/>
      </c>
      <c r="E27" s="57" t="str">
        <f t="shared" si="1"/>
        <v/>
      </c>
      <c r="G27" s="58"/>
      <c r="H27" s="58"/>
      <c r="I27" s="58"/>
      <c r="J27" s="58"/>
      <c r="K27" s="58"/>
      <c r="L27" s="58"/>
      <c r="M27" s="58"/>
      <c r="N27" s="58"/>
      <c r="O27" s="58"/>
      <c r="P27" s="58"/>
    </row>
    <row r="28" spans="2:16" x14ac:dyDescent="0.2">
      <c r="B28" s="83">
        <v>3.12</v>
      </c>
      <c r="C28" s="54"/>
      <c r="D28" s="54" t="str">
        <f t="shared" si="0"/>
        <v/>
      </c>
      <c r="E28" s="56" t="str">
        <f t="shared" si="1"/>
        <v/>
      </c>
      <c r="G28" s="58"/>
      <c r="H28" s="58"/>
      <c r="I28" s="58"/>
      <c r="J28" s="58"/>
      <c r="K28" s="58"/>
      <c r="L28" s="58"/>
      <c r="M28" s="58"/>
      <c r="N28" s="58"/>
      <c r="O28" s="58"/>
      <c r="P28" s="58"/>
    </row>
    <row r="29" spans="2:16" x14ac:dyDescent="0.2">
      <c r="B29" s="82">
        <v>3.13</v>
      </c>
      <c r="C29" s="52"/>
      <c r="D29" s="52" t="str">
        <f t="shared" si="0"/>
        <v/>
      </c>
      <c r="E29" s="57" t="str">
        <f t="shared" si="1"/>
        <v/>
      </c>
      <c r="G29" s="58"/>
      <c r="H29" s="58"/>
      <c r="I29" s="58"/>
      <c r="J29" s="58"/>
      <c r="K29" s="58"/>
      <c r="L29" s="58"/>
      <c r="M29" s="58"/>
      <c r="N29" s="58"/>
      <c r="O29" s="58"/>
      <c r="P29" s="58"/>
    </row>
    <row r="30" spans="2:16" x14ac:dyDescent="0.2">
      <c r="B30" s="83">
        <v>3.14</v>
      </c>
      <c r="C30" s="54"/>
      <c r="D30" s="54" t="str">
        <f t="shared" si="0"/>
        <v/>
      </c>
      <c r="E30" s="56" t="str">
        <f t="shared" si="1"/>
        <v/>
      </c>
      <c r="G30" s="58"/>
      <c r="H30" s="58"/>
      <c r="I30" s="58"/>
      <c r="J30" s="58"/>
      <c r="K30" s="58"/>
      <c r="L30" s="58"/>
      <c r="M30" s="58"/>
      <c r="N30" s="58"/>
      <c r="O30" s="58"/>
      <c r="P30" s="58"/>
    </row>
    <row r="31" spans="2:16" x14ac:dyDescent="0.2">
      <c r="B31" s="82">
        <v>4.0999999999999996</v>
      </c>
      <c r="C31" s="52"/>
      <c r="D31" s="52" t="str">
        <f t="shared" si="0"/>
        <v/>
      </c>
      <c r="E31" s="57" t="str">
        <f t="shared" si="1"/>
        <v/>
      </c>
      <c r="G31" s="58"/>
      <c r="H31" s="58"/>
      <c r="I31" s="58"/>
      <c r="J31" s="58"/>
      <c r="K31" s="58"/>
      <c r="L31" s="58"/>
      <c r="M31" s="58"/>
      <c r="N31" s="58"/>
      <c r="O31" s="58"/>
      <c r="P31" s="58"/>
    </row>
    <row r="32" spans="2:16" x14ac:dyDescent="0.2">
      <c r="B32" s="83">
        <v>4.2</v>
      </c>
      <c r="C32" s="54"/>
      <c r="D32" s="54" t="str">
        <f t="shared" si="0"/>
        <v/>
      </c>
      <c r="E32" s="56" t="str">
        <f t="shared" si="1"/>
        <v/>
      </c>
      <c r="G32" s="58"/>
      <c r="H32" s="58"/>
      <c r="I32" s="58"/>
      <c r="J32" s="58"/>
      <c r="K32" s="58"/>
      <c r="L32" s="58"/>
      <c r="M32" s="58"/>
      <c r="N32" s="58"/>
      <c r="O32" s="58"/>
      <c r="P32" s="58"/>
    </row>
    <row r="33" spans="2:16" x14ac:dyDescent="0.2">
      <c r="B33" s="82">
        <v>4.3</v>
      </c>
      <c r="C33" s="52"/>
      <c r="D33" s="52" t="str">
        <f t="shared" si="0"/>
        <v/>
      </c>
      <c r="E33" s="57" t="str">
        <f t="shared" si="1"/>
        <v/>
      </c>
      <c r="G33" s="58"/>
      <c r="H33" s="58"/>
      <c r="I33" s="58"/>
      <c r="J33" s="58"/>
      <c r="K33" s="58"/>
      <c r="L33" s="58"/>
      <c r="M33" s="58"/>
      <c r="N33" s="58"/>
      <c r="O33" s="58"/>
      <c r="P33" s="58"/>
    </row>
    <row r="34" spans="2:16" x14ac:dyDescent="0.2">
      <c r="B34" s="83">
        <v>4.4000000000000004</v>
      </c>
      <c r="C34" s="54"/>
      <c r="D34" s="54" t="str">
        <f t="shared" si="0"/>
        <v/>
      </c>
      <c r="E34" s="56" t="str">
        <f t="shared" si="1"/>
        <v/>
      </c>
      <c r="G34" s="58"/>
      <c r="H34" s="58"/>
      <c r="I34" s="58"/>
      <c r="J34" s="58"/>
      <c r="K34" s="58"/>
      <c r="L34" s="58"/>
      <c r="M34" s="58"/>
      <c r="N34" s="58"/>
      <c r="O34" s="58"/>
      <c r="P34" s="58"/>
    </row>
    <row r="35" spans="2:16" x14ac:dyDescent="0.2">
      <c r="B35" s="82">
        <v>4.5</v>
      </c>
      <c r="C35" s="52"/>
      <c r="D35" s="52" t="str">
        <f t="shared" si="0"/>
        <v/>
      </c>
      <c r="E35" s="57" t="str">
        <f t="shared" si="1"/>
        <v/>
      </c>
      <c r="G35" s="58"/>
      <c r="H35" s="58"/>
      <c r="I35" s="58"/>
      <c r="J35" s="58"/>
      <c r="K35" s="58"/>
      <c r="L35" s="58"/>
      <c r="M35" s="58"/>
      <c r="N35" s="58"/>
      <c r="O35" s="58"/>
      <c r="P35" s="58"/>
    </row>
    <row r="36" spans="2:16" x14ac:dyDescent="0.2">
      <c r="B36" s="83">
        <v>4.5999999999999996</v>
      </c>
      <c r="C36" s="54"/>
      <c r="D36" s="54" t="str">
        <f t="shared" si="0"/>
        <v/>
      </c>
      <c r="E36" s="56" t="str">
        <f t="shared" si="1"/>
        <v/>
      </c>
      <c r="G36" s="58"/>
      <c r="H36" s="58"/>
      <c r="I36" s="58"/>
      <c r="J36" s="58"/>
      <c r="K36" s="58"/>
      <c r="L36" s="58"/>
      <c r="M36" s="58"/>
      <c r="N36" s="58"/>
      <c r="O36" s="58"/>
      <c r="P36" s="58"/>
    </row>
    <row r="37" spans="2:16" x14ac:dyDescent="0.2">
      <c r="B37" s="82">
        <v>4.7</v>
      </c>
      <c r="C37" s="52"/>
      <c r="D37" s="52" t="str">
        <f t="shared" si="0"/>
        <v/>
      </c>
      <c r="E37" s="57" t="str">
        <f t="shared" si="1"/>
        <v/>
      </c>
      <c r="G37" s="58"/>
      <c r="H37" s="58"/>
      <c r="I37" s="58"/>
      <c r="J37" s="58"/>
      <c r="K37" s="58"/>
      <c r="L37" s="58"/>
      <c r="M37" s="58"/>
      <c r="N37" s="58"/>
      <c r="O37" s="58"/>
      <c r="P37" s="58"/>
    </row>
    <row r="38" spans="2:16" x14ac:dyDescent="0.2">
      <c r="B38" s="83">
        <v>4.8</v>
      </c>
      <c r="C38" s="54"/>
      <c r="D38" s="54" t="str">
        <f t="shared" si="0"/>
        <v/>
      </c>
      <c r="E38" s="56" t="str">
        <f t="shared" si="1"/>
        <v/>
      </c>
      <c r="G38" s="58"/>
      <c r="H38" s="58"/>
      <c r="I38" s="58"/>
      <c r="J38" s="58"/>
      <c r="K38" s="58"/>
      <c r="L38" s="58"/>
      <c r="M38" s="58"/>
      <c r="N38" s="58"/>
      <c r="O38" s="58"/>
      <c r="P38" s="58"/>
    </row>
    <row r="39" spans="2:16" x14ac:dyDescent="0.2">
      <c r="B39" s="82">
        <v>4.9000000000000004</v>
      </c>
      <c r="C39" s="52"/>
      <c r="D39" s="52" t="str">
        <f t="shared" si="0"/>
        <v/>
      </c>
      <c r="E39" s="57" t="str">
        <f t="shared" si="1"/>
        <v/>
      </c>
      <c r="G39" s="58"/>
      <c r="H39" s="58"/>
      <c r="I39" s="58"/>
      <c r="J39" s="58"/>
      <c r="K39" s="58"/>
      <c r="L39" s="58"/>
      <c r="M39" s="58"/>
      <c r="N39" s="58"/>
      <c r="O39" s="58"/>
      <c r="P39" s="58"/>
    </row>
    <row r="40" spans="2:16" x14ac:dyDescent="0.2">
      <c r="B40" s="83" t="s">
        <v>527</v>
      </c>
      <c r="C40" s="54"/>
      <c r="D40" s="54" t="str">
        <f t="shared" si="0"/>
        <v/>
      </c>
      <c r="E40" s="56" t="str">
        <f t="shared" si="1"/>
        <v/>
      </c>
      <c r="G40" s="58"/>
      <c r="H40" s="58"/>
      <c r="I40" s="58"/>
      <c r="J40" s="58"/>
      <c r="K40" s="58"/>
      <c r="L40" s="58"/>
      <c r="M40" s="58"/>
      <c r="N40" s="58"/>
      <c r="O40" s="58"/>
      <c r="P40" s="58"/>
    </row>
    <row r="41" spans="2:16" x14ac:dyDescent="0.2">
      <c r="B41" s="82">
        <v>4.1100000000000003</v>
      </c>
      <c r="C41" s="52"/>
      <c r="D41" s="52" t="str">
        <f t="shared" si="0"/>
        <v/>
      </c>
      <c r="E41" s="57" t="str">
        <f t="shared" si="1"/>
        <v/>
      </c>
      <c r="G41" s="58"/>
      <c r="H41" s="58"/>
      <c r="I41" s="58"/>
      <c r="J41" s="58"/>
      <c r="K41" s="58"/>
      <c r="L41" s="58"/>
      <c r="M41" s="58"/>
      <c r="N41" s="58"/>
      <c r="O41" s="58"/>
      <c r="P41" s="58"/>
    </row>
    <row r="42" spans="2:16" x14ac:dyDescent="0.2">
      <c r="B42" s="83">
        <v>4.12</v>
      </c>
      <c r="C42" s="54"/>
      <c r="D42" s="54" t="str">
        <f t="shared" si="0"/>
        <v/>
      </c>
      <c r="E42" s="56" t="str">
        <f t="shared" si="1"/>
        <v/>
      </c>
      <c r="G42" s="58"/>
      <c r="H42" s="58"/>
      <c r="I42" s="58"/>
      <c r="J42" s="58"/>
      <c r="K42" s="58"/>
      <c r="L42" s="58"/>
      <c r="M42" s="58"/>
      <c r="N42" s="58"/>
      <c r="O42" s="58"/>
      <c r="P42" s="58"/>
    </row>
    <row r="43" spans="2:16" x14ac:dyDescent="0.2">
      <c r="B43" s="82">
        <v>5.0999999999999996</v>
      </c>
      <c r="C43" s="52"/>
      <c r="D43" s="52" t="str">
        <f t="shared" si="0"/>
        <v/>
      </c>
      <c r="E43" s="57" t="str">
        <f t="shared" si="1"/>
        <v/>
      </c>
      <c r="G43" s="58"/>
      <c r="H43" s="58"/>
      <c r="I43" s="58"/>
      <c r="J43" s="58"/>
      <c r="K43" s="58"/>
      <c r="L43" s="58"/>
      <c r="M43" s="58"/>
      <c r="N43" s="58"/>
      <c r="O43" s="58"/>
      <c r="P43" s="58"/>
    </row>
    <row r="44" spans="2:16" x14ac:dyDescent="0.2">
      <c r="B44" s="83">
        <v>5.2</v>
      </c>
      <c r="C44" s="54"/>
      <c r="D44" s="54" t="str">
        <f t="shared" si="0"/>
        <v/>
      </c>
      <c r="E44" s="56" t="str">
        <f t="shared" si="1"/>
        <v/>
      </c>
      <c r="G44" s="58"/>
      <c r="H44" s="58"/>
      <c r="I44" s="58"/>
      <c r="J44" s="58"/>
      <c r="K44" s="58"/>
      <c r="L44" s="58"/>
      <c r="M44" s="58"/>
      <c r="N44" s="58"/>
      <c r="O44" s="58"/>
      <c r="P44" s="58"/>
    </row>
    <row r="45" spans="2:16" x14ac:dyDescent="0.2">
      <c r="B45" s="82">
        <v>5.3</v>
      </c>
      <c r="C45" s="52"/>
      <c r="D45" s="52" t="str">
        <f t="shared" si="0"/>
        <v/>
      </c>
      <c r="E45" s="57" t="str">
        <f t="shared" si="1"/>
        <v/>
      </c>
      <c r="G45" s="58"/>
      <c r="H45" s="58"/>
      <c r="I45" s="58"/>
      <c r="J45" s="58"/>
      <c r="K45" s="58"/>
      <c r="L45" s="58"/>
      <c r="M45" s="58"/>
      <c r="N45" s="58"/>
      <c r="O45" s="58"/>
      <c r="P45" s="58"/>
    </row>
    <row r="46" spans="2:16" x14ac:dyDescent="0.2">
      <c r="B46" s="83">
        <v>5.4</v>
      </c>
      <c r="C46" s="54"/>
      <c r="D46" s="54" t="str">
        <f t="shared" si="0"/>
        <v/>
      </c>
      <c r="E46" s="56" t="str">
        <f t="shared" si="1"/>
        <v/>
      </c>
      <c r="G46" s="58"/>
      <c r="H46" s="58"/>
      <c r="I46" s="58"/>
      <c r="J46" s="58"/>
      <c r="K46" s="58"/>
      <c r="L46" s="58"/>
      <c r="M46" s="58"/>
      <c r="N46" s="58"/>
      <c r="O46" s="58"/>
      <c r="P46" s="58"/>
    </row>
    <row r="47" spans="2:16" x14ac:dyDescent="0.2">
      <c r="B47" s="82">
        <v>5.5</v>
      </c>
      <c r="C47" s="52"/>
      <c r="D47" s="52" t="str">
        <f t="shared" si="0"/>
        <v/>
      </c>
      <c r="E47" s="57" t="str">
        <f t="shared" si="1"/>
        <v/>
      </c>
      <c r="G47" s="58"/>
      <c r="H47" s="58"/>
      <c r="I47" s="58"/>
      <c r="J47" s="58"/>
      <c r="K47" s="58"/>
      <c r="L47" s="58"/>
      <c r="M47" s="58"/>
      <c r="N47" s="58"/>
      <c r="O47" s="58"/>
      <c r="P47" s="58"/>
    </row>
    <row r="48" spans="2:16" x14ac:dyDescent="0.2">
      <c r="B48" s="83">
        <v>5.6</v>
      </c>
      <c r="C48" s="54"/>
      <c r="D48" s="54" t="str">
        <f t="shared" si="0"/>
        <v/>
      </c>
      <c r="E48" s="56" t="str">
        <f t="shared" si="1"/>
        <v/>
      </c>
      <c r="G48" s="58"/>
      <c r="H48" s="58"/>
      <c r="I48" s="58"/>
      <c r="J48" s="58"/>
      <c r="K48" s="58"/>
      <c r="L48" s="58"/>
      <c r="M48" s="58"/>
      <c r="N48" s="58"/>
      <c r="O48" s="58"/>
      <c r="P48" s="58"/>
    </row>
    <row r="49" spans="2:16" x14ac:dyDescent="0.2">
      <c r="B49" s="82">
        <v>6.1</v>
      </c>
      <c r="C49" s="52"/>
      <c r="D49" s="52" t="str">
        <f t="shared" si="0"/>
        <v/>
      </c>
      <c r="E49" s="57" t="str">
        <f t="shared" si="1"/>
        <v/>
      </c>
      <c r="G49" s="58"/>
      <c r="H49" s="58"/>
      <c r="I49" s="58"/>
      <c r="J49" s="58"/>
      <c r="K49" s="58"/>
      <c r="L49" s="58"/>
      <c r="M49" s="58"/>
      <c r="N49" s="58"/>
      <c r="O49" s="58"/>
      <c r="P49" s="58"/>
    </row>
    <row r="50" spans="2:16" x14ac:dyDescent="0.2">
      <c r="B50" s="83">
        <v>6.2</v>
      </c>
      <c r="C50" s="54"/>
      <c r="D50" s="54" t="str">
        <f t="shared" si="0"/>
        <v/>
      </c>
      <c r="E50" s="56" t="str">
        <f t="shared" si="1"/>
        <v/>
      </c>
      <c r="G50" s="58"/>
      <c r="H50" s="58"/>
      <c r="I50" s="58"/>
      <c r="J50" s="58"/>
      <c r="K50" s="58"/>
      <c r="L50" s="58"/>
      <c r="M50" s="58"/>
      <c r="N50" s="58"/>
      <c r="O50" s="58"/>
      <c r="P50" s="58"/>
    </row>
    <row r="51" spans="2:16" x14ac:dyDescent="0.2">
      <c r="B51" s="82">
        <v>6.3</v>
      </c>
      <c r="C51" s="52"/>
      <c r="D51" s="52" t="str">
        <f t="shared" si="0"/>
        <v/>
      </c>
      <c r="E51" s="57" t="str">
        <f t="shared" si="1"/>
        <v/>
      </c>
      <c r="H51" s="58"/>
      <c r="I51" s="58"/>
      <c r="J51" s="58"/>
      <c r="K51" s="58"/>
      <c r="L51" s="58"/>
      <c r="M51" s="58"/>
      <c r="N51" s="58"/>
      <c r="O51" s="58"/>
      <c r="P51" s="58"/>
    </row>
    <row r="52" spans="2:16" x14ac:dyDescent="0.2">
      <c r="B52" s="83">
        <v>6.4</v>
      </c>
      <c r="C52" s="54"/>
      <c r="D52" s="54" t="str">
        <f t="shared" si="0"/>
        <v/>
      </c>
      <c r="E52" s="56" t="str">
        <f t="shared" si="1"/>
        <v/>
      </c>
    </row>
    <row r="53" spans="2:16" x14ac:dyDescent="0.2">
      <c r="B53" s="82">
        <v>6.5</v>
      </c>
      <c r="C53" s="52"/>
      <c r="D53" s="52" t="str">
        <f t="shared" si="0"/>
        <v/>
      </c>
      <c r="E53" s="57" t="str">
        <f t="shared" si="1"/>
        <v/>
      </c>
    </row>
    <row r="54" spans="2:16" x14ac:dyDescent="0.2">
      <c r="B54" s="83">
        <v>6.6</v>
      </c>
      <c r="C54" s="54"/>
      <c r="D54" s="54" t="str">
        <f t="shared" si="0"/>
        <v/>
      </c>
      <c r="E54" s="56" t="str">
        <f t="shared" si="1"/>
        <v/>
      </c>
    </row>
    <row r="55" spans="2:16" x14ac:dyDescent="0.2">
      <c r="B55" s="82">
        <v>6.7</v>
      </c>
      <c r="C55" s="52"/>
      <c r="D55" s="52" t="str">
        <f t="shared" si="0"/>
        <v/>
      </c>
      <c r="E55" s="57" t="str">
        <f t="shared" si="1"/>
        <v/>
      </c>
    </row>
    <row r="56" spans="2:16" x14ac:dyDescent="0.2">
      <c r="B56" s="83">
        <v>6.8</v>
      </c>
      <c r="C56" s="54"/>
      <c r="D56" s="54" t="str">
        <f t="shared" si="0"/>
        <v/>
      </c>
      <c r="E56" s="56" t="str">
        <f t="shared" si="1"/>
        <v/>
      </c>
    </row>
    <row r="57" spans="2:16" x14ac:dyDescent="0.2">
      <c r="B57" s="82">
        <v>7.1</v>
      </c>
      <c r="C57" s="52"/>
      <c r="D57" s="52" t="str">
        <f t="shared" si="0"/>
        <v/>
      </c>
      <c r="E57" s="57" t="str">
        <f t="shared" si="1"/>
        <v/>
      </c>
    </row>
    <row r="58" spans="2:16" x14ac:dyDescent="0.2">
      <c r="B58" s="83">
        <v>7.2</v>
      </c>
      <c r="C58" s="54"/>
      <c r="D58" s="54" t="str">
        <f t="shared" si="0"/>
        <v/>
      </c>
      <c r="E58" s="56" t="str">
        <f t="shared" si="1"/>
        <v/>
      </c>
    </row>
    <row r="59" spans="2:16" x14ac:dyDescent="0.2">
      <c r="B59" s="82">
        <v>7.3</v>
      </c>
      <c r="C59" s="52"/>
      <c r="D59" s="52" t="str">
        <f t="shared" si="0"/>
        <v/>
      </c>
      <c r="E59" s="57" t="str">
        <f t="shared" si="1"/>
        <v/>
      </c>
    </row>
    <row r="60" spans="2:16" x14ac:dyDescent="0.2">
      <c r="B60" s="83">
        <v>7.4</v>
      </c>
      <c r="C60" s="54"/>
      <c r="D60" s="54" t="str">
        <f t="shared" si="0"/>
        <v/>
      </c>
      <c r="E60" s="56" t="str">
        <f t="shared" si="1"/>
        <v/>
      </c>
    </row>
    <row r="61" spans="2:16" x14ac:dyDescent="0.2">
      <c r="B61" s="82">
        <v>7.5</v>
      </c>
      <c r="C61" s="52"/>
      <c r="D61" s="52" t="str">
        <f t="shared" si="0"/>
        <v/>
      </c>
      <c r="E61" s="57" t="str">
        <f t="shared" si="1"/>
        <v/>
      </c>
    </row>
    <row r="62" spans="2:16" x14ac:dyDescent="0.2">
      <c r="B62" s="83">
        <v>7.6</v>
      </c>
      <c r="C62" s="54"/>
      <c r="D62" s="54" t="str">
        <f t="shared" si="0"/>
        <v/>
      </c>
      <c r="E62" s="56" t="str">
        <f t="shared" si="1"/>
        <v/>
      </c>
    </row>
    <row r="63" spans="2:16" x14ac:dyDescent="0.2">
      <c r="B63" s="82">
        <v>7.7</v>
      </c>
      <c r="C63" s="52"/>
      <c r="D63" s="52" t="str">
        <f t="shared" si="0"/>
        <v/>
      </c>
      <c r="E63" s="57" t="str">
        <f t="shared" si="1"/>
        <v/>
      </c>
    </row>
    <row r="64" spans="2:16" x14ac:dyDescent="0.2">
      <c r="B64" s="83">
        <v>8.1</v>
      </c>
      <c r="C64" s="54"/>
      <c r="D64" s="54" t="str">
        <f t="shared" si="0"/>
        <v/>
      </c>
      <c r="E64" s="56" t="str">
        <f t="shared" si="1"/>
        <v/>
      </c>
    </row>
    <row r="65" spans="2:5" x14ac:dyDescent="0.2">
      <c r="B65" s="82">
        <v>8.1999999999999993</v>
      </c>
      <c r="C65" s="52"/>
      <c r="D65" s="52" t="str">
        <f t="shared" si="0"/>
        <v/>
      </c>
      <c r="E65" s="57" t="str">
        <f t="shared" si="1"/>
        <v/>
      </c>
    </row>
    <row r="66" spans="2:5" x14ac:dyDescent="0.2">
      <c r="B66" s="83">
        <v>8.3000000000000007</v>
      </c>
      <c r="C66" s="54"/>
      <c r="D66" s="54" t="str">
        <f t="shared" si="0"/>
        <v/>
      </c>
      <c r="E66" s="56" t="str">
        <f t="shared" si="1"/>
        <v/>
      </c>
    </row>
    <row r="67" spans="2:5" x14ac:dyDescent="0.2">
      <c r="B67" s="82">
        <v>8.4</v>
      </c>
      <c r="C67" s="52"/>
      <c r="D67" s="52" t="str">
        <f t="shared" si="0"/>
        <v/>
      </c>
      <c r="E67" s="57" t="str">
        <f t="shared" si="1"/>
        <v/>
      </c>
    </row>
    <row r="68" spans="2:5" x14ac:dyDescent="0.2">
      <c r="B68" s="83">
        <v>8.5</v>
      </c>
      <c r="C68" s="54"/>
      <c r="D68" s="54" t="str">
        <f t="shared" si="0"/>
        <v/>
      </c>
      <c r="E68" s="56" t="str">
        <f t="shared" si="1"/>
        <v/>
      </c>
    </row>
    <row r="69" spans="2:5" x14ac:dyDescent="0.2">
      <c r="B69" s="82">
        <v>8.6</v>
      </c>
      <c r="C69" s="52"/>
      <c r="D69" s="52" t="str">
        <f t="shared" si="0"/>
        <v/>
      </c>
      <c r="E69" s="57" t="str">
        <f t="shared" si="1"/>
        <v/>
      </c>
    </row>
    <row r="70" spans="2:5" x14ac:dyDescent="0.2">
      <c r="B70" s="83">
        <v>8.6999999999999993</v>
      </c>
      <c r="C70" s="54"/>
      <c r="D70" s="54" t="str">
        <f t="shared" ref="D70:D133" si="2">LEFT($C70, 1)</f>
        <v/>
      </c>
      <c r="E70" s="56" t="str">
        <f t="shared" ref="E70:E133" si="3">D70</f>
        <v/>
      </c>
    </row>
    <row r="71" spans="2:5" x14ac:dyDescent="0.2">
      <c r="B71" s="82">
        <v>8.8000000000000007</v>
      </c>
      <c r="C71" s="52"/>
      <c r="D71" s="52" t="str">
        <f t="shared" si="2"/>
        <v/>
      </c>
      <c r="E71" s="57" t="str">
        <f t="shared" si="3"/>
        <v/>
      </c>
    </row>
    <row r="72" spans="2:5" x14ac:dyDescent="0.2">
      <c r="B72" s="83">
        <v>8.9</v>
      </c>
      <c r="C72" s="54"/>
      <c r="D72" s="54" t="str">
        <f t="shared" si="2"/>
        <v/>
      </c>
      <c r="E72" s="56" t="str">
        <f t="shared" si="3"/>
        <v/>
      </c>
    </row>
    <row r="73" spans="2:5" x14ac:dyDescent="0.2">
      <c r="B73" s="82" t="s">
        <v>530</v>
      </c>
      <c r="C73" s="52"/>
      <c r="D73" s="52" t="str">
        <f t="shared" si="2"/>
        <v/>
      </c>
      <c r="E73" s="57" t="str">
        <f t="shared" si="3"/>
        <v/>
      </c>
    </row>
    <row r="74" spans="2:5" x14ac:dyDescent="0.2">
      <c r="B74" s="83">
        <v>8.11</v>
      </c>
      <c r="C74" s="54"/>
      <c r="D74" s="54" t="str">
        <f t="shared" si="2"/>
        <v/>
      </c>
      <c r="E74" s="56" t="str">
        <f t="shared" si="3"/>
        <v/>
      </c>
    </row>
    <row r="75" spans="2:5" x14ac:dyDescent="0.2">
      <c r="B75" s="82">
        <v>8.1199999999999992</v>
      </c>
      <c r="C75" s="52"/>
      <c r="D75" s="52" t="str">
        <f t="shared" si="2"/>
        <v/>
      </c>
      <c r="E75" s="57" t="str">
        <f t="shared" si="3"/>
        <v/>
      </c>
    </row>
    <row r="76" spans="2:5" x14ac:dyDescent="0.2">
      <c r="B76" s="83">
        <v>9.1</v>
      </c>
      <c r="C76" s="54"/>
      <c r="D76" s="54" t="str">
        <f t="shared" si="2"/>
        <v/>
      </c>
      <c r="E76" s="56" t="str">
        <f t="shared" si="3"/>
        <v/>
      </c>
    </row>
    <row r="77" spans="2:5" x14ac:dyDescent="0.2">
      <c r="B77" s="82">
        <v>9.1999999999999993</v>
      </c>
      <c r="C77" s="52"/>
      <c r="D77" s="52" t="str">
        <f t="shared" si="2"/>
        <v/>
      </c>
      <c r="E77" s="57" t="str">
        <f t="shared" si="3"/>
        <v/>
      </c>
    </row>
    <row r="78" spans="2:5" x14ac:dyDescent="0.2">
      <c r="B78" s="83">
        <v>9.3000000000000007</v>
      </c>
      <c r="C78" s="54"/>
      <c r="D78" s="54" t="str">
        <f t="shared" si="2"/>
        <v/>
      </c>
      <c r="E78" s="56" t="str">
        <f t="shared" si="3"/>
        <v/>
      </c>
    </row>
    <row r="79" spans="2:5" x14ac:dyDescent="0.2">
      <c r="B79" s="82">
        <v>9.4</v>
      </c>
      <c r="C79" s="52"/>
      <c r="D79" s="52" t="str">
        <f t="shared" si="2"/>
        <v/>
      </c>
      <c r="E79" s="57" t="str">
        <f t="shared" si="3"/>
        <v/>
      </c>
    </row>
    <row r="80" spans="2:5" x14ac:dyDescent="0.2">
      <c r="B80" s="83">
        <v>9.5</v>
      </c>
      <c r="C80" s="54"/>
      <c r="D80" s="54" t="str">
        <f t="shared" si="2"/>
        <v/>
      </c>
      <c r="E80" s="56" t="str">
        <f t="shared" si="3"/>
        <v/>
      </c>
    </row>
    <row r="81" spans="2:5" x14ac:dyDescent="0.2">
      <c r="B81" s="82">
        <v>9.6</v>
      </c>
      <c r="C81" s="52"/>
      <c r="D81" s="52" t="str">
        <f t="shared" si="2"/>
        <v/>
      </c>
      <c r="E81" s="57" t="str">
        <f t="shared" si="3"/>
        <v/>
      </c>
    </row>
    <row r="82" spans="2:5" x14ac:dyDescent="0.2">
      <c r="B82" s="83">
        <v>9.6999999999999993</v>
      </c>
      <c r="C82" s="54"/>
      <c r="D82" s="54" t="str">
        <f t="shared" si="2"/>
        <v/>
      </c>
      <c r="E82" s="56" t="str">
        <f t="shared" si="3"/>
        <v/>
      </c>
    </row>
    <row r="83" spans="2:5" x14ac:dyDescent="0.2">
      <c r="B83" s="82">
        <v>10.1</v>
      </c>
      <c r="C83" s="52"/>
      <c r="D83" s="52" t="str">
        <f t="shared" si="2"/>
        <v/>
      </c>
      <c r="E83" s="57" t="str">
        <f t="shared" si="3"/>
        <v/>
      </c>
    </row>
    <row r="84" spans="2:5" x14ac:dyDescent="0.2">
      <c r="B84" s="83">
        <v>10.199999999999999</v>
      </c>
      <c r="C84" s="54"/>
      <c r="D84" s="54" t="str">
        <f t="shared" si="2"/>
        <v/>
      </c>
      <c r="E84" s="56" t="str">
        <f t="shared" si="3"/>
        <v/>
      </c>
    </row>
    <row r="85" spans="2:5" x14ac:dyDescent="0.2">
      <c r="B85" s="82">
        <v>10.3</v>
      </c>
      <c r="C85" s="52"/>
      <c r="D85" s="52" t="str">
        <f t="shared" si="2"/>
        <v/>
      </c>
      <c r="E85" s="57" t="str">
        <f t="shared" si="3"/>
        <v/>
      </c>
    </row>
    <row r="86" spans="2:5" x14ac:dyDescent="0.2">
      <c r="B86" s="83">
        <v>10.4</v>
      </c>
      <c r="C86" s="54"/>
      <c r="D86" s="54" t="str">
        <f t="shared" si="2"/>
        <v/>
      </c>
      <c r="E86" s="56" t="str">
        <f t="shared" si="3"/>
        <v/>
      </c>
    </row>
    <row r="87" spans="2:5" x14ac:dyDescent="0.2">
      <c r="B87" s="82">
        <v>10.5</v>
      </c>
      <c r="C87" s="52"/>
      <c r="D87" s="52" t="str">
        <f t="shared" si="2"/>
        <v/>
      </c>
      <c r="E87" s="57" t="str">
        <f t="shared" si="3"/>
        <v/>
      </c>
    </row>
    <row r="88" spans="2:5" x14ac:dyDescent="0.2">
      <c r="B88" s="83">
        <v>10.6</v>
      </c>
      <c r="C88" s="54"/>
      <c r="D88" s="54" t="str">
        <f t="shared" si="2"/>
        <v/>
      </c>
      <c r="E88" s="56" t="str">
        <f t="shared" si="3"/>
        <v/>
      </c>
    </row>
    <row r="89" spans="2:5" x14ac:dyDescent="0.2">
      <c r="B89" s="82">
        <v>10.7</v>
      </c>
      <c r="C89" s="52"/>
      <c r="D89" s="52" t="str">
        <f t="shared" si="2"/>
        <v/>
      </c>
      <c r="E89" s="57" t="str">
        <f t="shared" si="3"/>
        <v/>
      </c>
    </row>
    <row r="90" spans="2:5" x14ac:dyDescent="0.2">
      <c r="B90" s="83">
        <v>11.1</v>
      </c>
      <c r="C90" s="54"/>
      <c r="D90" s="54" t="str">
        <f t="shared" si="2"/>
        <v/>
      </c>
      <c r="E90" s="56" t="str">
        <f t="shared" si="3"/>
        <v/>
      </c>
    </row>
    <row r="91" spans="2:5" x14ac:dyDescent="0.2">
      <c r="B91" s="82">
        <v>11.2</v>
      </c>
      <c r="C91" s="52"/>
      <c r="D91" s="52" t="str">
        <f t="shared" si="2"/>
        <v/>
      </c>
      <c r="E91" s="57" t="str">
        <f t="shared" si="3"/>
        <v/>
      </c>
    </row>
    <row r="92" spans="2:5" x14ac:dyDescent="0.2">
      <c r="B92" s="83">
        <v>11.3</v>
      </c>
      <c r="C92" s="54"/>
      <c r="D92" s="54" t="str">
        <f t="shared" si="2"/>
        <v/>
      </c>
      <c r="E92" s="56" t="str">
        <f t="shared" si="3"/>
        <v/>
      </c>
    </row>
    <row r="93" spans="2:5" x14ac:dyDescent="0.2">
      <c r="B93" s="82">
        <v>11.4</v>
      </c>
      <c r="C93" s="52"/>
      <c r="D93" s="52" t="str">
        <f t="shared" si="2"/>
        <v/>
      </c>
      <c r="E93" s="57" t="str">
        <f t="shared" si="3"/>
        <v/>
      </c>
    </row>
    <row r="94" spans="2:5" x14ac:dyDescent="0.2">
      <c r="B94" s="83">
        <v>11.5</v>
      </c>
      <c r="C94" s="54"/>
      <c r="D94" s="54" t="str">
        <f t="shared" si="2"/>
        <v/>
      </c>
      <c r="E94" s="56" t="str">
        <f t="shared" si="3"/>
        <v/>
      </c>
    </row>
    <row r="95" spans="2:5" x14ac:dyDescent="0.2">
      <c r="B95" s="82">
        <v>12.1</v>
      </c>
      <c r="C95" s="52"/>
      <c r="D95" s="52" t="str">
        <f t="shared" si="2"/>
        <v/>
      </c>
      <c r="E95" s="57" t="str">
        <f t="shared" si="3"/>
        <v/>
      </c>
    </row>
    <row r="96" spans="2:5" x14ac:dyDescent="0.2">
      <c r="B96" s="83">
        <v>12.2</v>
      </c>
      <c r="C96" s="54"/>
      <c r="D96" s="54" t="str">
        <f t="shared" si="2"/>
        <v/>
      </c>
      <c r="E96" s="56" t="str">
        <f t="shared" si="3"/>
        <v/>
      </c>
    </row>
    <row r="97" spans="2:5" x14ac:dyDescent="0.2">
      <c r="B97" s="82">
        <v>12.3</v>
      </c>
      <c r="C97" s="52"/>
      <c r="D97" s="52" t="str">
        <f t="shared" si="2"/>
        <v/>
      </c>
      <c r="E97" s="57" t="str">
        <f t="shared" si="3"/>
        <v/>
      </c>
    </row>
    <row r="98" spans="2:5" x14ac:dyDescent="0.2">
      <c r="B98" s="83">
        <v>12.4</v>
      </c>
      <c r="C98" s="54"/>
      <c r="D98" s="54" t="str">
        <f t="shared" si="2"/>
        <v/>
      </c>
      <c r="E98" s="56" t="str">
        <f t="shared" si="3"/>
        <v/>
      </c>
    </row>
    <row r="99" spans="2:5" x14ac:dyDescent="0.2">
      <c r="B99" s="82">
        <v>12.5</v>
      </c>
      <c r="C99" s="52"/>
      <c r="D99" s="52" t="str">
        <f t="shared" si="2"/>
        <v/>
      </c>
      <c r="E99" s="57" t="str">
        <f t="shared" si="3"/>
        <v/>
      </c>
    </row>
    <row r="100" spans="2:5" x14ac:dyDescent="0.2">
      <c r="B100" s="83">
        <v>12.6</v>
      </c>
      <c r="C100" s="54"/>
      <c r="D100" s="54" t="str">
        <f t="shared" si="2"/>
        <v/>
      </c>
      <c r="E100" s="56" t="str">
        <f t="shared" si="3"/>
        <v/>
      </c>
    </row>
    <row r="101" spans="2:5" x14ac:dyDescent="0.2">
      <c r="B101" s="82">
        <v>12.7</v>
      </c>
      <c r="C101" s="52"/>
      <c r="D101" s="52" t="str">
        <f t="shared" si="2"/>
        <v/>
      </c>
      <c r="E101" s="57" t="str">
        <f t="shared" si="3"/>
        <v/>
      </c>
    </row>
    <row r="102" spans="2:5" x14ac:dyDescent="0.2">
      <c r="B102" s="83">
        <v>12.8</v>
      </c>
      <c r="C102" s="54"/>
      <c r="D102" s="54" t="str">
        <f t="shared" si="2"/>
        <v/>
      </c>
      <c r="E102" s="56" t="str">
        <f t="shared" si="3"/>
        <v/>
      </c>
    </row>
    <row r="103" spans="2:5" x14ac:dyDescent="0.2">
      <c r="B103" s="82">
        <v>13.1</v>
      </c>
      <c r="C103" s="52"/>
      <c r="D103" s="52" t="str">
        <f t="shared" si="2"/>
        <v/>
      </c>
      <c r="E103" s="57" t="str">
        <f t="shared" si="3"/>
        <v/>
      </c>
    </row>
    <row r="104" spans="2:5" x14ac:dyDescent="0.2">
      <c r="B104" s="83">
        <v>13.2</v>
      </c>
      <c r="C104" s="54"/>
      <c r="D104" s="54" t="str">
        <f t="shared" si="2"/>
        <v/>
      </c>
      <c r="E104" s="56" t="str">
        <f t="shared" si="3"/>
        <v/>
      </c>
    </row>
    <row r="105" spans="2:5" x14ac:dyDescent="0.2">
      <c r="B105" s="82">
        <v>13.3</v>
      </c>
      <c r="C105" s="52"/>
      <c r="D105" s="52" t="str">
        <f t="shared" si="2"/>
        <v/>
      </c>
      <c r="E105" s="57" t="str">
        <f t="shared" si="3"/>
        <v/>
      </c>
    </row>
    <row r="106" spans="2:5" x14ac:dyDescent="0.2">
      <c r="B106" s="83">
        <v>13.4</v>
      </c>
      <c r="C106" s="54"/>
      <c r="D106" s="54" t="str">
        <f t="shared" si="2"/>
        <v/>
      </c>
      <c r="E106" s="56" t="str">
        <f t="shared" si="3"/>
        <v/>
      </c>
    </row>
    <row r="107" spans="2:5" x14ac:dyDescent="0.2">
      <c r="B107" s="82">
        <v>13.5</v>
      </c>
      <c r="C107" s="52"/>
      <c r="D107" s="52" t="str">
        <f t="shared" si="2"/>
        <v/>
      </c>
      <c r="E107" s="57" t="str">
        <f t="shared" si="3"/>
        <v/>
      </c>
    </row>
    <row r="108" spans="2:5" x14ac:dyDescent="0.2">
      <c r="B108" s="83">
        <v>13.6</v>
      </c>
      <c r="C108" s="54"/>
      <c r="D108" s="54" t="str">
        <f t="shared" si="2"/>
        <v/>
      </c>
      <c r="E108" s="56" t="str">
        <f t="shared" si="3"/>
        <v/>
      </c>
    </row>
    <row r="109" spans="2:5" x14ac:dyDescent="0.2">
      <c r="B109" s="82">
        <v>13.7</v>
      </c>
      <c r="C109" s="52"/>
      <c r="D109" s="52" t="str">
        <f t="shared" si="2"/>
        <v/>
      </c>
      <c r="E109" s="57" t="str">
        <f t="shared" si="3"/>
        <v/>
      </c>
    </row>
    <row r="110" spans="2:5" x14ac:dyDescent="0.2">
      <c r="B110" s="83">
        <v>13.8</v>
      </c>
      <c r="C110" s="54"/>
      <c r="D110" s="54" t="str">
        <f t="shared" si="2"/>
        <v/>
      </c>
      <c r="E110" s="56" t="str">
        <f t="shared" si="3"/>
        <v/>
      </c>
    </row>
    <row r="111" spans="2:5" x14ac:dyDescent="0.2">
      <c r="B111" s="82">
        <v>13.9</v>
      </c>
      <c r="C111" s="52"/>
      <c r="D111" s="52" t="str">
        <f t="shared" si="2"/>
        <v/>
      </c>
      <c r="E111" s="57" t="str">
        <f t="shared" si="3"/>
        <v/>
      </c>
    </row>
    <row r="112" spans="2:5" x14ac:dyDescent="0.2">
      <c r="B112" s="83" t="s">
        <v>534</v>
      </c>
      <c r="C112" s="54"/>
      <c r="D112" s="54" t="str">
        <f t="shared" si="2"/>
        <v/>
      </c>
      <c r="E112" s="56" t="str">
        <f t="shared" si="3"/>
        <v/>
      </c>
    </row>
    <row r="113" spans="2:5" x14ac:dyDescent="0.2">
      <c r="B113" s="82">
        <v>13.11</v>
      </c>
      <c r="C113" s="52"/>
      <c r="D113" s="52" t="str">
        <f t="shared" si="2"/>
        <v/>
      </c>
      <c r="E113" s="57" t="str">
        <f t="shared" si="3"/>
        <v/>
      </c>
    </row>
    <row r="114" spans="2:5" x14ac:dyDescent="0.2">
      <c r="B114" s="83">
        <v>14.1</v>
      </c>
      <c r="C114" s="54"/>
      <c r="D114" s="54" t="str">
        <f t="shared" si="2"/>
        <v/>
      </c>
      <c r="E114" s="56" t="str">
        <f t="shared" si="3"/>
        <v/>
      </c>
    </row>
    <row r="115" spans="2:5" x14ac:dyDescent="0.2">
      <c r="B115" s="82">
        <v>14.2</v>
      </c>
      <c r="C115" s="52"/>
      <c r="D115" s="52" t="str">
        <f t="shared" si="2"/>
        <v/>
      </c>
      <c r="E115" s="57" t="str">
        <f t="shared" si="3"/>
        <v/>
      </c>
    </row>
    <row r="116" spans="2:5" x14ac:dyDescent="0.2">
      <c r="B116" s="83">
        <v>14.3</v>
      </c>
      <c r="C116" s="54"/>
      <c r="D116" s="54" t="str">
        <f t="shared" si="2"/>
        <v/>
      </c>
      <c r="E116" s="56" t="str">
        <f t="shared" si="3"/>
        <v/>
      </c>
    </row>
    <row r="117" spans="2:5" x14ac:dyDescent="0.2">
      <c r="B117" s="82">
        <v>14.4</v>
      </c>
      <c r="C117" s="52"/>
      <c r="D117" s="52" t="str">
        <f t="shared" si="2"/>
        <v/>
      </c>
      <c r="E117" s="57" t="str">
        <f t="shared" si="3"/>
        <v/>
      </c>
    </row>
    <row r="118" spans="2:5" x14ac:dyDescent="0.2">
      <c r="B118" s="83">
        <v>14.5</v>
      </c>
      <c r="C118" s="54"/>
      <c r="D118" s="54" t="str">
        <f t="shared" si="2"/>
        <v/>
      </c>
      <c r="E118" s="56" t="str">
        <f t="shared" si="3"/>
        <v/>
      </c>
    </row>
    <row r="119" spans="2:5" x14ac:dyDescent="0.2">
      <c r="B119" s="82">
        <v>14.6</v>
      </c>
      <c r="C119" s="52"/>
      <c r="D119" s="52" t="str">
        <f t="shared" si="2"/>
        <v/>
      </c>
      <c r="E119" s="57" t="str">
        <f t="shared" si="3"/>
        <v/>
      </c>
    </row>
    <row r="120" spans="2:5" x14ac:dyDescent="0.2">
      <c r="B120" s="83">
        <v>14.7</v>
      </c>
      <c r="C120" s="54"/>
      <c r="D120" s="54" t="str">
        <f t="shared" si="2"/>
        <v/>
      </c>
      <c r="E120" s="56" t="str">
        <f t="shared" si="3"/>
        <v/>
      </c>
    </row>
    <row r="121" spans="2:5" x14ac:dyDescent="0.2">
      <c r="B121" s="82">
        <v>14.8</v>
      </c>
      <c r="C121" s="52"/>
      <c r="D121" s="52" t="str">
        <f t="shared" si="2"/>
        <v/>
      </c>
      <c r="E121" s="57" t="str">
        <f t="shared" si="3"/>
        <v/>
      </c>
    </row>
    <row r="122" spans="2:5" x14ac:dyDescent="0.2">
      <c r="B122" s="83">
        <v>14.9</v>
      </c>
      <c r="C122" s="54"/>
      <c r="D122" s="54" t="str">
        <f t="shared" si="2"/>
        <v/>
      </c>
      <c r="E122" s="56" t="str">
        <f t="shared" si="3"/>
        <v/>
      </c>
    </row>
    <row r="123" spans="2:5" x14ac:dyDescent="0.2">
      <c r="B123" s="82">
        <v>15.1</v>
      </c>
      <c r="C123" s="52"/>
      <c r="D123" s="52" t="str">
        <f t="shared" si="2"/>
        <v/>
      </c>
      <c r="E123" s="57" t="str">
        <f t="shared" si="3"/>
        <v/>
      </c>
    </row>
    <row r="124" spans="2:5" x14ac:dyDescent="0.2">
      <c r="B124" s="83">
        <v>15.2</v>
      </c>
      <c r="C124" s="54"/>
      <c r="D124" s="54" t="str">
        <f t="shared" si="2"/>
        <v/>
      </c>
      <c r="E124" s="56" t="str">
        <f t="shared" si="3"/>
        <v/>
      </c>
    </row>
    <row r="125" spans="2:5" x14ac:dyDescent="0.2">
      <c r="B125" s="82">
        <v>15.3</v>
      </c>
      <c r="C125" s="52"/>
      <c r="D125" s="52" t="str">
        <f t="shared" si="2"/>
        <v/>
      </c>
      <c r="E125" s="57" t="str">
        <f t="shared" si="3"/>
        <v/>
      </c>
    </row>
    <row r="126" spans="2:5" x14ac:dyDescent="0.2">
      <c r="B126" s="83">
        <v>15.4</v>
      </c>
      <c r="C126" s="54"/>
      <c r="D126" s="54" t="str">
        <f t="shared" si="2"/>
        <v/>
      </c>
      <c r="E126" s="56" t="str">
        <f t="shared" si="3"/>
        <v/>
      </c>
    </row>
    <row r="127" spans="2:5" x14ac:dyDescent="0.2">
      <c r="B127" s="82">
        <v>15.5</v>
      </c>
      <c r="C127" s="52"/>
      <c r="D127" s="52" t="str">
        <f t="shared" si="2"/>
        <v/>
      </c>
      <c r="E127" s="57" t="str">
        <f t="shared" si="3"/>
        <v/>
      </c>
    </row>
    <row r="128" spans="2:5" x14ac:dyDescent="0.2">
      <c r="B128" s="83">
        <v>15.6</v>
      </c>
      <c r="C128" s="54"/>
      <c r="D128" s="54" t="str">
        <f t="shared" si="2"/>
        <v/>
      </c>
      <c r="E128" s="56" t="str">
        <f t="shared" si="3"/>
        <v/>
      </c>
    </row>
    <row r="129" spans="2:5" x14ac:dyDescent="0.2">
      <c r="B129" s="82">
        <v>15.7</v>
      </c>
      <c r="C129" s="52"/>
      <c r="D129" s="52" t="str">
        <f t="shared" si="2"/>
        <v/>
      </c>
      <c r="E129" s="57" t="str">
        <f t="shared" si="3"/>
        <v/>
      </c>
    </row>
    <row r="130" spans="2:5" x14ac:dyDescent="0.2">
      <c r="B130" s="83">
        <v>16.100000000000001</v>
      </c>
      <c r="C130" s="54"/>
      <c r="D130" s="54" t="str">
        <f t="shared" si="2"/>
        <v/>
      </c>
      <c r="E130" s="56" t="str">
        <f t="shared" si="3"/>
        <v/>
      </c>
    </row>
    <row r="131" spans="2:5" x14ac:dyDescent="0.2">
      <c r="B131" s="82">
        <v>16.2</v>
      </c>
      <c r="C131" s="52"/>
      <c r="D131" s="52" t="str">
        <f t="shared" si="2"/>
        <v/>
      </c>
      <c r="E131" s="57" t="str">
        <f t="shared" si="3"/>
        <v/>
      </c>
    </row>
    <row r="132" spans="2:5" x14ac:dyDescent="0.2">
      <c r="B132" s="83">
        <v>16.3</v>
      </c>
      <c r="C132" s="54"/>
      <c r="D132" s="54" t="str">
        <f t="shared" si="2"/>
        <v/>
      </c>
      <c r="E132" s="56" t="str">
        <f t="shared" si="3"/>
        <v/>
      </c>
    </row>
    <row r="133" spans="2:5" x14ac:dyDescent="0.2">
      <c r="B133" s="82">
        <v>16.399999999999999</v>
      </c>
      <c r="C133" s="52"/>
      <c r="D133" s="52" t="str">
        <f t="shared" si="2"/>
        <v/>
      </c>
      <c r="E133" s="57" t="str">
        <f t="shared" si="3"/>
        <v/>
      </c>
    </row>
    <row r="134" spans="2:5" x14ac:dyDescent="0.2">
      <c r="B134" s="240">
        <v>16.5</v>
      </c>
      <c r="C134" s="241"/>
      <c r="D134" s="241" t="str">
        <f t="shared" ref="D134" si="4">LEFT($C134, 1)</f>
        <v/>
      </c>
      <c r="E134" s="242" t="str">
        <f t="shared" ref="E134:E157" si="5">D134</f>
        <v/>
      </c>
    </row>
    <row r="135" spans="2:5" x14ac:dyDescent="0.2">
      <c r="B135" s="243">
        <v>16.600000000000001</v>
      </c>
      <c r="C135" s="181"/>
      <c r="D135" s="181" t="str">
        <f>LEFT($C135, 1)</f>
        <v/>
      </c>
      <c r="E135" s="182" t="str">
        <f t="shared" si="5"/>
        <v/>
      </c>
    </row>
    <row r="136" spans="2:5" x14ac:dyDescent="0.2">
      <c r="B136" s="83">
        <v>16.7</v>
      </c>
      <c r="C136" s="54"/>
      <c r="D136" s="54" t="str">
        <f t="shared" ref="D136:D157" si="6">LEFT($C136, 1)</f>
        <v/>
      </c>
      <c r="E136" s="56" t="str">
        <f t="shared" si="5"/>
        <v/>
      </c>
    </row>
    <row r="137" spans="2:5" x14ac:dyDescent="0.2">
      <c r="B137" s="82">
        <v>16.8</v>
      </c>
      <c r="C137" s="52"/>
      <c r="D137" s="52" t="str">
        <f t="shared" si="6"/>
        <v/>
      </c>
      <c r="E137" s="57" t="str">
        <f t="shared" si="5"/>
        <v/>
      </c>
    </row>
    <row r="138" spans="2:5" x14ac:dyDescent="0.2">
      <c r="B138" s="83">
        <v>16.899999999999999</v>
      </c>
      <c r="C138" s="54"/>
      <c r="D138" s="54" t="str">
        <f t="shared" si="6"/>
        <v/>
      </c>
      <c r="E138" s="56" t="str">
        <f t="shared" si="5"/>
        <v/>
      </c>
    </row>
    <row r="139" spans="2:5" x14ac:dyDescent="0.2">
      <c r="B139" s="82" t="s">
        <v>460</v>
      </c>
      <c r="C139" s="52"/>
      <c r="D139" s="52" t="str">
        <f t="shared" si="6"/>
        <v/>
      </c>
      <c r="E139" s="57" t="str">
        <f t="shared" si="5"/>
        <v/>
      </c>
    </row>
    <row r="140" spans="2:5" x14ac:dyDescent="0.2">
      <c r="B140" s="83">
        <v>16.11</v>
      </c>
      <c r="C140" s="54"/>
      <c r="D140" s="54" t="str">
        <f t="shared" si="6"/>
        <v/>
      </c>
      <c r="E140" s="56" t="str">
        <f t="shared" si="5"/>
        <v/>
      </c>
    </row>
    <row r="141" spans="2:5" x14ac:dyDescent="0.2">
      <c r="B141" s="82">
        <v>16.12</v>
      </c>
      <c r="C141" s="52"/>
      <c r="D141" s="52" t="str">
        <f t="shared" si="6"/>
        <v/>
      </c>
      <c r="E141" s="57" t="str">
        <f t="shared" si="5"/>
        <v/>
      </c>
    </row>
    <row r="142" spans="2:5" x14ac:dyDescent="0.2">
      <c r="B142" s="83">
        <v>16.13</v>
      </c>
      <c r="C142" s="54"/>
      <c r="D142" s="54" t="str">
        <f t="shared" si="6"/>
        <v/>
      </c>
      <c r="E142" s="56" t="str">
        <f t="shared" si="5"/>
        <v/>
      </c>
    </row>
    <row r="143" spans="2:5" x14ac:dyDescent="0.2">
      <c r="B143" s="82">
        <v>16.14</v>
      </c>
      <c r="C143" s="52"/>
      <c r="D143" s="52" t="str">
        <f t="shared" si="6"/>
        <v/>
      </c>
      <c r="E143" s="57" t="str">
        <f t="shared" si="5"/>
        <v/>
      </c>
    </row>
    <row r="144" spans="2:5" x14ac:dyDescent="0.2">
      <c r="B144" s="83">
        <v>17.100000000000001</v>
      </c>
      <c r="C144" s="54"/>
      <c r="D144" s="54" t="str">
        <f t="shared" si="6"/>
        <v/>
      </c>
      <c r="E144" s="56" t="str">
        <f t="shared" si="5"/>
        <v/>
      </c>
    </row>
    <row r="145" spans="2:5" x14ac:dyDescent="0.2">
      <c r="B145" s="82">
        <v>17.2</v>
      </c>
      <c r="C145" s="52"/>
      <c r="D145" s="52" t="str">
        <f t="shared" si="6"/>
        <v/>
      </c>
      <c r="E145" s="57" t="str">
        <f t="shared" si="5"/>
        <v/>
      </c>
    </row>
    <row r="146" spans="2:5" x14ac:dyDescent="0.2">
      <c r="B146" s="83">
        <v>17.3</v>
      </c>
      <c r="C146" s="54"/>
      <c r="D146" s="54" t="str">
        <f t="shared" si="6"/>
        <v/>
      </c>
      <c r="E146" s="56" t="str">
        <f t="shared" si="5"/>
        <v/>
      </c>
    </row>
    <row r="147" spans="2:5" x14ac:dyDescent="0.2">
      <c r="B147" s="82">
        <v>17.399999999999999</v>
      </c>
      <c r="C147" s="52"/>
      <c r="D147" s="52" t="str">
        <f t="shared" si="6"/>
        <v/>
      </c>
      <c r="E147" s="57" t="str">
        <f t="shared" si="5"/>
        <v/>
      </c>
    </row>
    <row r="148" spans="2:5" x14ac:dyDescent="0.2">
      <c r="B148" s="83">
        <v>17.5</v>
      </c>
      <c r="C148" s="54"/>
      <c r="D148" s="54" t="str">
        <f t="shared" si="6"/>
        <v/>
      </c>
      <c r="E148" s="56" t="str">
        <f t="shared" si="5"/>
        <v/>
      </c>
    </row>
    <row r="149" spans="2:5" x14ac:dyDescent="0.2">
      <c r="B149" s="82">
        <v>17.600000000000001</v>
      </c>
      <c r="C149" s="52"/>
      <c r="D149" s="52" t="str">
        <f t="shared" si="6"/>
        <v/>
      </c>
      <c r="E149" s="57" t="str">
        <f t="shared" si="5"/>
        <v/>
      </c>
    </row>
    <row r="150" spans="2:5" x14ac:dyDescent="0.2">
      <c r="B150" s="83">
        <v>17.7</v>
      </c>
      <c r="C150" s="54"/>
      <c r="D150" s="54" t="str">
        <f t="shared" si="6"/>
        <v/>
      </c>
      <c r="E150" s="56" t="str">
        <f t="shared" si="5"/>
        <v/>
      </c>
    </row>
    <row r="151" spans="2:5" x14ac:dyDescent="0.2">
      <c r="B151" s="82">
        <v>17.8</v>
      </c>
      <c r="C151" s="52"/>
      <c r="D151" s="52" t="str">
        <f t="shared" si="6"/>
        <v/>
      </c>
      <c r="E151" s="57" t="str">
        <f t="shared" si="5"/>
        <v/>
      </c>
    </row>
    <row r="152" spans="2:5" x14ac:dyDescent="0.2">
      <c r="B152" s="83">
        <v>17.899999999999999</v>
      </c>
      <c r="C152" s="54"/>
      <c r="D152" s="54" t="str">
        <f t="shared" si="6"/>
        <v/>
      </c>
      <c r="E152" s="56" t="str">
        <f t="shared" si="5"/>
        <v/>
      </c>
    </row>
    <row r="153" spans="2:5" x14ac:dyDescent="0.2">
      <c r="B153" s="82">
        <v>18.100000000000001</v>
      </c>
      <c r="C153" s="52"/>
      <c r="D153" s="52" t="str">
        <f t="shared" si="6"/>
        <v/>
      </c>
      <c r="E153" s="57" t="str">
        <f t="shared" si="5"/>
        <v/>
      </c>
    </row>
    <row r="154" spans="2:5" x14ac:dyDescent="0.2">
      <c r="B154" s="83">
        <v>18.2</v>
      </c>
      <c r="C154" s="54"/>
      <c r="D154" s="54" t="str">
        <f t="shared" si="6"/>
        <v/>
      </c>
      <c r="E154" s="56" t="str">
        <f t="shared" si="5"/>
        <v/>
      </c>
    </row>
    <row r="155" spans="2:5" x14ac:dyDescent="0.2">
      <c r="B155" s="82">
        <v>18.3</v>
      </c>
      <c r="C155" s="52"/>
      <c r="D155" s="52" t="str">
        <f t="shared" si="6"/>
        <v/>
      </c>
      <c r="E155" s="57" t="str">
        <f t="shared" si="5"/>
        <v/>
      </c>
    </row>
    <row r="156" spans="2:5" x14ac:dyDescent="0.2">
      <c r="B156" s="83">
        <v>18.399999999999999</v>
      </c>
      <c r="C156" s="54"/>
      <c r="D156" s="54" t="str">
        <f t="shared" si="6"/>
        <v/>
      </c>
      <c r="E156" s="56" t="str">
        <f t="shared" si="5"/>
        <v/>
      </c>
    </row>
    <row r="157" spans="2:5" ht="13.5" thickBot="1" x14ac:dyDescent="0.25">
      <c r="B157" s="238">
        <v>18.5</v>
      </c>
      <c r="C157" s="239"/>
      <c r="D157" s="239" t="str">
        <f t="shared" si="6"/>
        <v/>
      </c>
      <c r="E157" s="59" t="str">
        <f t="shared" si="5"/>
        <v/>
      </c>
    </row>
  </sheetData>
  <sheetProtection sheet="1" objects="1" scenarios="1"/>
  <mergeCells count="3">
    <mergeCell ref="I1:J1"/>
    <mergeCell ref="B3:E3"/>
    <mergeCell ref="B1:E1"/>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z K K x 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M y i s 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o r F S K I p H u A 4 A A A A R A A A A E w A c A E Z v c m 1 1 b G F z L 1 N l Y 3 R p b 2 4 x L m 0 g o h g A K K A U A A A A A A A A A A A A A A A A A A A A A A A A A A A A K 0 5 N L s n M z 1 M I h t C G 1 g B Q S w E C L Q A U A A I A C A D M o r F S j Q a H k K I A A A D 1 A A A A E g A A A A A A A A A A A A A A A A A A A A A A Q 2 9 u Z m l n L 1 B h Y 2 t h Z 2 U u e G 1 s U E s B A i 0 A F A A C A A g A z K K x U g / K 6 a u k A A A A 6 Q A A A B M A A A A A A A A A A A A A A A A A 7 g A A A F t D b 2 5 0 Z W 5 0 X 1 R 5 c G V z X S 5 4 b W x Q S w E C L Q A U A A I A C A D M o r F 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Z 8 g c q M 9 X E i p l U O 3 7 R 9 g x Q A A A A A C A A A A A A A D Z g A A w A A A A B A A A A A H i 9 w m O f Z 6 L f 7 X L g 6 v L 5 + F A A A A A A S A A A C g A A A A E A A A A F J v l B D T z 5 P Z 8 D j w b h P o B A 9 Q A A A A I o g J A Q V 3 1 3 Z t 6 / 7 T c e N P k L M h r + J M R Q w h x s L Z y k 6 g a d g 4 N n K Q a d l T j R 5 P Q V A 9 P v C 2 W F j + 2 J 7 I I Z q O 4 L H T 7 K f 9 6 W p X m + 8 H c Q g W 8 m v 7 4 D U + j P 4 U A A A A D 4 F M V z y z W 5 R h F e 4 I Y L G W N g X z 0 f 0 = < / D a t a M a s h u p > 
</file>

<file path=customXml/itemProps1.xml><?xml version="1.0" encoding="utf-8"?>
<ds:datastoreItem xmlns:ds="http://schemas.openxmlformats.org/officeDocument/2006/customXml" ds:itemID="{76807C70-5236-41F0-9881-3A6C1B85CF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20</vt:i4>
      </vt:variant>
    </vt:vector>
  </HeadingPairs>
  <TitlesOfParts>
    <vt:vector size="35" baseType="lpstr">
      <vt:lpstr>Cover</vt:lpstr>
      <vt:lpstr>Read_Me</vt:lpstr>
      <vt:lpstr>CIS Controls Resources</vt:lpstr>
      <vt:lpstr>1. Impact Criteria Survey </vt:lpstr>
      <vt:lpstr>2. Enterprise Parameters</vt:lpstr>
      <vt:lpstr>3 Risk Register Controls v8</vt:lpstr>
      <vt:lpstr>Legend</vt:lpstr>
      <vt:lpstr>Lookup Tables</vt:lpstr>
      <vt:lpstr>CIS CSAT Pro</vt:lpstr>
      <vt:lpstr>CIS-Hosted CSAT</vt:lpstr>
      <vt:lpstr>Impact Criteria Survey-EXAMPLE</vt:lpstr>
      <vt:lpstr>Enterprise Parameters-EXAMPLE</vt:lpstr>
      <vt:lpstr>Risk Register Controls v8-EX</vt:lpstr>
      <vt:lpstr>CIS CSAT Pro - EXAMPLE</vt:lpstr>
      <vt:lpstr>CIS-Hosted CSAT - EXAMPLE</vt:lpstr>
      <vt:lpstr>'CIS CSAT Pro'!_ftn1</vt:lpstr>
      <vt:lpstr>'CIS CSAT Pro'!_ftnref1</vt:lpstr>
      <vt:lpstr>'CIS CSAT Pro'!_Hlk82606169</vt:lpstr>
      <vt:lpstr>AcceptableRisk</vt:lpstr>
      <vt:lpstr>AcceptableRisk1</vt:lpstr>
      <vt:lpstr>Read_Me!Asset_Classes</vt:lpstr>
      <vt:lpstr>'Risk Register Controls v8-EX'!Asset_Classes</vt:lpstr>
      <vt:lpstr>Asset_Classes</vt:lpstr>
      <vt:lpstr>'3 Risk Register Controls v8'!Industry</vt:lpstr>
      <vt:lpstr>'Enterprise Parameters-EXAMPLE'!Industry</vt:lpstr>
      <vt:lpstr>'Impact Criteria Survey-EXAMPLE'!Industry</vt:lpstr>
      <vt:lpstr>Read_Me!Industry</vt:lpstr>
      <vt:lpstr>'Risk Register Controls v8-EX'!Industry</vt:lpstr>
      <vt:lpstr>Industry</vt:lpstr>
      <vt:lpstr>'3 Risk Register Controls v8'!Maturity_Score</vt:lpstr>
      <vt:lpstr>'Enterprise Parameters-EXAMPLE'!Maturity_Score</vt:lpstr>
      <vt:lpstr>'Impact Criteria Survey-EXAMPLE'!Maturity_Score</vt:lpstr>
      <vt:lpstr>Read_Me!Maturity_Score</vt:lpstr>
      <vt:lpstr>'Risk Register Controls v8-EX'!Maturity_Score</vt:lpstr>
      <vt:lpstr>Maturity_Score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Regnier</dc:creator>
  <cp:lastModifiedBy>Robin Regnier</cp:lastModifiedBy>
  <cp:lastPrinted>2022-03-29T20:18:47Z</cp:lastPrinted>
  <dcterms:created xsi:type="dcterms:W3CDTF">2019-10-25T13:04:24Z</dcterms:created>
  <dcterms:modified xsi:type="dcterms:W3CDTF">2022-05-23T13:34:28Z</dcterms:modified>
</cp:coreProperties>
</file>