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jakta\SIM\SIMBLs\Excelsior\Business Capstone\VSS\Assets\Content\Storyboards\Module 1\"/>
    </mc:Choice>
  </mc:AlternateContent>
  <bookViews>
    <workbookView xWindow="0" yWindow="0" windowWidth="20340" windowHeight="7680"/>
  </bookViews>
  <sheets>
    <sheet name="BalanceSheet" sheetId="1" r:id="rId1"/>
    <sheet name="Income Statement" sheetId="2" r:id="rId2"/>
    <sheet name="CashFlow" sheetId="3" r:id="rId3"/>
    <sheet name="salaries" sheetId="4" r:id="rId4"/>
  </sheets>
  <definedNames>
    <definedName name="valuevx" localSheetId="2">CashFlow!$B$7:$C$7</definedName>
    <definedName name="valuevx" localSheetId="1">'Income Statement'!$A$4:$B$4</definedName>
  </definedNames>
  <calcPr calcId="152511"/>
</workbook>
</file>

<file path=xl/calcChain.xml><?xml version="1.0" encoding="utf-8"?>
<calcChain xmlns="http://schemas.openxmlformats.org/spreadsheetml/2006/main">
  <c r="B16" i="4" l="1"/>
  <c r="D41" i="3"/>
  <c r="F34" i="3"/>
  <c r="E34" i="3"/>
  <c r="D34" i="3"/>
  <c r="D23" i="3"/>
  <c r="C30" i="2"/>
  <c r="C28" i="2"/>
  <c r="C27" i="2"/>
  <c r="C26" i="2"/>
  <c r="D26" i="2" s="1"/>
  <c r="C23" i="2"/>
  <c r="D12" i="3" s="1"/>
  <c r="E20" i="2"/>
  <c r="E23" i="2" s="1"/>
  <c r="D20" i="2"/>
  <c r="D23" i="2" s="1"/>
  <c r="C20" i="2"/>
  <c r="C16" i="2"/>
  <c r="C8" i="2"/>
  <c r="D20" i="3" s="1"/>
  <c r="D26" i="3" s="1"/>
  <c r="C5" i="2"/>
  <c r="C6" i="2" s="1"/>
  <c r="E6" i="2" s="1"/>
  <c r="D6" i="2" s="1"/>
  <c r="D41" i="1"/>
  <c r="F38" i="1"/>
  <c r="F41" i="1" s="1"/>
  <c r="E38" i="1"/>
  <c r="C32" i="2" s="1"/>
  <c r="D35" i="3" s="1"/>
  <c r="F30" i="1"/>
  <c r="E30" i="1" s="1"/>
  <c r="D26" i="1"/>
  <c r="F24" i="1"/>
  <c r="E24" i="1"/>
  <c r="D18" i="1"/>
  <c r="E18" i="1" s="1"/>
  <c r="F17" i="1"/>
  <c r="E30" i="2" s="1"/>
  <c r="E17" i="1"/>
  <c r="D30" i="2" s="1"/>
  <c r="F16" i="1"/>
  <c r="E16" i="1"/>
  <c r="D16" i="1"/>
  <c r="F10" i="1"/>
  <c r="E10" i="1"/>
  <c r="F9" i="1"/>
  <c r="E16" i="2" s="1"/>
  <c r="D13" i="2" s="1"/>
  <c r="F7" i="1"/>
  <c r="E7" i="1"/>
  <c r="G6" i="1"/>
  <c r="F12" i="3" l="1"/>
  <c r="E26" i="2"/>
  <c r="F18" i="1"/>
  <c r="E20" i="1"/>
  <c r="E12" i="3"/>
  <c r="D37" i="3"/>
  <c r="D32" i="2"/>
  <c r="E9" i="1"/>
  <c r="D16" i="2" s="1"/>
  <c r="C13" i="2" s="1"/>
  <c r="E41" i="1"/>
  <c r="E5" i="2"/>
  <c r="C14" i="2"/>
  <c r="D10" i="3" s="1"/>
  <c r="E23" i="3"/>
  <c r="C31" i="2"/>
  <c r="C34" i="2" s="1"/>
  <c r="D8" i="3"/>
  <c r="F20" i="1"/>
  <c r="C10" i="2"/>
  <c r="D11" i="3" l="1"/>
  <c r="C36" i="2"/>
  <c r="F8" i="3"/>
  <c r="E31" i="2"/>
  <c r="E34" i="2" s="1"/>
  <c r="D5" i="2"/>
  <c r="E14" i="2"/>
  <c r="E35" i="3"/>
  <c r="E37" i="3" s="1"/>
  <c r="E32" i="2"/>
  <c r="F35" i="3" s="1"/>
  <c r="F37" i="3" s="1"/>
  <c r="C15" i="2"/>
  <c r="C17" i="2" s="1"/>
  <c r="C38" i="2" s="1"/>
  <c r="F11" i="3" l="1"/>
  <c r="E36" i="2"/>
  <c r="C39" i="2"/>
  <c r="D13" i="3" s="1"/>
  <c r="D14" i="3" s="1"/>
  <c r="D39" i="3" s="1"/>
  <c r="D5" i="3" s="1"/>
  <c r="E41" i="3" s="1"/>
  <c r="C40" i="2"/>
  <c r="D32" i="1" s="1"/>
  <c r="E15" i="2"/>
  <c r="E17" i="2" s="1"/>
  <c r="F10" i="3"/>
  <c r="D14" i="2"/>
  <c r="E8" i="3"/>
  <c r="D31" i="2"/>
  <c r="D34" i="2" s="1"/>
  <c r="E10" i="3" l="1"/>
  <c r="D15" i="2"/>
  <c r="D17" i="2" s="1"/>
  <c r="E6" i="1"/>
  <c r="E11" i="3"/>
  <c r="D36" i="2"/>
  <c r="F32" i="1"/>
  <c r="D36" i="1"/>
  <c r="D44" i="1" l="1"/>
  <c r="D46" i="1" s="1"/>
  <c r="D48" i="1" s="1"/>
  <c r="D49" i="1" s="1"/>
  <c r="E32" i="1"/>
  <c r="E36" i="1" s="1"/>
  <c r="F36" i="1"/>
  <c r="D8" i="2"/>
  <c r="E12" i="1"/>
  <c r="E26" i="1" s="1"/>
  <c r="E44" i="1" l="1"/>
  <c r="E46" i="1" s="1"/>
  <c r="E48" i="1"/>
  <c r="E49" i="1" s="1"/>
  <c r="E20" i="3"/>
  <c r="E26" i="3" s="1"/>
  <c r="D10" i="2"/>
  <c r="D38" i="2" s="1"/>
  <c r="D40" i="2" l="1"/>
  <c r="D39" i="2"/>
  <c r="E13" i="3" s="1"/>
  <c r="E14" i="3" s="1"/>
  <c r="E39" i="3" s="1"/>
  <c r="E5" i="3" s="1"/>
  <c r="F41" i="3" s="1"/>
  <c r="F6" i="1" l="1"/>
  <c r="F12" i="1" l="1"/>
  <c r="F26" i="1" s="1"/>
  <c r="E8" i="2"/>
  <c r="F20" i="3" l="1"/>
  <c r="F26" i="3" s="1"/>
  <c r="E10" i="2"/>
  <c r="E38" i="2" s="1"/>
  <c r="F44" i="1"/>
  <c r="F46" i="1" s="1"/>
  <c r="F48" i="1" s="1"/>
  <c r="F49" i="1" s="1"/>
  <c r="E39" i="2" l="1"/>
  <c r="F13" i="3" s="1"/>
  <c r="F14" i="3" s="1"/>
  <c r="F39" i="3" s="1"/>
  <c r="F5" i="3" s="1"/>
  <c r="E40" i="2" l="1"/>
</calcChain>
</file>

<file path=xl/sharedStrings.xml><?xml version="1.0" encoding="utf-8"?>
<sst xmlns="http://schemas.openxmlformats.org/spreadsheetml/2006/main" count="141" uniqueCount="127">
  <si>
    <t>Restaurant Supplies Unlimited</t>
  </si>
  <si>
    <t>CEO</t>
  </si>
  <si>
    <t>Income Statement</t>
  </si>
  <si>
    <t>Balance Sheet</t>
  </si>
  <si>
    <t>For the Year Ending</t>
  </si>
  <si>
    <t xml:space="preserve"> Dec 31, 2014</t>
  </si>
  <si>
    <t xml:space="preserve"> Dec 31, 2013</t>
  </si>
  <si>
    <t xml:space="preserve"> Dec 31, 2012</t>
  </si>
  <si>
    <t>Revenue</t>
  </si>
  <si>
    <t>Assets</t>
  </si>
  <si>
    <t>CFO</t>
  </si>
  <si>
    <t>acctg 1</t>
  </si>
  <si>
    <t>acctg 2</t>
  </si>
  <si>
    <t>acctg 3</t>
  </si>
  <si>
    <t>acctg 4</t>
  </si>
  <si>
    <t>Secretary 1</t>
  </si>
  <si>
    <t>Customer Service/Purchasing 1</t>
  </si>
  <si>
    <t>Customer Service/Purchasing 2</t>
  </si>
  <si>
    <t>Customer Service/Purchasing 3</t>
  </si>
  <si>
    <t>Customer Service/Purchasing 4</t>
  </si>
  <si>
    <t>IT 1</t>
  </si>
  <si>
    <t>IT 2</t>
  </si>
  <si>
    <t>Marketing/Sales</t>
  </si>
  <si>
    <t>Current Assets</t>
  </si>
  <si>
    <t>Cash Flow Statement</t>
  </si>
  <si>
    <t>Cash</t>
  </si>
  <si>
    <t>Cash at Beginning of Year</t>
  </si>
  <si>
    <t>Smaller organization with less overhead, less equipment, no significant inventory and no sales people.</t>
  </si>
  <si>
    <t>Accounts receivable</t>
  </si>
  <si>
    <t xml:space="preserve">     (Less allowance for doubtful accounts)</t>
  </si>
  <si>
    <t>Inventory</t>
  </si>
  <si>
    <t>Sales revenue</t>
  </si>
  <si>
    <t>Operations</t>
  </si>
  <si>
    <t>Prepaid expenses</t>
  </si>
  <si>
    <t>Short-term investments</t>
  </si>
  <si>
    <t>Net Cash receipts from customers</t>
  </si>
  <si>
    <t>(Less sales returns and allowances)</t>
  </si>
  <si>
    <t>Total current assets</t>
  </si>
  <si>
    <t>Service revenue</t>
  </si>
  <si>
    <t>Interest revenue</t>
  </si>
  <si>
    <t>Cash paid for</t>
  </si>
  <si>
    <t>Inventory purchases</t>
  </si>
  <si>
    <t>Other revenue</t>
  </si>
  <si>
    <t>Total Revenues</t>
  </si>
  <si>
    <t>Fixed (Long-Term) Assets</t>
  </si>
  <si>
    <t>Long-term investments</t>
  </si>
  <si>
    <t>Building and land</t>
  </si>
  <si>
    <t xml:space="preserve">     (Less accumulated depreciation)</t>
  </si>
  <si>
    <t>General operating and administrative expenses</t>
  </si>
  <si>
    <t>Equipment and other property</t>
  </si>
  <si>
    <t>Cost of Goods Sold</t>
  </si>
  <si>
    <t>Selling expenses</t>
  </si>
  <si>
    <t>Inventory, Jan 1</t>
  </si>
  <si>
    <t>Income taxes</t>
  </si>
  <si>
    <t>Intangible assets</t>
  </si>
  <si>
    <t>Total fixed assets</t>
  </si>
  <si>
    <t>Purchases</t>
  </si>
  <si>
    <t>Cost of goods available for sale</t>
  </si>
  <si>
    <t>Other Assets</t>
  </si>
  <si>
    <t>Deferred income tax</t>
  </si>
  <si>
    <t>Other</t>
  </si>
  <si>
    <t>Total Other Assets</t>
  </si>
  <si>
    <t>Net Cash Flow from Operations</t>
  </si>
  <si>
    <t>Total Assets</t>
  </si>
  <si>
    <t>Deduct inventory, Dec 31</t>
  </si>
  <si>
    <t>Total Cost of Goods Sold</t>
  </si>
  <si>
    <t>[42]</t>
  </si>
  <si>
    <t>Selling Expenses</t>
  </si>
  <si>
    <t>Sales salaries expense (1 marketing person)</t>
  </si>
  <si>
    <t>Investing Activities</t>
  </si>
  <si>
    <t>Advertising expense</t>
  </si>
  <si>
    <t>Traveling expense</t>
  </si>
  <si>
    <t>Total Selling Expenses</t>
  </si>
  <si>
    <t>Cash receipts from</t>
  </si>
  <si>
    <t>Administrative Expenses</t>
  </si>
  <si>
    <t>Salaries, office and general (20 employees)</t>
  </si>
  <si>
    <t>Sale of property and equipment</t>
  </si>
  <si>
    <t>Collection of principal on loans</t>
  </si>
  <si>
    <t>Interest on investments/savings</t>
  </si>
  <si>
    <t>Liabilities and Owner's Equity</t>
  </si>
  <si>
    <t>Telecommunications expense</t>
  </si>
  <si>
    <t>Sale of investment securities</t>
  </si>
  <si>
    <t>Rent expense</t>
  </si>
  <si>
    <t>Current Liabilities</t>
  </si>
  <si>
    <t>Purchase of property and equipment</t>
  </si>
  <si>
    <t>Accounts payable</t>
  </si>
  <si>
    <t>Property tax expense</t>
  </si>
  <si>
    <t>Depreciation expense - furniture and equipment</t>
  </si>
  <si>
    <t>Making loans to other entities</t>
  </si>
  <si>
    <t>Short-term loans</t>
  </si>
  <si>
    <t>Purchase of investment securities</t>
  </si>
  <si>
    <t>Income taxes payable</t>
  </si>
  <si>
    <t>Net Cash Flow from Investing Activities</t>
  </si>
  <si>
    <t>Accrued salaries and wages</t>
  </si>
  <si>
    <t>Unearned revenue</t>
  </si>
  <si>
    <t>Current portion of long-term debt</t>
  </si>
  <si>
    <t>Total current liabilities</t>
  </si>
  <si>
    <t>Financing Activities</t>
  </si>
  <si>
    <t>Long-Term Liabilities</t>
  </si>
  <si>
    <t>Bad debts expense</t>
  </si>
  <si>
    <t>Issuance of stock</t>
  </si>
  <si>
    <t>Borrowing</t>
  </si>
  <si>
    <t>Repurchase of stock (treasury stock)</t>
  </si>
  <si>
    <t>Long-term debt</t>
  </si>
  <si>
    <t>Repayment of loans</t>
  </si>
  <si>
    <t>Interest expense</t>
  </si>
  <si>
    <t>Total long-term liabilities</t>
  </si>
  <si>
    <t>Payment of interest</t>
  </si>
  <si>
    <t>Equity</t>
  </si>
  <si>
    <t>Stock and Additional Paid in Capital</t>
  </si>
  <si>
    <t>Retained earnings</t>
  </si>
  <si>
    <t>Insurance expense</t>
  </si>
  <si>
    <t>Total Administrative Expenses</t>
  </si>
  <si>
    <t>Dividends</t>
  </si>
  <si>
    <t>Net Cash Flow from Financing Activities</t>
  </si>
  <si>
    <t>Total owner's equity</t>
  </si>
  <si>
    <t>Total Liabilities and Owner's Equity</t>
  </si>
  <si>
    <t>Net Increase (Decrease) in Cash</t>
  </si>
  <si>
    <t>Total Selling and Administrative Expenses</t>
  </si>
  <si>
    <t>Cash at End of Year</t>
  </si>
  <si>
    <t>Income from operations</t>
  </si>
  <si>
    <t>Income tax expense</t>
  </si>
  <si>
    <t>Net income</t>
  </si>
  <si>
    <t>{42}</t>
  </si>
  <si>
    <t>1,442,741</t>
  </si>
  <si>
    <t>283,533</t>
  </si>
  <si>
    <t>17,029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</si>
</sst>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&quot;$&quot;#,##0"/>
    <numFmt numFmtId="166" formatCode="#,##0;\(#,##0\)"/>
    <numFmt numFmtId="167" formatCode="_(* #,##0_);_(* \(#,##0\);_(* &quot;-&quot;??_);_(@_)"/>
  </numFmts>
  <fonts count="21" x14ac:knownFonts="1">
    <font>
      <sz val="10"/>
      <color rgb="FF000000"/>
      <name val="Arial"/>
    </font>
    <font>
      <sz val="10"/>
      <name val="Arial"/>
    </font>
    <font>
      <b/>
      <sz val="16"/>
      <color rgb="FF000000"/>
      <name val="Arial"/>
    </font>
    <font>
      <b/>
      <sz val="20"/>
      <color rgb="FF3B4E87"/>
      <name val="Arial"/>
    </font>
    <font>
      <sz val="10"/>
      <color rgb="FF00FF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0"/>
      <name val="Arial"/>
    </font>
    <font>
      <b/>
      <i/>
      <sz val="10"/>
      <color rgb="FF000000"/>
      <name val="Arial"/>
    </font>
    <font>
      <b/>
      <sz val="16"/>
      <color rgb="FF3B4E87"/>
      <name val="Arial"/>
    </font>
    <font>
      <b/>
      <sz val="10"/>
      <name val="Arial"/>
    </font>
    <font>
      <b/>
      <sz val="12"/>
      <color rgb="FFFFFFFF"/>
      <name val="Arial"/>
    </font>
    <font>
      <i/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2"/>
      <color rgb="FF000000"/>
      <name val="Arial"/>
    </font>
    <font>
      <b/>
      <sz val="10"/>
      <color rgb="FF00FF00"/>
      <name val="Arial"/>
    </font>
    <font>
      <sz val="6"/>
      <color rgb="FFFFFFFF"/>
      <name val="Arial"/>
    </font>
    <font>
      <sz val="10"/>
      <color rgb="FFFFFFFF"/>
      <name val="Arial"/>
    </font>
    <font>
      <sz val="8"/>
      <color rgb="FF666666"/>
      <name val="Arial"/>
    </font>
    <font>
      <sz val="11"/>
      <color rgb="FF4285F4"/>
      <name val="Arial"/>
    </font>
  </fonts>
  <fills count="6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E4E8F3"/>
        <bgColor rgb="FFE4E8F3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0" fontId="6" fillId="2" borderId="0" xfId="0" applyFont="1" applyFill="1" applyBorder="1"/>
    <xf numFmtId="166" fontId="0" fillId="3" borderId="0" xfId="0" applyNumberFormat="1" applyFont="1" applyFill="1" applyBorder="1"/>
    <xf numFmtId="166" fontId="0" fillId="0" borderId="0" xfId="0" applyNumberFormat="1" applyFont="1"/>
    <xf numFmtId="0" fontId="0" fillId="0" borderId="2" xfId="0" applyFont="1" applyBorder="1" applyAlignment="1">
      <alignment horizontal="right"/>
    </xf>
    <xf numFmtId="165" fontId="10" fillId="0" borderId="1" xfId="0" applyNumberFormat="1" applyFont="1" applyBorder="1"/>
    <xf numFmtId="166" fontId="0" fillId="0" borderId="3" xfId="0" applyNumberFormat="1" applyFont="1" applyBorder="1"/>
    <xf numFmtId="0" fontId="6" fillId="2" borderId="4" xfId="0" applyFont="1" applyFill="1" applyBorder="1"/>
    <xf numFmtId="0" fontId="1" fillId="0" borderId="5" xfId="0" applyFont="1" applyBorder="1"/>
    <xf numFmtId="166" fontId="0" fillId="0" borderId="4" xfId="0" applyNumberFormat="1" applyFont="1" applyBorder="1"/>
    <xf numFmtId="0" fontId="11" fillId="2" borderId="4" xfId="0" applyFont="1" applyFill="1" applyBorder="1"/>
    <xf numFmtId="3" fontId="7" fillId="0" borderId="0" xfId="0" applyNumberFormat="1" applyFont="1"/>
    <xf numFmtId="1" fontId="7" fillId="0" borderId="0" xfId="0" applyNumberFormat="1" applyFont="1"/>
    <xf numFmtId="166" fontId="0" fillId="4" borderId="0" xfId="0" applyNumberFormat="1" applyFont="1" applyFill="1" applyBorder="1"/>
    <xf numFmtId="166" fontId="0" fillId="4" borderId="5" xfId="0" applyNumberFormat="1" applyFont="1" applyFill="1" applyBorder="1"/>
    <xf numFmtId="0" fontId="0" fillId="0" borderId="2" xfId="0" applyFont="1" applyBorder="1"/>
    <xf numFmtId="166" fontId="13" fillId="4" borderId="5" xfId="0" applyNumberFormat="1" applyFont="1" applyFill="1" applyBorder="1"/>
    <xf numFmtId="0" fontId="4" fillId="0" borderId="0" xfId="0" applyFont="1" applyAlignment="1">
      <alignment horizontal="right"/>
    </xf>
    <xf numFmtId="1" fontId="1" fillId="0" borderId="0" xfId="0" applyNumberFormat="1" applyFont="1"/>
    <xf numFmtId="0" fontId="14" fillId="0" borderId="2" xfId="0" applyFont="1" applyBorder="1"/>
    <xf numFmtId="166" fontId="14" fillId="0" borderId="3" xfId="0" applyNumberFormat="1" applyFont="1" applyBorder="1"/>
    <xf numFmtId="166" fontId="13" fillId="3" borderId="0" xfId="0" applyNumberFormat="1" applyFont="1" applyFill="1" applyBorder="1"/>
    <xf numFmtId="164" fontId="1" fillId="0" borderId="0" xfId="0" applyNumberFormat="1" applyFont="1"/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166" fontId="13" fillId="3" borderId="1" xfId="0" applyNumberFormat="1" applyFont="1" applyFill="1" applyBorder="1"/>
    <xf numFmtId="0" fontId="11" fillId="2" borderId="0" xfId="0" applyFont="1" applyFill="1" applyBorder="1"/>
    <xf numFmtId="166" fontId="13" fillId="4" borderId="0" xfId="0" applyNumberFormat="1" applyFont="1" applyFill="1" applyBorder="1"/>
    <xf numFmtId="166" fontId="1" fillId="0" borderId="0" xfId="0" applyNumberFormat="1" applyFont="1"/>
    <xf numFmtId="0" fontId="1" fillId="0" borderId="4" xfId="0" applyFont="1" applyBorder="1"/>
    <xf numFmtId="166" fontId="1" fillId="0" borderId="0" xfId="0" applyNumberFormat="1" applyFont="1"/>
    <xf numFmtId="0" fontId="7" fillId="0" borderId="0" xfId="0" applyFont="1" applyAlignment="1"/>
    <xf numFmtId="166" fontId="6" fillId="2" borderId="0" xfId="0" applyNumberFormat="1" applyFont="1" applyFill="1" applyBorder="1"/>
    <xf numFmtId="0" fontId="18" fillId="0" borderId="0" xfId="0" applyFont="1" applyAlignment="1">
      <alignment horizontal="right"/>
    </xf>
    <xf numFmtId="38" fontId="1" fillId="0" borderId="0" xfId="0" applyNumberFormat="1" applyFont="1"/>
    <xf numFmtId="0" fontId="20" fillId="5" borderId="0" xfId="0" applyFont="1" applyFill="1"/>
    <xf numFmtId="0" fontId="18" fillId="0" borderId="0" xfId="0" applyFont="1"/>
    <xf numFmtId="167" fontId="1" fillId="0" borderId="0" xfId="0" applyNumberFormat="1" applyFont="1"/>
    <xf numFmtId="0" fontId="8" fillId="3" borderId="0" xfId="0" applyFont="1" applyFill="1" applyBorder="1" applyAlignment="1">
      <alignment horizontal="left"/>
    </xf>
    <xf numFmtId="0" fontId="7" fillId="0" borderId="0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3" fillId="4" borderId="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7" fillId="0" borderId="2" xfId="0" applyFont="1" applyBorder="1"/>
    <xf numFmtId="0" fontId="11" fillId="2" borderId="0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5" fillId="3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tabSelected="1" workbookViewId="0"/>
  </sheetViews>
  <sheetFormatPr defaultColWidth="17.28515625" defaultRowHeight="15" customHeight="1" x14ac:dyDescent="0.2"/>
  <cols>
    <col min="1" max="1" width="5.85546875" customWidth="1"/>
    <col min="2" max="2" width="34.42578125" customWidth="1"/>
    <col min="3" max="6" width="12.42578125" customWidth="1"/>
    <col min="7" max="7" width="14.42578125" customWidth="1"/>
  </cols>
  <sheetData>
    <row r="1" spans="1:7" ht="25.5" customHeight="1" x14ac:dyDescent="0.4">
      <c r="A1" s="2" t="s">
        <v>0</v>
      </c>
      <c r="B1" s="3"/>
      <c r="C1" s="3"/>
      <c r="D1" s="5"/>
      <c r="E1" s="5"/>
      <c r="F1" s="5" t="s">
        <v>3</v>
      </c>
    </row>
    <row r="2" spans="1:7" ht="15.75" customHeight="1" x14ac:dyDescent="0.2">
      <c r="A2" s="7"/>
      <c r="B2" s="9"/>
      <c r="C2" s="1"/>
      <c r="D2" s="3"/>
      <c r="E2" s="3"/>
      <c r="F2" s="3"/>
    </row>
    <row r="3" spans="1:7" ht="15.75" customHeight="1" x14ac:dyDescent="0.2">
      <c r="A3" s="10"/>
      <c r="B3" s="7"/>
      <c r="C3" s="7"/>
      <c r="D3" s="12">
        <v>42004</v>
      </c>
      <c r="E3" s="12">
        <v>41639</v>
      </c>
      <c r="F3" s="12">
        <v>41274</v>
      </c>
    </row>
    <row r="4" spans="1:7" ht="15.75" customHeight="1" x14ac:dyDescent="0.25">
      <c r="A4" s="58" t="s">
        <v>9</v>
      </c>
      <c r="B4" s="53"/>
      <c r="C4" s="15"/>
      <c r="D4" s="15"/>
      <c r="E4" s="15"/>
      <c r="F4" s="15"/>
    </row>
    <row r="5" spans="1:7" ht="15.75" customHeight="1" x14ac:dyDescent="0.2">
      <c r="A5" s="52" t="s">
        <v>23</v>
      </c>
      <c r="B5" s="53"/>
      <c r="C5" s="16"/>
      <c r="D5" s="16"/>
      <c r="E5" s="16"/>
      <c r="F5" s="16"/>
    </row>
    <row r="6" spans="1:7" ht="15.75" customHeight="1" x14ac:dyDescent="0.2">
      <c r="A6" s="7"/>
      <c r="B6" s="7" t="s">
        <v>25</v>
      </c>
      <c r="C6" s="17"/>
      <c r="D6" s="17">
        <v>1122131.515050001</v>
      </c>
      <c r="E6" s="17">
        <f>CashFlow!E41</f>
        <v>1145230.9311521747</v>
      </c>
      <c r="F6" s="17">
        <f>CashFlow!F41</f>
        <v>1550934.7036306853</v>
      </c>
      <c r="G6" s="1" t="str">
        <f>IF(D6=CashFlow!D41,"","Does Not Match Cash Flow")</f>
        <v/>
      </c>
    </row>
    <row r="7" spans="1:7" ht="15.75" customHeight="1" x14ac:dyDescent="0.2">
      <c r="A7" s="7"/>
      <c r="B7" s="7" t="s">
        <v>28</v>
      </c>
      <c r="C7" s="17"/>
      <c r="D7" s="17">
        <v>54233</v>
      </c>
      <c r="E7" s="17">
        <f>+F7*0.88</f>
        <v>38180.031999999999</v>
      </c>
      <c r="F7" s="17">
        <f>+D7*0.8</f>
        <v>43386.400000000001</v>
      </c>
    </row>
    <row r="8" spans="1:7" ht="15.75" customHeight="1" x14ac:dyDescent="0.2">
      <c r="A8" s="7"/>
      <c r="B8" s="7" t="s">
        <v>29</v>
      </c>
      <c r="C8" s="17"/>
      <c r="D8" s="17">
        <v>0</v>
      </c>
      <c r="E8" s="17">
        <v>0</v>
      </c>
      <c r="F8" s="17">
        <v>0</v>
      </c>
    </row>
    <row r="9" spans="1:7" ht="15.75" customHeight="1" x14ac:dyDescent="0.2">
      <c r="A9" s="7"/>
      <c r="B9" s="7" t="s">
        <v>30</v>
      </c>
      <c r="C9" s="17"/>
      <c r="D9" s="17">
        <v>251012</v>
      </c>
      <c r="E9" s="17">
        <f t="shared" ref="E9:E10" si="0">+F9*0.88</f>
        <v>176712.448</v>
      </c>
      <c r="F9" s="17">
        <f t="shared" ref="F9:F10" si="1">+D9*0.8</f>
        <v>200809.60000000001</v>
      </c>
    </row>
    <row r="10" spans="1:7" ht="15.75" customHeight="1" x14ac:dyDescent="0.2">
      <c r="A10" s="7"/>
      <c r="B10" s="7" t="s">
        <v>33</v>
      </c>
      <c r="C10" s="17"/>
      <c r="D10" s="17">
        <v>15364</v>
      </c>
      <c r="E10" s="17">
        <f t="shared" si="0"/>
        <v>10816.256000000001</v>
      </c>
      <c r="F10" s="17">
        <f t="shared" si="1"/>
        <v>12291.2</v>
      </c>
    </row>
    <row r="11" spans="1:7" ht="15.75" customHeight="1" x14ac:dyDescent="0.2">
      <c r="A11" s="7"/>
      <c r="B11" s="7" t="s">
        <v>34</v>
      </c>
      <c r="C11" s="17"/>
      <c r="D11" s="23">
        <v>0</v>
      </c>
      <c r="E11" s="23">
        <v>0</v>
      </c>
      <c r="F11" s="23">
        <v>0</v>
      </c>
      <c r="G11" s="26"/>
    </row>
    <row r="12" spans="1:7" ht="15.75" customHeight="1" x14ac:dyDescent="0.2">
      <c r="A12" s="54" t="s">
        <v>37</v>
      </c>
      <c r="B12" s="55"/>
      <c r="C12" s="27"/>
      <c r="D12" s="28" t="s">
        <v>124</v>
      </c>
      <c r="E12" s="28">
        <f t="shared" ref="E12:F12" si="2">SUM(E6:E11)</f>
        <v>1370939.6671521747</v>
      </c>
      <c r="F12" s="28">
        <f t="shared" si="2"/>
        <v>1807421.9036306853</v>
      </c>
      <c r="G12" s="26"/>
    </row>
    <row r="13" spans="1:7" ht="15.75" customHeight="1" x14ac:dyDescent="0.2">
      <c r="A13" s="52" t="s">
        <v>44</v>
      </c>
      <c r="B13" s="53"/>
      <c r="C13" s="16"/>
      <c r="D13" s="16"/>
      <c r="E13" s="16"/>
      <c r="F13" s="16"/>
      <c r="G13" s="26"/>
    </row>
    <row r="14" spans="1:7" ht="15.75" customHeight="1" x14ac:dyDescent="0.2">
      <c r="A14" s="7"/>
      <c r="B14" s="7" t="s">
        <v>45</v>
      </c>
      <c r="C14" s="17"/>
      <c r="D14" s="17">
        <v>0</v>
      </c>
      <c r="E14" s="17">
        <v>0</v>
      </c>
      <c r="F14" s="17">
        <v>0</v>
      </c>
      <c r="G14" s="26"/>
    </row>
    <row r="15" spans="1:7" ht="15.75" customHeight="1" x14ac:dyDescent="0.2">
      <c r="A15" s="1"/>
      <c r="B15" s="7" t="s">
        <v>46</v>
      </c>
      <c r="C15" s="17"/>
      <c r="D15" s="17">
        <v>0</v>
      </c>
      <c r="E15" s="17">
        <v>0</v>
      </c>
      <c r="F15" s="17">
        <v>0</v>
      </c>
      <c r="G15" s="26"/>
    </row>
    <row r="16" spans="1:7" ht="15.75" customHeight="1" x14ac:dyDescent="0.2">
      <c r="A16" s="1"/>
      <c r="B16" s="7" t="s">
        <v>47</v>
      </c>
      <c r="C16" s="17"/>
      <c r="D16" s="17">
        <f t="shared" ref="D16:F16" si="3">((D15*0.8)/39)*-6.5</f>
        <v>0</v>
      </c>
      <c r="E16" s="17">
        <f t="shared" si="3"/>
        <v>0</v>
      </c>
      <c r="F16" s="17">
        <f t="shared" si="3"/>
        <v>0</v>
      </c>
      <c r="G16" s="26"/>
    </row>
    <row r="17" spans="1:7" ht="15.75" customHeight="1" x14ac:dyDescent="0.2">
      <c r="A17" s="7"/>
      <c r="B17" s="7" t="s">
        <v>49</v>
      </c>
      <c r="C17" s="17"/>
      <c r="D17" s="17">
        <v>364932</v>
      </c>
      <c r="E17" s="17">
        <f t="shared" ref="E17:F17" si="4">+D17*0.9</f>
        <v>328438.8</v>
      </c>
      <c r="F17" s="17">
        <f t="shared" si="4"/>
        <v>295594.92</v>
      </c>
      <c r="G17" s="26"/>
    </row>
    <row r="18" spans="1:7" ht="15.75" customHeight="1" x14ac:dyDescent="0.2">
      <c r="A18" s="7"/>
      <c r="B18" s="7" t="s">
        <v>47</v>
      </c>
      <c r="C18" s="17"/>
      <c r="D18" s="17">
        <f>(D17/7)*-3</f>
        <v>-156399.42857142858</v>
      </c>
      <c r="E18" s="17">
        <f>+D18+'Income Statement'!C30</f>
        <v>-104266.28571428572</v>
      </c>
      <c r="F18" s="17">
        <f>+E18+'Income Statement'!D30</f>
        <v>-57346.457142857158</v>
      </c>
      <c r="G18" s="32"/>
    </row>
    <row r="19" spans="1:7" ht="15.75" customHeight="1" x14ac:dyDescent="0.2">
      <c r="A19" s="7"/>
      <c r="B19" s="7" t="s">
        <v>54</v>
      </c>
      <c r="C19" s="17"/>
      <c r="D19" s="23">
        <v>75000</v>
      </c>
      <c r="E19" s="23">
        <v>75000</v>
      </c>
      <c r="F19" s="23">
        <v>75000</v>
      </c>
      <c r="G19" s="26"/>
    </row>
    <row r="20" spans="1:7" ht="15.75" customHeight="1" x14ac:dyDescent="0.2">
      <c r="A20" s="54" t="s">
        <v>55</v>
      </c>
      <c r="B20" s="55"/>
      <c r="C20" s="27"/>
      <c r="D20" s="28" t="s">
        <v>125</v>
      </c>
      <c r="E20" s="28">
        <f t="shared" ref="E20:F20" si="5">SUM(E14:E19)</f>
        <v>299172.51428571425</v>
      </c>
      <c r="F20" s="28">
        <f t="shared" si="5"/>
        <v>313248.46285714279</v>
      </c>
      <c r="G20" s="26"/>
    </row>
    <row r="21" spans="1:7" ht="15.75" customHeight="1" x14ac:dyDescent="0.2">
      <c r="A21" s="52" t="s">
        <v>58</v>
      </c>
      <c r="B21" s="53"/>
      <c r="C21" s="16"/>
      <c r="D21" s="16"/>
      <c r="E21" s="16"/>
      <c r="F21" s="16"/>
      <c r="G21" s="26"/>
    </row>
    <row r="22" spans="1:7" ht="15.75" customHeight="1" x14ac:dyDescent="0.2">
      <c r="A22" s="7"/>
      <c r="B22" s="7" t="s">
        <v>59</v>
      </c>
      <c r="C22" s="17"/>
      <c r="D22" s="17">
        <v>0</v>
      </c>
      <c r="E22" s="17">
        <v>0</v>
      </c>
      <c r="F22" s="17">
        <v>0</v>
      </c>
      <c r="G22" s="26"/>
    </row>
    <row r="23" spans="1:7" ht="15.75" customHeight="1" x14ac:dyDescent="0.2">
      <c r="A23" s="7"/>
      <c r="B23" s="7" t="s">
        <v>60</v>
      </c>
      <c r="C23" s="17"/>
      <c r="D23" s="23">
        <v>17029</v>
      </c>
      <c r="E23" s="23">
        <v>17029</v>
      </c>
      <c r="F23" s="23">
        <v>17029</v>
      </c>
      <c r="G23" s="26"/>
    </row>
    <row r="24" spans="1:7" ht="15.75" customHeight="1" x14ac:dyDescent="0.2">
      <c r="A24" s="54" t="s">
        <v>61</v>
      </c>
      <c r="B24" s="55"/>
      <c r="C24" s="27"/>
      <c r="D24" s="28" t="s">
        <v>126</v>
      </c>
      <c r="E24" s="28">
        <f t="shared" ref="E24:F24" si="6">SUM(E22:E23)</f>
        <v>17029</v>
      </c>
      <c r="F24" s="28">
        <f t="shared" si="6"/>
        <v>17029</v>
      </c>
      <c r="G24" s="26"/>
    </row>
    <row r="25" spans="1:7" ht="15.75" customHeight="1" x14ac:dyDescent="0.2">
      <c r="A25" s="7"/>
      <c r="B25" s="7"/>
      <c r="C25" s="7"/>
      <c r="D25" s="23"/>
      <c r="E25" s="23"/>
      <c r="F25" s="23"/>
      <c r="G25" s="26"/>
    </row>
    <row r="26" spans="1:7" ht="15.75" customHeight="1" x14ac:dyDescent="0.25">
      <c r="A26" s="56" t="s">
        <v>63</v>
      </c>
      <c r="B26" s="53"/>
      <c r="C26" s="35"/>
      <c r="D26" s="39">
        <f t="shared" ref="D26:F26" si="7">D12+D20+D24</f>
        <v>1743303</v>
      </c>
      <c r="E26" s="39">
        <f t="shared" si="7"/>
        <v>1687141.1814378891</v>
      </c>
      <c r="F26" s="39">
        <f t="shared" si="7"/>
        <v>2137699.3664878281</v>
      </c>
      <c r="G26" s="26"/>
    </row>
    <row r="27" spans="1:7" ht="15.75" customHeight="1" x14ac:dyDescent="0.2">
      <c r="A27" s="1"/>
      <c r="B27" s="1"/>
      <c r="C27" s="1"/>
      <c r="D27" s="42"/>
      <c r="E27" s="44"/>
      <c r="F27" s="44"/>
      <c r="G27" s="45"/>
    </row>
    <row r="28" spans="1:7" ht="15.75" customHeight="1" x14ac:dyDescent="0.25">
      <c r="A28" s="58" t="s">
        <v>79</v>
      </c>
      <c r="B28" s="53"/>
      <c r="C28" s="15"/>
      <c r="D28" s="46"/>
      <c r="E28" s="46"/>
      <c r="F28" s="46"/>
    </row>
    <row r="29" spans="1:7" ht="15.75" customHeight="1" x14ac:dyDescent="0.2">
      <c r="A29" s="52" t="s">
        <v>83</v>
      </c>
      <c r="B29" s="53"/>
      <c r="C29" s="16"/>
      <c r="D29" s="16"/>
      <c r="E29" s="16"/>
      <c r="F29" s="16"/>
    </row>
    <row r="30" spans="1:7" ht="15.75" customHeight="1" x14ac:dyDescent="0.2">
      <c r="A30" s="7"/>
      <c r="B30" s="7" t="s">
        <v>85</v>
      </c>
      <c r="C30" s="17"/>
      <c r="D30" s="17">
        <v>320780</v>
      </c>
      <c r="E30" s="17">
        <f>+F30*0.88</f>
        <v>225829.12</v>
      </c>
      <c r="F30" s="17">
        <f>+D30*0.8</f>
        <v>256624</v>
      </c>
    </row>
    <row r="31" spans="1:7" ht="15.75" customHeight="1" x14ac:dyDescent="0.2">
      <c r="A31" s="7"/>
      <c r="B31" s="7" t="s">
        <v>89</v>
      </c>
      <c r="C31" s="17"/>
      <c r="D31" s="17">
        <v>0</v>
      </c>
      <c r="E31" s="17">
        <v>0</v>
      </c>
      <c r="F31" s="17">
        <v>0</v>
      </c>
    </row>
    <row r="32" spans="1:7" ht="15.75" customHeight="1" x14ac:dyDescent="0.2">
      <c r="A32" s="7"/>
      <c r="B32" s="7" t="s">
        <v>91</v>
      </c>
      <c r="C32" s="17"/>
      <c r="D32" s="17">
        <f>('Income Statement'!C40*0.35)/4</f>
        <v>53646.143078559835</v>
      </c>
      <c r="E32" s="17">
        <f>+F32*0.88</f>
        <v>37766.884727306126</v>
      </c>
      <c r="F32" s="17">
        <f>+D32*0.8</f>
        <v>42916.914462847868</v>
      </c>
    </row>
    <row r="33" spans="1:6" ht="15.75" customHeight="1" x14ac:dyDescent="0.2">
      <c r="A33" s="7"/>
      <c r="B33" s="7" t="s">
        <v>93</v>
      </c>
      <c r="C33" s="17"/>
      <c r="D33" s="17">
        <v>42045</v>
      </c>
      <c r="E33" s="17">
        <v>42045</v>
      </c>
      <c r="F33" s="17">
        <v>42045</v>
      </c>
    </row>
    <row r="34" spans="1:6" ht="15.75" customHeight="1" x14ac:dyDescent="0.2">
      <c r="A34" s="7"/>
      <c r="B34" s="7" t="s">
        <v>94</v>
      </c>
      <c r="C34" s="17"/>
      <c r="D34" s="17">
        <v>0</v>
      </c>
      <c r="E34" s="17">
        <v>0</v>
      </c>
      <c r="F34" s="17">
        <v>0</v>
      </c>
    </row>
    <row r="35" spans="1:6" ht="15.75" customHeight="1" x14ac:dyDescent="0.2">
      <c r="A35" s="7"/>
      <c r="B35" s="7" t="s">
        <v>95</v>
      </c>
      <c r="C35" s="17"/>
      <c r="D35" s="23">
        <v>167852</v>
      </c>
      <c r="E35" s="23">
        <v>167852</v>
      </c>
      <c r="F35" s="23">
        <v>167852</v>
      </c>
    </row>
    <row r="36" spans="1:6" ht="15.75" customHeight="1" x14ac:dyDescent="0.2">
      <c r="A36" s="54" t="s">
        <v>96</v>
      </c>
      <c r="B36" s="55"/>
      <c r="C36" s="27"/>
      <c r="D36" s="28">
        <f t="shared" ref="D36:F36" si="8">SUM(D30:D35)</f>
        <v>584323.14307855978</v>
      </c>
      <c r="E36" s="28">
        <f t="shared" si="8"/>
        <v>473493.00472730614</v>
      </c>
      <c r="F36" s="28">
        <f t="shared" si="8"/>
        <v>509437.91446284787</v>
      </c>
    </row>
    <row r="37" spans="1:6" ht="15.75" customHeight="1" x14ac:dyDescent="0.2">
      <c r="A37" s="52" t="s">
        <v>98</v>
      </c>
      <c r="B37" s="53"/>
      <c r="C37" s="16"/>
      <c r="D37" s="16"/>
      <c r="E37" s="16"/>
      <c r="F37" s="16"/>
    </row>
    <row r="38" spans="1:6" ht="15.75" customHeight="1" x14ac:dyDescent="0.2">
      <c r="A38" s="7"/>
      <c r="B38" s="7" t="s">
        <v>103</v>
      </c>
      <c r="C38" s="17"/>
      <c r="D38" s="17">
        <v>324670</v>
      </c>
      <c r="E38" s="17">
        <f t="shared" ref="E38:F38" si="9">+D38+E35</f>
        <v>492522</v>
      </c>
      <c r="F38" s="17">
        <f t="shared" si="9"/>
        <v>660374</v>
      </c>
    </row>
    <row r="39" spans="1:6" ht="15.75" customHeight="1" x14ac:dyDescent="0.2">
      <c r="A39" s="7"/>
      <c r="B39" s="7" t="s">
        <v>59</v>
      </c>
      <c r="C39" s="17"/>
      <c r="D39" s="17">
        <v>0</v>
      </c>
      <c r="E39" s="17">
        <v>0</v>
      </c>
      <c r="F39" s="17">
        <v>0</v>
      </c>
    </row>
    <row r="40" spans="1:6" ht="15.75" customHeight="1" x14ac:dyDescent="0.2">
      <c r="A40" s="7"/>
      <c r="B40" s="7" t="s">
        <v>60</v>
      </c>
      <c r="C40" s="17"/>
      <c r="D40" s="23">
        <v>0</v>
      </c>
      <c r="E40" s="23">
        <v>0</v>
      </c>
      <c r="F40" s="23">
        <v>0</v>
      </c>
    </row>
    <row r="41" spans="1:6" ht="15.75" customHeight="1" x14ac:dyDescent="0.2">
      <c r="A41" s="54" t="s">
        <v>106</v>
      </c>
      <c r="B41" s="55"/>
      <c r="C41" s="27"/>
      <c r="D41" s="28">
        <f t="shared" ref="D41:F41" si="10">SUM(D38:D40)</f>
        <v>324670</v>
      </c>
      <c r="E41" s="28">
        <f t="shared" si="10"/>
        <v>492522</v>
      </c>
      <c r="F41" s="28">
        <f t="shared" si="10"/>
        <v>660374</v>
      </c>
    </row>
    <row r="42" spans="1:6" ht="15.75" customHeight="1" x14ac:dyDescent="0.2">
      <c r="A42" s="52" t="s">
        <v>108</v>
      </c>
      <c r="B42" s="53"/>
      <c r="C42" s="16"/>
      <c r="D42" s="16"/>
      <c r="E42" s="16"/>
      <c r="F42" s="16"/>
    </row>
    <row r="43" spans="1:6" ht="15.75" customHeight="1" x14ac:dyDescent="0.2">
      <c r="A43" s="7"/>
      <c r="B43" s="7" t="s">
        <v>109</v>
      </c>
      <c r="C43" s="17"/>
      <c r="D43" s="17">
        <v>100000</v>
      </c>
      <c r="E43" s="17">
        <v>100000</v>
      </c>
      <c r="F43" s="17">
        <v>100000</v>
      </c>
    </row>
    <row r="44" spans="1:6" ht="15.75" customHeight="1" x14ac:dyDescent="0.2">
      <c r="A44" s="7"/>
      <c r="B44" s="7" t="s">
        <v>110</v>
      </c>
      <c r="C44" s="17"/>
      <c r="D44" s="17">
        <f t="shared" ref="D44:F44" si="11">D26-D36-D41-D43</f>
        <v>734309.85692144022</v>
      </c>
      <c r="E44" s="17">
        <f t="shared" si="11"/>
        <v>621126.17671058304</v>
      </c>
      <c r="F44" s="17">
        <f t="shared" si="11"/>
        <v>867887.45202498022</v>
      </c>
    </row>
    <row r="45" spans="1:6" ht="15.75" customHeight="1" x14ac:dyDescent="0.2">
      <c r="A45" s="7"/>
      <c r="B45" s="7" t="s">
        <v>60</v>
      </c>
      <c r="C45" s="17"/>
      <c r="D45" s="23">
        <v>0</v>
      </c>
      <c r="E45" s="23">
        <v>0</v>
      </c>
      <c r="F45" s="23">
        <v>0</v>
      </c>
    </row>
    <row r="46" spans="1:6" ht="15.75" customHeight="1" x14ac:dyDescent="0.2">
      <c r="A46" s="54" t="s">
        <v>115</v>
      </c>
      <c r="B46" s="55"/>
      <c r="C46" s="27"/>
      <c r="D46" s="28">
        <f t="shared" ref="D46:F46" si="12">SUM(D43:D45)</f>
        <v>834309.85692144022</v>
      </c>
      <c r="E46" s="28">
        <f t="shared" si="12"/>
        <v>721126.17671058304</v>
      </c>
      <c r="F46" s="28">
        <f t="shared" si="12"/>
        <v>967887.45202498022</v>
      </c>
    </row>
    <row r="47" spans="1:6" ht="15.75" customHeight="1" x14ac:dyDescent="0.2">
      <c r="A47" s="7"/>
      <c r="B47" s="7"/>
      <c r="C47" s="7"/>
      <c r="D47" s="23"/>
      <c r="E47" s="23"/>
      <c r="F47" s="23"/>
    </row>
    <row r="48" spans="1:6" ht="15.75" customHeight="1" x14ac:dyDescent="0.25">
      <c r="A48" s="56" t="s">
        <v>116</v>
      </c>
      <c r="B48" s="53"/>
      <c r="C48" s="35"/>
      <c r="D48" s="39">
        <f t="shared" ref="D48:F48" si="13">D36+D41+D46</f>
        <v>1743303</v>
      </c>
      <c r="E48" s="39">
        <f t="shared" si="13"/>
        <v>1687141.1814378891</v>
      </c>
      <c r="F48" s="39">
        <f t="shared" si="13"/>
        <v>2137699.3664878281</v>
      </c>
    </row>
    <row r="49" spans="1:6" ht="15.75" customHeight="1" x14ac:dyDescent="0.2">
      <c r="A49" s="1"/>
      <c r="B49" s="1"/>
      <c r="C49" s="1"/>
      <c r="D49" s="1" t="str">
        <f t="shared" ref="D49:F49" si="14">IF(D26-D48&lt;1,"","ERROR")</f>
        <v/>
      </c>
      <c r="E49" s="1" t="str">
        <f t="shared" si="14"/>
        <v/>
      </c>
      <c r="F49" s="1" t="str">
        <f t="shared" si="14"/>
        <v/>
      </c>
    </row>
    <row r="50" spans="1:6" ht="15.75" customHeight="1" x14ac:dyDescent="0.2">
      <c r="A50" s="1"/>
      <c r="B50" s="1"/>
      <c r="C50" s="1"/>
      <c r="D50" s="44"/>
      <c r="E50" s="44"/>
      <c r="F50" s="3"/>
    </row>
    <row r="51" spans="1:6" ht="15.75" customHeight="1" x14ac:dyDescent="0.2">
      <c r="A51" s="1"/>
      <c r="B51" s="1"/>
      <c r="C51" s="1"/>
      <c r="D51" s="1"/>
      <c r="E51" s="3"/>
      <c r="F51" s="3"/>
    </row>
    <row r="52" spans="1:6" ht="15.75" customHeight="1" x14ac:dyDescent="0.2">
      <c r="A52" s="1"/>
      <c r="B52" s="1"/>
      <c r="C52" s="1"/>
      <c r="D52" s="1"/>
      <c r="E52" s="3"/>
      <c r="F52" s="3"/>
    </row>
    <row r="53" spans="1:6" ht="15.75" customHeight="1" x14ac:dyDescent="0.2">
      <c r="A53" s="1"/>
      <c r="B53" s="1"/>
      <c r="C53" s="1"/>
      <c r="D53" s="1"/>
      <c r="E53" s="3"/>
      <c r="F53" s="3"/>
    </row>
    <row r="54" spans="1:6" ht="12" customHeight="1" x14ac:dyDescent="0.2">
      <c r="A54" s="7"/>
      <c r="B54" s="7"/>
      <c r="C54" s="7"/>
      <c r="D54" s="7"/>
      <c r="E54" s="7"/>
      <c r="F54" s="7"/>
    </row>
    <row r="55" spans="1:6" ht="12" customHeight="1" x14ac:dyDescent="0.2">
      <c r="A55" s="57"/>
      <c r="B55" s="55"/>
      <c r="C55" s="7"/>
      <c r="D55" s="7"/>
      <c r="E55" s="7"/>
      <c r="F55" s="7"/>
    </row>
  </sheetData>
  <mergeCells count="17">
    <mergeCell ref="A20:B20"/>
    <mergeCell ref="A5:B5"/>
    <mergeCell ref="A4:B4"/>
    <mergeCell ref="A13:B13"/>
    <mergeCell ref="A12:B12"/>
    <mergeCell ref="A21:B21"/>
    <mergeCell ref="A24:B24"/>
    <mergeCell ref="A41:B41"/>
    <mergeCell ref="A48:B48"/>
    <mergeCell ref="A55:B55"/>
    <mergeCell ref="A42:B42"/>
    <mergeCell ref="A46:B46"/>
    <mergeCell ref="A26:B26"/>
    <mergeCell ref="A29:B29"/>
    <mergeCell ref="A28:B28"/>
    <mergeCell ref="A36:B36"/>
    <mergeCell ref="A37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workbookViewId="0"/>
  </sheetViews>
  <sheetFormatPr defaultColWidth="17.28515625" defaultRowHeight="15" customHeight="1" x14ac:dyDescent="0.2"/>
  <cols>
    <col min="1" max="1" width="13" customWidth="1"/>
    <col min="2" max="2" width="43" customWidth="1"/>
    <col min="3" max="5" width="17.85546875" customWidth="1"/>
    <col min="6" max="6" width="14.42578125" customWidth="1"/>
  </cols>
  <sheetData>
    <row r="1" spans="1:6" ht="26.25" customHeight="1" x14ac:dyDescent="0.2">
      <c r="A1" s="2" t="s">
        <v>0</v>
      </c>
      <c r="B1" s="3"/>
      <c r="C1" s="4"/>
      <c r="D1" s="4"/>
      <c r="E1" s="4" t="s">
        <v>2</v>
      </c>
    </row>
    <row r="2" spans="1:6" ht="12" customHeight="1" x14ac:dyDescent="0.2">
      <c r="A2" s="6"/>
      <c r="B2" s="6"/>
      <c r="C2" s="8"/>
      <c r="D2" s="8"/>
      <c r="E2" s="8"/>
    </row>
    <row r="3" spans="1:6" ht="12" customHeight="1" x14ac:dyDescent="0.2">
      <c r="A3" s="10"/>
      <c r="B3" s="11" t="s">
        <v>4</v>
      </c>
      <c r="C3" s="6" t="s">
        <v>5</v>
      </c>
      <c r="D3" s="6" t="s">
        <v>6</v>
      </c>
      <c r="E3" s="6" t="s">
        <v>7</v>
      </c>
    </row>
    <row r="4" spans="1:6" ht="18" customHeight="1" x14ac:dyDescent="0.25">
      <c r="A4" s="58" t="s">
        <v>8</v>
      </c>
      <c r="B4" s="53"/>
      <c r="C4" s="21"/>
      <c r="D4" s="21"/>
      <c r="E4" s="21"/>
    </row>
    <row r="5" spans="1:6" ht="12" customHeight="1" x14ac:dyDescent="0.2">
      <c r="A5" s="1"/>
      <c r="B5" s="7" t="s">
        <v>31</v>
      </c>
      <c r="C5" s="20">
        <f>23634233-885699</f>
        <v>22748534</v>
      </c>
      <c r="D5" s="20">
        <f>+E5-3430865</f>
        <v>14767962.199999999</v>
      </c>
      <c r="E5" s="20">
        <f t="shared" ref="E5:E6" si="0">+C5*0.8</f>
        <v>18198827.199999999</v>
      </c>
      <c r="F5" s="25"/>
    </row>
    <row r="6" spans="1:6" ht="12" customHeight="1" x14ac:dyDescent="0.2">
      <c r="A6" s="1"/>
      <c r="B6" s="7" t="s">
        <v>36</v>
      </c>
      <c r="C6" s="20">
        <f>(-C5*0.09)</f>
        <v>-2047368.0599999998</v>
      </c>
      <c r="D6" s="20">
        <f>+E6*0.88</f>
        <v>-1441347.1142399998</v>
      </c>
      <c r="E6" s="20">
        <f t="shared" si="0"/>
        <v>-1637894.4479999999</v>
      </c>
      <c r="F6" s="25"/>
    </row>
    <row r="7" spans="1:6" ht="12" customHeight="1" x14ac:dyDescent="0.2">
      <c r="A7" s="1"/>
      <c r="B7" s="7" t="s">
        <v>38</v>
      </c>
      <c r="C7" s="20">
        <v>0</v>
      </c>
      <c r="D7" s="20">
        <v>0</v>
      </c>
      <c r="E7" s="20">
        <v>0</v>
      </c>
    </row>
    <row r="8" spans="1:6" ht="12" customHeight="1" x14ac:dyDescent="0.2">
      <c r="A8" s="1"/>
      <c r="B8" s="7" t="s">
        <v>39</v>
      </c>
      <c r="C8" s="20">
        <f>BalanceSheet!D6*0.01</f>
        <v>11221.31515050001</v>
      </c>
      <c r="D8" s="20">
        <f>BalanceSheet!E6*0.01</f>
        <v>11452.309311521747</v>
      </c>
      <c r="E8" s="20">
        <f>BalanceSheet!F6*0.01</f>
        <v>15509.347036306854</v>
      </c>
    </row>
    <row r="9" spans="1:6" ht="12" customHeight="1" x14ac:dyDescent="0.2">
      <c r="A9" s="1"/>
      <c r="B9" s="7" t="s">
        <v>42</v>
      </c>
      <c r="C9" s="20">
        <v>0</v>
      </c>
      <c r="D9" s="20">
        <v>0</v>
      </c>
      <c r="E9" s="20">
        <v>0</v>
      </c>
    </row>
    <row r="10" spans="1:6" ht="15.75" customHeight="1" x14ac:dyDescent="0.25">
      <c r="A10" s="56" t="s">
        <v>43</v>
      </c>
      <c r="B10" s="53"/>
      <c r="C10" s="30">
        <f t="shared" ref="C10:E10" si="1">SUM(C5:C9)</f>
        <v>20712387.255150501</v>
      </c>
      <c r="D10" s="30">
        <f t="shared" si="1"/>
        <v>13338067.395071521</v>
      </c>
      <c r="E10" s="30">
        <f t="shared" si="1"/>
        <v>16576442.099036308</v>
      </c>
    </row>
    <row r="11" spans="1:6" ht="12" customHeight="1" x14ac:dyDescent="0.2">
      <c r="A11" s="1"/>
      <c r="B11" s="1"/>
      <c r="C11" s="31"/>
      <c r="D11" s="31"/>
      <c r="E11" s="31"/>
    </row>
    <row r="12" spans="1:6" ht="18" customHeight="1" x14ac:dyDescent="0.25">
      <c r="A12" s="58" t="s">
        <v>50</v>
      </c>
      <c r="B12" s="53"/>
      <c r="C12" s="15"/>
      <c r="D12" s="21"/>
      <c r="E12" s="21"/>
    </row>
    <row r="13" spans="1:6" ht="18" customHeight="1" x14ac:dyDescent="0.2">
      <c r="A13" s="1"/>
      <c r="B13" s="29" t="s">
        <v>52</v>
      </c>
      <c r="C13" s="20">
        <f t="shared" ref="C13:D13" si="2">+D16</f>
        <v>176712.448</v>
      </c>
      <c r="D13" s="20">
        <f t="shared" si="2"/>
        <v>200809.60000000001</v>
      </c>
      <c r="E13" s="20">
        <v>294300</v>
      </c>
    </row>
    <row r="14" spans="1:6" ht="18" customHeight="1" x14ac:dyDescent="0.2">
      <c r="A14" s="1"/>
      <c r="B14" s="29" t="s">
        <v>56</v>
      </c>
      <c r="C14" s="20">
        <f t="shared" ref="C14:E14" si="3">C5*0.78</f>
        <v>17743856.52</v>
      </c>
      <c r="D14" s="20">
        <f t="shared" si="3"/>
        <v>11519010.515999999</v>
      </c>
      <c r="E14" s="20">
        <f t="shared" si="3"/>
        <v>14195085.216</v>
      </c>
    </row>
    <row r="15" spans="1:6" ht="18" customHeight="1" x14ac:dyDescent="0.2">
      <c r="A15" s="1"/>
      <c r="B15" s="33" t="s">
        <v>57</v>
      </c>
      <c r="C15" s="34">
        <f t="shared" ref="C15:E15" si="4">C13+C14</f>
        <v>17920568.967999998</v>
      </c>
      <c r="D15" s="34">
        <f t="shared" si="4"/>
        <v>11719820.115999999</v>
      </c>
      <c r="E15" s="34">
        <f t="shared" si="4"/>
        <v>14489385.216</v>
      </c>
    </row>
    <row r="16" spans="1:6" ht="18" customHeight="1" x14ac:dyDescent="0.2">
      <c r="A16" s="1"/>
      <c r="B16" s="7" t="s">
        <v>64</v>
      </c>
      <c r="C16" s="20">
        <f>BalanceSheet!D9</f>
        <v>251012</v>
      </c>
      <c r="D16" s="20">
        <f>BalanceSheet!E9</f>
        <v>176712.448</v>
      </c>
      <c r="E16" s="20">
        <f>BalanceSheet!F9</f>
        <v>200809.60000000001</v>
      </c>
    </row>
    <row r="17" spans="1:6" ht="18" customHeight="1" x14ac:dyDescent="0.25">
      <c r="A17" s="56" t="s">
        <v>65</v>
      </c>
      <c r="B17" s="53"/>
      <c r="C17" s="30">
        <f t="shared" ref="C17:E17" si="5">C15-C16</f>
        <v>17669556.967999998</v>
      </c>
      <c r="D17" s="30">
        <f t="shared" si="5"/>
        <v>11543107.667999998</v>
      </c>
      <c r="E17" s="30">
        <f t="shared" si="5"/>
        <v>14288575.616</v>
      </c>
      <c r="F17" s="25"/>
    </row>
    <row r="18" spans="1:6" ht="18" customHeight="1" x14ac:dyDescent="0.2">
      <c r="A18" s="1"/>
      <c r="B18" s="1"/>
      <c r="C18" s="37"/>
      <c r="D18" s="37"/>
      <c r="E18" s="37"/>
    </row>
    <row r="19" spans="1:6" ht="18" customHeight="1" x14ac:dyDescent="0.25">
      <c r="A19" s="58" t="s">
        <v>67</v>
      </c>
      <c r="B19" s="53"/>
      <c r="C19" s="15"/>
      <c r="D19" s="21"/>
      <c r="E19" s="21"/>
    </row>
    <row r="20" spans="1:6" ht="12" customHeight="1" x14ac:dyDescent="0.2">
      <c r="A20" s="1"/>
      <c r="B20" s="29" t="s">
        <v>68</v>
      </c>
      <c r="C20" s="20">
        <f>salaries!B14</f>
        <v>150000</v>
      </c>
      <c r="D20" s="20">
        <f>salaries!B14</f>
        <v>150000</v>
      </c>
      <c r="E20" s="20">
        <f>salaries!B14</f>
        <v>150000</v>
      </c>
    </row>
    <row r="21" spans="1:6" ht="12" customHeight="1" x14ac:dyDescent="0.2">
      <c r="A21" s="1"/>
      <c r="B21" s="29" t="s">
        <v>70</v>
      </c>
      <c r="C21" s="20">
        <v>146819</v>
      </c>
      <c r="D21" s="20">
        <v>83332</v>
      </c>
      <c r="E21" s="20">
        <v>38915</v>
      </c>
    </row>
    <row r="22" spans="1:6" ht="12" customHeight="1" x14ac:dyDescent="0.2">
      <c r="A22" s="1"/>
      <c r="B22" s="29" t="s">
        <v>71</v>
      </c>
      <c r="C22" s="20">
        <v>115242</v>
      </c>
      <c r="D22" s="20">
        <v>26397</v>
      </c>
      <c r="E22" s="20">
        <v>13408</v>
      </c>
    </row>
    <row r="23" spans="1:6" ht="15.75" customHeight="1" x14ac:dyDescent="0.25">
      <c r="A23" s="56" t="s">
        <v>72</v>
      </c>
      <c r="B23" s="53"/>
      <c r="C23" s="41">
        <f t="shared" ref="C23:E23" si="6">SUM(C20:C22)</f>
        <v>412061</v>
      </c>
      <c r="D23" s="41">
        <f t="shared" si="6"/>
        <v>259729</v>
      </c>
      <c r="E23" s="41">
        <f t="shared" si="6"/>
        <v>202323</v>
      </c>
    </row>
    <row r="24" spans="1:6" ht="12" customHeight="1" x14ac:dyDescent="0.2">
      <c r="A24" s="1"/>
      <c r="B24" s="7"/>
      <c r="C24" s="17"/>
      <c r="D24" s="17"/>
      <c r="E24" s="17"/>
    </row>
    <row r="25" spans="1:6" ht="16.5" customHeight="1" x14ac:dyDescent="0.25">
      <c r="A25" s="58" t="s">
        <v>74</v>
      </c>
      <c r="B25" s="53"/>
      <c r="C25" s="15"/>
      <c r="D25" s="21"/>
      <c r="E25" s="21"/>
    </row>
    <row r="26" spans="1:6" ht="12" customHeight="1" x14ac:dyDescent="0.2">
      <c r="A26" s="1"/>
      <c r="B26" s="29" t="s">
        <v>75</v>
      </c>
      <c r="C26" s="20">
        <f>(salaries!B16-C20)+(1863*12)+125000</f>
        <v>1255356</v>
      </c>
      <c r="D26" s="20">
        <f t="shared" ref="D26:E26" si="7">+C26*0.9</f>
        <v>1129820.4000000001</v>
      </c>
      <c r="E26" s="20">
        <f t="shared" si="7"/>
        <v>1016838.3600000001</v>
      </c>
    </row>
    <row r="27" spans="1:6" ht="12" customHeight="1" x14ac:dyDescent="0.2">
      <c r="A27" s="1"/>
      <c r="B27" s="29" t="s">
        <v>80</v>
      </c>
      <c r="C27" s="20">
        <f>3500*12</f>
        <v>42000</v>
      </c>
      <c r="D27" s="20">
        <v>39788</v>
      </c>
      <c r="E27" s="20">
        <v>37520</v>
      </c>
    </row>
    <row r="28" spans="1:6" ht="12" customHeight="1" x14ac:dyDescent="0.2">
      <c r="A28" s="1"/>
      <c r="B28" s="29" t="s">
        <v>82</v>
      </c>
      <c r="C28" s="20">
        <f>15000*12</f>
        <v>180000</v>
      </c>
      <c r="D28" s="20">
        <v>165000</v>
      </c>
      <c r="E28" s="20">
        <v>125000</v>
      </c>
    </row>
    <row r="29" spans="1:6" ht="12" customHeight="1" x14ac:dyDescent="0.2">
      <c r="A29" s="1"/>
      <c r="B29" s="29" t="s">
        <v>86</v>
      </c>
      <c r="C29" s="20">
        <v>33350</v>
      </c>
      <c r="D29" s="20">
        <v>32000</v>
      </c>
      <c r="E29" s="20">
        <v>27884</v>
      </c>
    </row>
    <row r="30" spans="1:6" ht="12" customHeight="1" x14ac:dyDescent="0.2">
      <c r="A30" s="1"/>
      <c r="B30" s="29" t="s">
        <v>87</v>
      </c>
      <c r="C30" s="20">
        <f>(BalanceSheet!D15*0.8/39)+(BalanceSheet!D17/7)</f>
        <v>52133.142857142855</v>
      </c>
      <c r="D30" s="20">
        <f>(BalanceSheet!E15*0.8/39)+(BalanceSheet!E17/7)</f>
        <v>46919.828571428567</v>
      </c>
      <c r="E30" s="20">
        <f>(BalanceSheet!F15*0.8/39)+(BalanceSheet!F17/7)</f>
        <v>42227.845714285715</v>
      </c>
    </row>
    <row r="31" spans="1:6" ht="12" customHeight="1" x14ac:dyDescent="0.2">
      <c r="A31" s="1"/>
      <c r="B31" s="29" t="s">
        <v>99</v>
      </c>
      <c r="C31" s="20">
        <f t="shared" ref="C31:E31" si="8">+C5*0.0025</f>
        <v>56871.334999999999</v>
      </c>
      <c r="D31" s="20">
        <f t="shared" si="8"/>
        <v>36919.905500000001</v>
      </c>
      <c r="E31" s="20">
        <f t="shared" si="8"/>
        <v>45497.067999999999</v>
      </c>
    </row>
    <row r="32" spans="1:6" ht="12" customHeight="1" x14ac:dyDescent="0.2">
      <c r="A32" s="1"/>
      <c r="B32" s="29" t="s">
        <v>105</v>
      </c>
      <c r="C32" s="20">
        <f>(+BalanceSheet!E38+BalanceSheet!E35)*0.08</f>
        <v>52829.919999999998</v>
      </c>
      <c r="D32" s="20">
        <f>(+BalanceSheet!F38+BalanceSheet!F35)*0.08</f>
        <v>66258.080000000002</v>
      </c>
      <c r="E32" s="20">
        <f>+D32+14250</f>
        <v>80508.08</v>
      </c>
    </row>
    <row r="33" spans="1:6" ht="12" customHeight="1" x14ac:dyDescent="0.2">
      <c r="A33" s="1"/>
      <c r="B33" s="29" t="s">
        <v>111</v>
      </c>
      <c r="C33" s="20">
        <v>15000</v>
      </c>
      <c r="D33" s="20">
        <v>13500</v>
      </c>
      <c r="E33" s="20">
        <v>11000</v>
      </c>
    </row>
    <row r="34" spans="1:6" ht="15.75" customHeight="1" x14ac:dyDescent="0.25">
      <c r="A34" s="56" t="s">
        <v>112</v>
      </c>
      <c r="B34" s="53"/>
      <c r="C34" s="41">
        <f t="shared" ref="C34:E34" si="9">SUM(C26:C33)</f>
        <v>1687540.3978571428</v>
      </c>
      <c r="D34" s="41">
        <f t="shared" si="9"/>
        <v>1530206.2140714289</v>
      </c>
      <c r="E34" s="41">
        <f t="shared" si="9"/>
        <v>1386475.3537142859</v>
      </c>
    </row>
    <row r="35" spans="1:6" ht="15.75" customHeight="1" x14ac:dyDescent="0.2">
      <c r="A35" s="1"/>
      <c r="B35" s="1"/>
      <c r="C35" s="1"/>
      <c r="D35" s="3"/>
      <c r="E35" s="3"/>
    </row>
    <row r="36" spans="1:6" ht="15.75" customHeight="1" x14ac:dyDescent="0.25">
      <c r="A36" s="56" t="s">
        <v>118</v>
      </c>
      <c r="B36" s="53"/>
      <c r="C36" s="41">
        <f t="shared" ref="C36:E36" si="10">C23+C34</f>
        <v>2099601.3978571426</v>
      </c>
      <c r="D36" s="41">
        <f t="shared" si="10"/>
        <v>1789935.2140714289</v>
      </c>
      <c r="E36" s="41">
        <f t="shared" si="10"/>
        <v>1588798.3537142859</v>
      </c>
    </row>
    <row r="37" spans="1:6" ht="15.75" customHeight="1" x14ac:dyDescent="0.2">
      <c r="A37" s="1"/>
      <c r="B37" s="1"/>
      <c r="C37" s="1"/>
      <c r="D37" s="3"/>
      <c r="E37" s="3"/>
    </row>
    <row r="38" spans="1:6" ht="15.75" customHeight="1" x14ac:dyDescent="0.25">
      <c r="A38" s="56" t="s">
        <v>120</v>
      </c>
      <c r="B38" s="53"/>
      <c r="C38" s="41">
        <f t="shared" ref="C38:E38" si="11">C10-C17-C36</f>
        <v>943228.88929335959</v>
      </c>
      <c r="D38" s="41">
        <f t="shared" si="11"/>
        <v>5024.5130000947975</v>
      </c>
      <c r="E38" s="41">
        <f t="shared" si="11"/>
        <v>699068.12932202173</v>
      </c>
      <c r="F38" s="49"/>
    </row>
    <row r="39" spans="1:6" ht="12" customHeight="1" x14ac:dyDescent="0.2">
      <c r="A39" s="1"/>
      <c r="B39" s="7" t="s">
        <v>121</v>
      </c>
      <c r="C39" s="20">
        <f t="shared" ref="C39:E39" si="12">C38*0.35</f>
        <v>330130.11125267582</v>
      </c>
      <c r="D39" s="20">
        <f t="shared" si="12"/>
        <v>1758.579550033179</v>
      </c>
      <c r="E39" s="20">
        <f t="shared" si="12"/>
        <v>244673.84526270759</v>
      </c>
    </row>
    <row r="40" spans="1:6" ht="15.75" customHeight="1" x14ac:dyDescent="0.25">
      <c r="A40" s="56" t="s">
        <v>122</v>
      </c>
      <c r="B40" s="53"/>
      <c r="C40" s="41">
        <f t="shared" ref="C40:E40" si="13">C38-C39</f>
        <v>613098.77804068383</v>
      </c>
      <c r="D40" s="41">
        <f t="shared" si="13"/>
        <v>3265.9334500616187</v>
      </c>
      <c r="E40" s="41">
        <f t="shared" si="13"/>
        <v>454394.28405931417</v>
      </c>
    </row>
    <row r="41" spans="1:6" ht="12" customHeight="1" x14ac:dyDescent="0.2">
      <c r="A41" s="1"/>
      <c r="B41" s="50" t="s">
        <v>123</v>
      </c>
      <c r="C41" s="44"/>
      <c r="D41" s="44"/>
      <c r="E41" s="3"/>
    </row>
    <row r="42" spans="1:6" ht="16.5" customHeight="1" x14ac:dyDescent="0.2">
      <c r="A42" s="1"/>
      <c r="B42" s="1"/>
      <c r="C42" s="51"/>
      <c r="D42" s="44"/>
      <c r="E42" s="3"/>
    </row>
    <row r="43" spans="1:6" ht="16.5" customHeight="1" x14ac:dyDescent="0.2">
      <c r="A43" s="1"/>
      <c r="B43" s="1"/>
      <c r="C43" s="1"/>
      <c r="D43" s="3"/>
      <c r="E43" s="3"/>
    </row>
  </sheetData>
  <mergeCells count="11">
    <mergeCell ref="A17:B17"/>
    <mergeCell ref="A10:B10"/>
    <mergeCell ref="A12:B12"/>
    <mergeCell ref="A4:B4"/>
    <mergeCell ref="A36:B36"/>
    <mergeCell ref="A40:B40"/>
    <mergeCell ref="A38:B38"/>
    <mergeCell ref="A25:B25"/>
    <mergeCell ref="A19:B19"/>
    <mergeCell ref="A23:B23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workbookViewId="0"/>
  </sheetViews>
  <sheetFormatPr defaultColWidth="17.28515625" defaultRowHeight="15" customHeight="1" x14ac:dyDescent="0.2"/>
  <cols>
    <col min="1" max="1" width="4" customWidth="1"/>
    <col min="2" max="2" width="6" customWidth="1"/>
    <col min="3" max="3" width="48.7109375" customWidth="1"/>
    <col min="4" max="6" width="14.140625" customWidth="1"/>
  </cols>
  <sheetData>
    <row r="1" spans="1:6" ht="20.25" customHeight="1" x14ac:dyDescent="0.2">
      <c r="A1" s="1"/>
      <c r="B1" s="62" t="s">
        <v>0</v>
      </c>
      <c r="C1" s="55"/>
      <c r="D1" s="55"/>
      <c r="E1" s="1"/>
      <c r="F1" s="1"/>
    </row>
    <row r="2" spans="1:6" ht="20.25" customHeight="1" x14ac:dyDescent="0.2">
      <c r="A2" s="1"/>
      <c r="B2" s="63" t="s">
        <v>24</v>
      </c>
      <c r="C2" s="55"/>
      <c r="D2" s="55"/>
      <c r="E2" s="1"/>
      <c r="F2" s="1"/>
    </row>
    <row r="3" spans="1:6" ht="12" customHeight="1" x14ac:dyDescent="0.2">
      <c r="A3" s="1"/>
      <c r="B3" s="64"/>
      <c r="C3" s="55"/>
      <c r="D3" s="55"/>
      <c r="E3" s="1"/>
      <c r="F3" s="1"/>
    </row>
    <row r="4" spans="1:6" ht="12" customHeight="1" x14ac:dyDescent="0.2">
      <c r="A4" s="1"/>
      <c r="B4" s="1"/>
      <c r="C4" s="6" t="s">
        <v>4</v>
      </c>
      <c r="D4" s="6" t="s">
        <v>5</v>
      </c>
      <c r="E4" s="6" t="s">
        <v>6</v>
      </c>
      <c r="F4" s="6" t="s">
        <v>7</v>
      </c>
    </row>
    <row r="5" spans="1:6" ht="12" customHeight="1" x14ac:dyDescent="0.2">
      <c r="A5" s="1"/>
      <c r="B5" s="1"/>
      <c r="C5" s="18" t="s">
        <v>26</v>
      </c>
      <c r="D5" s="20">
        <f t="shared" ref="D5:F5" si="0">D41-D39</f>
        <v>1145230.9311521747</v>
      </c>
      <c r="E5" s="20">
        <f t="shared" si="0"/>
        <v>1550934.7036306853</v>
      </c>
      <c r="F5" s="20">
        <f t="shared" si="0"/>
        <v>1697497.185857086</v>
      </c>
    </row>
    <row r="6" spans="1:6" ht="12" customHeight="1" x14ac:dyDescent="0.2">
      <c r="A6" s="10"/>
      <c r="B6" s="1"/>
      <c r="C6" s="1"/>
      <c r="D6" s="22"/>
      <c r="E6" s="22"/>
      <c r="F6" s="22"/>
    </row>
    <row r="7" spans="1:6" ht="15.75" customHeight="1" x14ac:dyDescent="0.25">
      <c r="A7" s="1"/>
      <c r="B7" s="61" t="s">
        <v>32</v>
      </c>
      <c r="C7" s="53"/>
      <c r="D7" s="24"/>
      <c r="E7" s="24"/>
      <c r="F7" s="24"/>
    </row>
    <row r="8" spans="1:6" ht="12" customHeight="1" x14ac:dyDescent="0.2">
      <c r="A8" s="1"/>
      <c r="B8" s="59" t="s">
        <v>35</v>
      </c>
      <c r="C8" s="60"/>
      <c r="D8" s="20">
        <f>'Income Statement'!C5+'Income Statement'!C7+'Income Statement'!C6+86272</f>
        <v>20787437.940000001</v>
      </c>
      <c r="E8" s="20">
        <f>'Income Statement'!D5+'Income Statement'!D7+'Income Statement'!D6+BalanceSheet!F7-BalanceSheet!E7-5159</f>
        <v>13326662.45376</v>
      </c>
      <c r="F8" s="20">
        <f>'Income Statement'!E5+'Income Statement'!E7+'Income Statement'!E6</f>
        <v>16560932.752</v>
      </c>
    </row>
    <row r="9" spans="1:6" ht="12" customHeight="1" x14ac:dyDescent="0.2">
      <c r="A9" s="1"/>
      <c r="B9" s="59" t="s">
        <v>40</v>
      </c>
      <c r="C9" s="55"/>
      <c r="D9" s="14"/>
      <c r="E9" s="14"/>
      <c r="F9" s="14"/>
    </row>
    <row r="10" spans="1:6" ht="12" customHeight="1" x14ac:dyDescent="0.2">
      <c r="A10" s="1"/>
      <c r="B10" s="1"/>
      <c r="C10" s="29" t="s">
        <v>41</v>
      </c>
      <c r="D10" s="20">
        <f>-'Income Statement'!C14</f>
        <v>-17743856.52</v>
      </c>
      <c r="E10" s="20">
        <f>-'Income Statement'!D14</f>
        <v>-11519010.515999999</v>
      </c>
      <c r="F10" s="20">
        <f>-'Income Statement'!E14</f>
        <v>-14195085.216</v>
      </c>
    </row>
    <row r="11" spans="1:6" ht="12" customHeight="1" x14ac:dyDescent="0.2">
      <c r="A11" s="1"/>
      <c r="B11" s="1"/>
      <c r="C11" s="29" t="s">
        <v>48</v>
      </c>
      <c r="D11" s="20">
        <f>-'Income Statement'!C34+'Income Statement'!C30+'Income Statement'!C31</f>
        <v>-1578535.92</v>
      </c>
      <c r="E11" s="20">
        <f>-'Income Statement'!D34+'Income Statement'!D30+'Income Statement'!D31</f>
        <v>-1446366.4800000002</v>
      </c>
      <c r="F11" s="20">
        <f>-'Income Statement'!E34+'Income Statement'!E30+'Income Statement'!E31</f>
        <v>-1298750.4400000002</v>
      </c>
    </row>
    <row r="12" spans="1:6" ht="12" customHeight="1" x14ac:dyDescent="0.2">
      <c r="A12" s="1"/>
      <c r="B12" s="1"/>
      <c r="C12" s="29" t="s">
        <v>51</v>
      </c>
      <c r="D12" s="20">
        <f>-'Income Statement'!C23</f>
        <v>-412061</v>
      </c>
      <c r="E12" s="20">
        <f>-'Income Statement'!D23</f>
        <v>-259729</v>
      </c>
      <c r="F12" s="20">
        <f>-'Income Statement'!E23</f>
        <v>-202323</v>
      </c>
    </row>
    <row r="13" spans="1:6" ht="12" customHeight="1" x14ac:dyDescent="0.2">
      <c r="A13" s="1"/>
      <c r="B13" s="1"/>
      <c r="C13" s="29" t="s">
        <v>53</v>
      </c>
      <c r="D13" s="20">
        <f>-'Income Statement'!C39</f>
        <v>-330130.11125267582</v>
      </c>
      <c r="E13" s="20">
        <f>-'Income Statement'!D39</f>
        <v>-1758.579550033179</v>
      </c>
      <c r="F13" s="20">
        <f>-'Income Statement'!E39</f>
        <v>-244673.84526270759</v>
      </c>
    </row>
    <row r="14" spans="1:6" ht="15.75" customHeight="1" x14ac:dyDescent="0.25">
      <c r="A14" s="1"/>
      <c r="B14" s="66" t="s">
        <v>62</v>
      </c>
      <c r="C14" s="53"/>
      <c r="D14" s="30">
        <f t="shared" ref="D14:F14" si="1">SUM(D8:D13)</f>
        <v>722854.3887473261</v>
      </c>
      <c r="E14" s="30">
        <f t="shared" si="1"/>
        <v>99797.878209967661</v>
      </c>
      <c r="F14" s="30">
        <f t="shared" si="1"/>
        <v>620100.25073729258</v>
      </c>
    </row>
    <row r="15" spans="1:6" ht="15.75" customHeight="1" x14ac:dyDescent="0.2">
      <c r="A15" s="1"/>
      <c r="B15" s="1"/>
      <c r="C15" s="1"/>
      <c r="D15" s="36"/>
      <c r="E15" s="36"/>
      <c r="F15" s="3"/>
    </row>
    <row r="16" spans="1:6" ht="15.75" customHeight="1" x14ac:dyDescent="0.25">
      <c r="A16" s="38" t="s">
        <v>66</v>
      </c>
      <c r="B16" s="61" t="s">
        <v>69</v>
      </c>
      <c r="C16" s="53"/>
      <c r="D16" s="40"/>
      <c r="E16" s="24"/>
      <c r="F16" s="24"/>
    </row>
    <row r="17" spans="1:6" ht="12" customHeight="1" x14ac:dyDescent="0.2">
      <c r="A17" s="1"/>
      <c r="B17" s="59" t="s">
        <v>73</v>
      </c>
      <c r="C17" s="55"/>
      <c r="D17" s="43"/>
      <c r="E17" s="43"/>
      <c r="F17" s="43"/>
    </row>
    <row r="18" spans="1:6" ht="12" customHeight="1" x14ac:dyDescent="0.2">
      <c r="A18" s="1"/>
      <c r="B18" s="1"/>
      <c r="C18" s="29" t="s">
        <v>76</v>
      </c>
      <c r="D18" s="20">
        <v>0</v>
      </c>
      <c r="E18" s="20">
        <v>0</v>
      </c>
      <c r="F18" s="20">
        <v>0</v>
      </c>
    </row>
    <row r="19" spans="1:6" ht="12" customHeight="1" x14ac:dyDescent="0.2">
      <c r="A19" s="1"/>
      <c r="B19" s="1"/>
      <c r="C19" s="29" t="s">
        <v>77</v>
      </c>
      <c r="D19" s="20">
        <v>0</v>
      </c>
      <c r="E19" s="20">
        <v>0</v>
      </c>
      <c r="F19" s="20">
        <v>0</v>
      </c>
    </row>
    <row r="20" spans="1:6" ht="12" customHeight="1" x14ac:dyDescent="0.2">
      <c r="A20" s="1"/>
      <c r="B20" s="1"/>
      <c r="C20" s="29" t="s">
        <v>78</v>
      </c>
      <c r="D20" s="20">
        <f>'Income Statement'!C8</f>
        <v>11221.31515050001</v>
      </c>
      <c r="E20" s="20">
        <f>'Income Statement'!D8</f>
        <v>11452.309311521747</v>
      </c>
      <c r="F20" s="20">
        <f>'Income Statement'!E8</f>
        <v>15509.347036306854</v>
      </c>
    </row>
    <row r="21" spans="1:6" ht="12" customHeight="1" x14ac:dyDescent="0.2">
      <c r="A21" s="1"/>
      <c r="B21" s="1"/>
      <c r="C21" s="29" t="s">
        <v>81</v>
      </c>
      <c r="D21" s="20">
        <v>0</v>
      </c>
      <c r="E21" s="20">
        <v>0</v>
      </c>
      <c r="F21" s="20">
        <v>0</v>
      </c>
    </row>
    <row r="22" spans="1:6" ht="12" customHeight="1" x14ac:dyDescent="0.2">
      <c r="A22" s="1"/>
      <c r="B22" s="59" t="s">
        <v>40</v>
      </c>
      <c r="C22" s="55"/>
      <c r="D22" s="14"/>
      <c r="E22" s="14"/>
      <c r="F22" s="14"/>
    </row>
    <row r="23" spans="1:6" ht="12" customHeight="1" x14ac:dyDescent="0.2">
      <c r="A23" s="1"/>
      <c r="B23" s="1"/>
      <c r="C23" s="29" t="s">
        <v>84</v>
      </c>
      <c r="D23" s="20">
        <f>+BalanceSheet!E17-BalanceSheet!D17</f>
        <v>-36493.200000000012</v>
      </c>
      <c r="E23" s="20">
        <f>+BalanceSheet!F17-BalanceSheet!E17</f>
        <v>-32843.880000000005</v>
      </c>
      <c r="F23" s="20">
        <v>-33812</v>
      </c>
    </row>
    <row r="24" spans="1:6" ht="12" customHeight="1" x14ac:dyDescent="0.2">
      <c r="A24" s="1"/>
      <c r="B24" s="1"/>
      <c r="C24" s="29" t="s">
        <v>88</v>
      </c>
      <c r="D24" s="20">
        <v>0</v>
      </c>
      <c r="E24" s="20">
        <v>0</v>
      </c>
      <c r="F24" s="20">
        <v>0</v>
      </c>
    </row>
    <row r="25" spans="1:6" ht="12" customHeight="1" x14ac:dyDescent="0.2">
      <c r="A25" s="1"/>
      <c r="B25" s="1"/>
      <c r="C25" s="29" t="s">
        <v>90</v>
      </c>
      <c r="D25" s="20">
        <v>0</v>
      </c>
      <c r="E25" s="20">
        <v>0</v>
      </c>
      <c r="F25" s="20">
        <v>0</v>
      </c>
    </row>
    <row r="26" spans="1:6" ht="15.75" customHeight="1" x14ac:dyDescent="0.25">
      <c r="A26" s="1"/>
      <c r="B26" s="66" t="s">
        <v>92</v>
      </c>
      <c r="C26" s="53"/>
      <c r="D26" s="30">
        <f t="shared" ref="D26:F26" si="2">SUM(D17:D25)</f>
        <v>-25271.884849500002</v>
      </c>
      <c r="E26" s="30">
        <f t="shared" si="2"/>
        <v>-21391.570688478256</v>
      </c>
      <c r="F26" s="30">
        <f t="shared" si="2"/>
        <v>-18302.652963693145</v>
      </c>
    </row>
    <row r="27" spans="1:6" ht="12" customHeight="1" x14ac:dyDescent="0.2">
      <c r="A27" s="1"/>
      <c r="B27" s="47" t="s">
        <v>66</v>
      </c>
      <c r="C27" s="1"/>
      <c r="D27" s="1"/>
      <c r="E27" s="3"/>
      <c r="F27" s="3"/>
    </row>
    <row r="28" spans="1:6" ht="15.75" customHeight="1" x14ac:dyDescent="0.25">
      <c r="A28" s="1"/>
      <c r="B28" s="61" t="s">
        <v>97</v>
      </c>
      <c r="C28" s="53"/>
      <c r="D28" s="40"/>
      <c r="E28" s="24"/>
      <c r="F28" s="24"/>
    </row>
    <row r="29" spans="1:6" ht="12" customHeight="1" x14ac:dyDescent="0.2">
      <c r="A29" s="1"/>
      <c r="B29" s="59" t="s">
        <v>73</v>
      </c>
      <c r="C29" s="55"/>
      <c r="D29" s="43"/>
      <c r="E29" s="43"/>
      <c r="F29" s="43"/>
    </row>
    <row r="30" spans="1:6" ht="12" customHeight="1" x14ac:dyDescent="0.2">
      <c r="A30" s="1"/>
      <c r="B30" s="1"/>
      <c r="C30" s="29" t="s">
        <v>100</v>
      </c>
      <c r="D30" s="20">
        <v>0</v>
      </c>
      <c r="E30" s="20">
        <v>0</v>
      </c>
      <c r="F30" s="20">
        <v>0</v>
      </c>
    </row>
    <row r="31" spans="1:6" ht="12" customHeight="1" x14ac:dyDescent="0.2">
      <c r="A31" s="1"/>
      <c r="B31" s="1"/>
      <c r="C31" s="29" t="s">
        <v>101</v>
      </c>
      <c r="D31" s="20">
        <v>0</v>
      </c>
      <c r="E31" s="20">
        <v>0</v>
      </c>
      <c r="F31" s="20">
        <v>0</v>
      </c>
    </row>
    <row r="32" spans="1:6" ht="12" customHeight="1" x14ac:dyDescent="0.2">
      <c r="A32" s="1"/>
      <c r="B32" s="59" t="s">
        <v>40</v>
      </c>
      <c r="C32" s="55"/>
      <c r="D32" s="14"/>
      <c r="E32" s="14"/>
      <c r="F32" s="14"/>
    </row>
    <row r="33" spans="1:6" ht="12" customHeight="1" x14ac:dyDescent="0.2">
      <c r="A33" s="1"/>
      <c r="B33" s="1"/>
      <c r="C33" s="29" t="s">
        <v>102</v>
      </c>
      <c r="D33" s="20"/>
      <c r="E33" s="20"/>
      <c r="F33" s="20"/>
    </row>
    <row r="34" spans="1:6" ht="12" customHeight="1" x14ac:dyDescent="0.2">
      <c r="A34" s="1"/>
      <c r="B34" s="1"/>
      <c r="C34" s="29" t="s">
        <v>104</v>
      </c>
      <c r="D34" s="20">
        <f>-BalanceSheet!D35</f>
        <v>-167852</v>
      </c>
      <c r="E34" s="20">
        <f>-BalanceSheet!E35</f>
        <v>-167852</v>
      </c>
      <c r="F34" s="20">
        <f>-BalanceSheet!F35</f>
        <v>-167852</v>
      </c>
    </row>
    <row r="35" spans="1:6" ht="12" customHeight="1" x14ac:dyDescent="0.2">
      <c r="A35" s="3"/>
      <c r="B35" s="3"/>
      <c r="C35" s="29" t="s">
        <v>107</v>
      </c>
      <c r="D35" s="20">
        <f>-'Income Statement'!C32</f>
        <v>-52829.919999999998</v>
      </c>
      <c r="E35" s="20">
        <f>-'Income Statement'!D32</f>
        <v>-66258.080000000002</v>
      </c>
      <c r="F35" s="20">
        <f>-'Income Statement'!E32</f>
        <v>-80508.08</v>
      </c>
    </row>
    <row r="36" spans="1:6" ht="12" customHeight="1" x14ac:dyDescent="0.2">
      <c r="A36" s="1"/>
      <c r="B36" s="1"/>
      <c r="C36" s="29" t="s">
        <v>113</v>
      </c>
      <c r="D36" s="20">
        <v>-500000</v>
      </c>
      <c r="E36" s="20">
        <v>-250000</v>
      </c>
      <c r="F36" s="20">
        <v>-500000</v>
      </c>
    </row>
    <row r="37" spans="1:6" ht="15.75" customHeight="1" x14ac:dyDescent="0.25">
      <c r="A37" s="1"/>
      <c r="B37" s="66" t="s">
        <v>114</v>
      </c>
      <c r="C37" s="53"/>
      <c r="D37" s="30">
        <f t="shared" ref="D37:F37" si="3">SUM(D29:D36)</f>
        <v>-720681.91999999993</v>
      </c>
      <c r="E37" s="30">
        <f t="shared" si="3"/>
        <v>-484110.08000000002</v>
      </c>
      <c r="F37" s="30">
        <f t="shared" si="3"/>
        <v>-748360.08000000007</v>
      </c>
    </row>
    <row r="38" spans="1:6" ht="12" customHeight="1" x14ac:dyDescent="0.2">
      <c r="A38" s="1"/>
      <c r="B38" s="1"/>
      <c r="C38" s="1"/>
      <c r="D38" s="43"/>
      <c r="E38" s="43"/>
      <c r="F38" s="43"/>
    </row>
    <row r="39" spans="1:6" ht="16.5" customHeight="1" x14ac:dyDescent="0.25">
      <c r="A39" s="1"/>
      <c r="B39" s="65" t="s">
        <v>117</v>
      </c>
      <c r="C39" s="53"/>
      <c r="D39" s="39">
        <f t="shared" ref="D39:F39" si="4">D14+D26+D37</f>
        <v>-23099.416102173855</v>
      </c>
      <c r="E39" s="39">
        <f t="shared" si="4"/>
        <v>-405703.77247851063</v>
      </c>
      <c r="F39" s="39">
        <f t="shared" si="4"/>
        <v>-146562.48222640064</v>
      </c>
    </row>
    <row r="40" spans="1:6" ht="13.5" customHeight="1" x14ac:dyDescent="0.2">
      <c r="A40" s="1"/>
      <c r="B40" s="1"/>
      <c r="C40" s="1"/>
      <c r="D40" s="22"/>
      <c r="E40" s="22"/>
      <c r="F40" s="22"/>
    </row>
    <row r="41" spans="1:6" ht="12" customHeight="1" x14ac:dyDescent="0.2">
      <c r="A41" s="1"/>
      <c r="B41" s="1"/>
      <c r="C41" s="6" t="s">
        <v>119</v>
      </c>
      <c r="D41" s="27">
        <f>BalanceSheet!D6</f>
        <v>1122131.515050001</v>
      </c>
      <c r="E41" s="27">
        <f t="shared" ref="E41:F41" si="5">D5</f>
        <v>1145230.9311521747</v>
      </c>
      <c r="F41" s="27">
        <f t="shared" si="5"/>
        <v>1550934.7036306853</v>
      </c>
    </row>
    <row r="42" spans="1:6" ht="15.75" customHeight="1" x14ac:dyDescent="0.2">
      <c r="A42" s="1"/>
      <c r="B42" s="1"/>
      <c r="C42" s="11"/>
      <c r="D42" s="48"/>
      <c r="E42" s="48"/>
      <c r="F42" s="48"/>
    </row>
    <row r="43" spans="1:6" ht="15.75" customHeight="1" x14ac:dyDescent="0.2">
      <c r="A43" s="1"/>
      <c r="B43" s="1"/>
      <c r="C43" s="11"/>
      <c r="D43" s="48"/>
      <c r="E43" s="48"/>
      <c r="F43" s="48"/>
    </row>
    <row r="44" spans="1:6" ht="15.75" customHeight="1" x14ac:dyDescent="0.2">
      <c r="A44" s="1"/>
      <c r="B44" s="1"/>
      <c r="C44" s="1"/>
      <c r="D44" s="48"/>
      <c r="E44" s="48"/>
      <c r="F44" s="48"/>
    </row>
  </sheetData>
  <mergeCells count="16">
    <mergeCell ref="B39:C39"/>
    <mergeCell ref="B26:C26"/>
    <mergeCell ref="B16:C16"/>
    <mergeCell ref="B14:C14"/>
    <mergeCell ref="B17:C17"/>
    <mergeCell ref="B22:C22"/>
    <mergeCell ref="B37:C37"/>
    <mergeCell ref="B32:C32"/>
    <mergeCell ref="B28:C28"/>
    <mergeCell ref="B29:C29"/>
    <mergeCell ref="B9:C9"/>
    <mergeCell ref="B8:C8"/>
    <mergeCell ref="B7:C7"/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ColWidth="17.28515625" defaultRowHeight="15" customHeight="1" x14ac:dyDescent="0.2"/>
  <cols>
    <col min="1" max="1" width="28.140625" customWidth="1"/>
    <col min="2" max="2" width="11.42578125" customWidth="1"/>
    <col min="3" max="6" width="14.42578125" customWidth="1"/>
  </cols>
  <sheetData>
    <row r="1" spans="1:2" ht="15.75" customHeight="1" x14ac:dyDescent="0.2">
      <c r="A1" s="3" t="s">
        <v>1</v>
      </c>
      <c r="B1" s="13">
        <v>250000</v>
      </c>
    </row>
    <row r="2" spans="1:2" ht="15.75" customHeight="1" x14ac:dyDescent="0.2">
      <c r="A2" s="3" t="s">
        <v>10</v>
      </c>
      <c r="B2" s="13">
        <v>185000</v>
      </c>
    </row>
    <row r="3" spans="1:2" ht="15.75" customHeight="1" x14ac:dyDescent="0.2">
      <c r="A3" s="3" t="s">
        <v>11</v>
      </c>
      <c r="B3" s="13">
        <v>120000</v>
      </c>
    </row>
    <row r="4" spans="1:2" ht="15.75" customHeight="1" x14ac:dyDescent="0.2">
      <c r="A4" s="3" t="s">
        <v>12</v>
      </c>
      <c r="B4" s="13">
        <v>75000</v>
      </c>
    </row>
    <row r="5" spans="1:2" ht="15.75" customHeight="1" x14ac:dyDescent="0.2">
      <c r="A5" s="3" t="s">
        <v>13</v>
      </c>
      <c r="B5" s="13">
        <v>52500</v>
      </c>
    </row>
    <row r="6" spans="1:2" ht="15.75" customHeight="1" x14ac:dyDescent="0.2">
      <c r="A6" s="3" t="s">
        <v>14</v>
      </c>
      <c r="B6" s="13">
        <v>45000</v>
      </c>
    </row>
    <row r="7" spans="1:2" ht="15.75" customHeight="1" x14ac:dyDescent="0.2">
      <c r="A7" s="3" t="s">
        <v>15</v>
      </c>
      <c r="B7" s="13">
        <v>36000</v>
      </c>
    </row>
    <row r="8" spans="1:2" ht="15.75" customHeight="1" x14ac:dyDescent="0.2">
      <c r="A8" s="3" t="s">
        <v>16</v>
      </c>
      <c r="B8" s="13">
        <v>58000</v>
      </c>
    </row>
    <row r="9" spans="1:2" ht="15.75" customHeight="1" x14ac:dyDescent="0.2">
      <c r="A9" s="3" t="s">
        <v>17</v>
      </c>
      <c r="B9" s="13">
        <v>45000</v>
      </c>
    </row>
    <row r="10" spans="1:2" ht="15.75" customHeight="1" x14ac:dyDescent="0.2">
      <c r="A10" s="3" t="s">
        <v>18</v>
      </c>
      <c r="B10" s="13">
        <v>45000</v>
      </c>
    </row>
    <row r="11" spans="1:2" ht="15.75" customHeight="1" x14ac:dyDescent="0.2">
      <c r="A11" s="3" t="s">
        <v>19</v>
      </c>
      <c r="B11" s="13">
        <v>40000</v>
      </c>
    </row>
    <row r="12" spans="1:2" ht="15.75" customHeight="1" x14ac:dyDescent="0.2">
      <c r="A12" s="3" t="s">
        <v>20</v>
      </c>
      <c r="B12" s="13">
        <v>85000</v>
      </c>
    </row>
    <row r="13" spans="1:2" ht="15.75" customHeight="1" x14ac:dyDescent="0.2">
      <c r="A13" s="3" t="s">
        <v>21</v>
      </c>
      <c r="B13" s="13">
        <v>71500</v>
      </c>
    </row>
    <row r="14" spans="1:2" ht="15.75" customHeight="1" x14ac:dyDescent="0.2">
      <c r="A14" s="3" t="s">
        <v>22</v>
      </c>
      <c r="B14" s="13">
        <v>150000</v>
      </c>
    </row>
    <row r="15" spans="1:2" ht="15.75" customHeight="1" x14ac:dyDescent="0.2">
      <c r="A15" s="1"/>
      <c r="B15" s="13"/>
    </row>
    <row r="16" spans="1:2" ht="15.75" customHeight="1" x14ac:dyDescent="0.2">
      <c r="A16" s="14"/>
      <c r="B16" s="19">
        <f>SUM(B1:B15)</f>
        <v>1258000</v>
      </c>
    </row>
    <row r="17" spans="1:1" ht="15.75" customHeight="1" x14ac:dyDescent="0.2">
      <c r="A17" s="1"/>
    </row>
    <row r="18" spans="1:1" ht="15.75" customHeight="1" x14ac:dyDescent="0.2">
      <c r="A18" s="3" t="s">
        <v>27</v>
      </c>
    </row>
    <row r="19" spans="1:1" ht="15.75" customHeight="1" x14ac:dyDescent="0.2">
      <c r="A19" s="1"/>
    </row>
    <row r="20" spans="1:1" ht="15.75" customHeight="1" x14ac:dyDescent="0.2">
      <c r="A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BalanceSheet</vt:lpstr>
      <vt:lpstr>Income Statement</vt:lpstr>
      <vt:lpstr>CashFlow</vt:lpstr>
      <vt:lpstr>salaries</vt:lpstr>
      <vt:lpstr>CashFlow!valuevx</vt:lpstr>
      <vt:lpstr>'Income Statement'!valuevx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Samant</dc:creator>
  <cp:lastModifiedBy>Prajakta Samant</cp:lastModifiedBy>
  <dcterms:modified xsi:type="dcterms:W3CDTF">2015-07-23T11:50:36Z</dcterms:modified>
</cp:coreProperties>
</file>