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lanceSheet" sheetId="1" r:id="rId3"/>
    <sheet state="visible" name="Income Statement" sheetId="2" r:id="rId4"/>
    <sheet state="visible" name="CashFlow" sheetId="3" r:id="rId5"/>
    <sheet state="visible" name="salaries" sheetId="4" r:id="rId6"/>
  </sheets>
  <definedNames>
    <definedName localSheetId="1" name="valuevx">'Income Statement'!$A$4:$B$4</definedName>
    <definedName localSheetId="2" name="valuevx">CashFlow!$B$6:$C$6</definedName>
  </definedNames>
  <calcPr/>
</workbook>
</file>

<file path=xl/sharedStrings.xml><?xml version="1.0" encoding="utf-8"?>
<sst xmlns="http://schemas.openxmlformats.org/spreadsheetml/2006/main" count="139" uniqueCount="129">
  <si>
    <t>Adams Supply</t>
  </si>
  <si>
    <t>Balance Sheet</t>
  </si>
  <si>
    <t>Assets</t>
  </si>
  <si>
    <t>Current Assets</t>
  </si>
  <si>
    <t>Cash</t>
  </si>
  <si>
    <t>Accounts receivable</t>
  </si>
  <si>
    <t xml:space="preserve">     (Less allowance for doubtful accounts)</t>
  </si>
  <si>
    <t>Inventory</t>
  </si>
  <si>
    <t>Prepaid expenses</t>
  </si>
  <si>
    <t>Short-term investments</t>
  </si>
  <si>
    <t>Total current assets</t>
  </si>
  <si>
    <t>Income Statement</t>
  </si>
  <si>
    <t xml:space="preserve">For the Year Ending </t>
  </si>
  <si>
    <t>Cash Flow Statement</t>
  </si>
  <si>
    <t>Fixed (Long-Term) Assets</t>
  </si>
  <si>
    <t>For the Year Ending</t>
  </si>
  <si>
    <t>Long-term investments</t>
  </si>
  <si>
    <t>Building and land</t>
  </si>
  <si>
    <t xml:space="preserve">     (Less accumulated depreciation)</t>
  </si>
  <si>
    <t>Revenue</t>
  </si>
  <si>
    <t>Cash at Beginning of Year</t>
  </si>
  <si>
    <t>Equipment Sales revenue</t>
  </si>
  <si>
    <t>Equipment and other property</t>
  </si>
  <si>
    <t>Intangible assets</t>
  </si>
  <si>
    <t>Total fixed assets</t>
  </si>
  <si>
    <t>Operations</t>
  </si>
  <si>
    <t>Other Assets</t>
  </si>
  <si>
    <t>(Less sales returns and allowances)</t>
  </si>
  <si>
    <t>Deferred income tax</t>
  </si>
  <si>
    <t>Other</t>
  </si>
  <si>
    <t>Total Other Assets</t>
  </si>
  <si>
    <t>Cash receipts from customers</t>
  </si>
  <si>
    <t>Service revenue</t>
  </si>
  <si>
    <t>Interest revenue</t>
  </si>
  <si>
    <t>Total Assets</t>
  </si>
  <si>
    <t>Other revenue</t>
  </si>
  <si>
    <t>Total Revenues</t>
  </si>
  <si>
    <t>CEO</t>
  </si>
  <si>
    <t>Cash paid for</t>
  </si>
  <si>
    <t>Cost of Goods Sold</t>
  </si>
  <si>
    <t>Liabilities and Owner's Equity</t>
  </si>
  <si>
    <t>Inventory, Jan 1</t>
  </si>
  <si>
    <t>Current Liabilities</t>
  </si>
  <si>
    <t>CO-CEO</t>
  </si>
  <si>
    <t>Chief marketing</t>
  </si>
  <si>
    <t>CFO</t>
  </si>
  <si>
    <t>acctg 1</t>
  </si>
  <si>
    <t>acctg 2</t>
  </si>
  <si>
    <t>acctg 3</t>
  </si>
  <si>
    <t>acctg 4</t>
  </si>
  <si>
    <t>Warehouse Foreman</t>
  </si>
  <si>
    <t>Warehouse 2</t>
  </si>
  <si>
    <t>Accounts payable</t>
  </si>
  <si>
    <t>Warehouse 3</t>
  </si>
  <si>
    <t>Warehouse 4</t>
  </si>
  <si>
    <t>Warehouse 5</t>
  </si>
  <si>
    <t>Warehouse 6</t>
  </si>
  <si>
    <t>Warehouse 7</t>
  </si>
  <si>
    <t>Warehouse 8</t>
  </si>
  <si>
    <t>Secretary 1</t>
  </si>
  <si>
    <t>Secretary 2</t>
  </si>
  <si>
    <t>Customer Service/Purchasing 1</t>
  </si>
  <si>
    <t>Customer Service/Purchasing 2</t>
  </si>
  <si>
    <t>Designers/Engineers 1</t>
  </si>
  <si>
    <t>Designers/Engineers 2</t>
  </si>
  <si>
    <t>Purchases</t>
  </si>
  <si>
    <t>Cost of goods available for sale</t>
  </si>
  <si>
    <t>Inventory purchases</t>
  </si>
  <si>
    <t>Short-term loans</t>
  </si>
  <si>
    <t>Income taxes payable</t>
  </si>
  <si>
    <t>Accrued salaries and wages</t>
  </si>
  <si>
    <t>Deduct inventory, Dec 31</t>
  </si>
  <si>
    <t>Unearned revenue</t>
  </si>
  <si>
    <t>Current portion of long-term debt</t>
  </si>
  <si>
    <t>General operating and administrative expenses</t>
  </si>
  <si>
    <t>Total current liabilities</t>
  </si>
  <si>
    <t>Total Cost of Goods Sold</t>
  </si>
  <si>
    <t>Long-Term Liabilities</t>
  </si>
  <si>
    <t>Selling expenses</t>
  </si>
  <si>
    <t>Long-term debt</t>
  </si>
  <si>
    <t>Selling Expenses</t>
  </si>
  <si>
    <t>Sales salaries expense (5 sales people)</t>
  </si>
  <si>
    <t>Total long-term liabilities</t>
  </si>
  <si>
    <t>Equity</t>
  </si>
  <si>
    <t>Income taxes</t>
  </si>
  <si>
    <t>Stock and Additional Paid in Capital</t>
  </si>
  <si>
    <t>Retained earnings</t>
  </si>
  <si>
    <t>Advertising expense</t>
  </si>
  <si>
    <t>Traveling expense</t>
  </si>
  <si>
    <t>Total Selling Expenses</t>
  </si>
  <si>
    <t>Net Cash Flow from Operations</t>
  </si>
  <si>
    <t>Total owner's equity</t>
  </si>
  <si>
    <t>Administrative Expenses</t>
  </si>
  <si>
    <t>Total Liabilities and Owner's Equity</t>
  </si>
  <si>
    <t>[42]</t>
  </si>
  <si>
    <t>Salaries, office and general (20 employees)</t>
  </si>
  <si>
    <t>Investing Activities</t>
  </si>
  <si>
    <t>Cash receipts from</t>
  </si>
  <si>
    <t>Telecommunications expense</t>
  </si>
  <si>
    <t>Sale of property and equipment</t>
  </si>
  <si>
    <t>Collection of principal on loans</t>
  </si>
  <si>
    <t>Interest on investments/savings</t>
  </si>
  <si>
    <t>Rent expense</t>
  </si>
  <si>
    <t>Property tax expense</t>
  </si>
  <si>
    <t>Depreciation expense</t>
  </si>
  <si>
    <t>Sale of investment securities</t>
  </si>
  <si>
    <t>Purchase of property and equipment, other</t>
  </si>
  <si>
    <t>Bad debts expense</t>
  </si>
  <si>
    <t>Making loans to other entities</t>
  </si>
  <si>
    <t>Interest expense</t>
  </si>
  <si>
    <t>Purchase of investment securities</t>
  </si>
  <si>
    <t>Net Cash Flow from Investing Activities</t>
  </si>
  <si>
    <t>Insurance expense</t>
  </si>
  <si>
    <t>Total Selling Administrative Expenses</t>
  </si>
  <si>
    <t>Financing Activities</t>
  </si>
  <si>
    <t>Issuance of stock</t>
  </si>
  <si>
    <t>Borrowing</t>
  </si>
  <si>
    <t>Repurchase of stock (treasury stock)</t>
  </si>
  <si>
    <t>Repayment of loans</t>
  </si>
  <si>
    <t>Total Selling and Administrative Expenses</t>
  </si>
  <si>
    <t>Income from operations</t>
  </si>
  <si>
    <t>Payment of interest</t>
  </si>
  <si>
    <t>Income tax expense</t>
  </si>
  <si>
    <t>Dividends</t>
  </si>
  <si>
    <t>Net Cash Flow from Financing Activities</t>
  </si>
  <si>
    <t>Net income</t>
  </si>
  <si>
    <t>{42}</t>
  </si>
  <si>
    <t>Net Increase (Decrease) in Cash</t>
  </si>
  <si>
    <t>Cash at End of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</si>
</sst>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;\(#,##0\)"/>
    <numFmt numFmtId="165" formatCode="0.0%"/>
    <numFmt numFmtId="166" formatCode="m/d/yyyy"/>
    <numFmt numFmtId="167" formatCode="_(* #,##0_);_(* \(#,##0\);_(* &quot;-&quot;??_);_(@_)"/>
    <numFmt numFmtId="168" formatCode="&quot;$&quot;#,##0"/>
    <numFmt numFmtId="169" formatCode="_(* #,##0.00_);_(* \(#,##0.00\);_(* &quot;-&quot;??_);_(@_)"/>
  </numFmts>
  <fonts count="19">
    <font>
      <sz val="10.0"/>
      <color rgb="FF000000"/>
      <name val="Arial"/>
    </font>
    <font>
      <b/>
      <sz val="16.0"/>
      <color rgb="FF000000"/>
      <name val="Arial"/>
    </font>
    <font>
      <sz val="10.0"/>
      <name val="Arial"/>
    </font>
    <font>
      <b/>
      <sz val="20.0"/>
      <color rgb="FF3B4E87"/>
      <name val="Arial"/>
    </font>
    <font>
      <b/>
      <sz val="10.0"/>
      <color rgb="FFFF0000"/>
      <name val="Arial"/>
    </font>
    <font>
      <b/>
      <sz val="14.0"/>
      <color rgb="FFFFFFFF"/>
      <name val="Arial"/>
    </font>
    <font/>
    <font>
      <b/>
      <i/>
      <sz val="10.0"/>
      <color rgb="FF000000"/>
      <name val="Arial"/>
    </font>
    <font>
      <i/>
      <sz val="10.0"/>
      <color rgb="FF000000"/>
      <name val="Arial"/>
    </font>
    <font>
      <b/>
      <sz val="16.0"/>
      <color rgb="FF3B4E87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0.0"/>
      <color rgb="FF00FF00"/>
      <name val="Arial"/>
    </font>
    <font>
      <sz val="12.0"/>
      <color rgb="FF000000"/>
      <name val="Arial"/>
    </font>
    <font>
      <sz val="10.0"/>
    </font>
    <font>
      <sz val="6.0"/>
      <color rgb="FFFFFFFF"/>
      <name val="Arial"/>
    </font>
    <font>
      <sz val="8.0"/>
      <color rgb="FF666666"/>
      <name val="Arial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E4E8F3"/>
        <bgColor rgb="FFE4E8F3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2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14" xfId="0" applyFont="1" applyNumberFormat="1"/>
    <xf borderId="0" fillId="0" fontId="4" numFmtId="0" xfId="0" applyFont="1"/>
    <xf borderId="0" fillId="2" fontId="5" numFmtId="0" xfId="0" applyAlignment="1" applyBorder="1" applyFill="1" applyFont="1">
      <alignment horizontal="left"/>
    </xf>
    <xf borderId="0" fillId="0" fontId="6" numFmtId="0" xfId="0" applyBorder="1" applyFont="1"/>
    <xf borderId="0" fillId="2" fontId="5" numFmtId="0" xfId="0" applyBorder="1" applyFont="1"/>
    <xf borderId="0" fillId="3" fontId="7" numFmtId="0" xfId="0" applyAlignment="1" applyBorder="1" applyFill="1" applyFont="1">
      <alignment horizontal="left"/>
    </xf>
    <xf borderId="0" fillId="3" fontId="0" numFmtId="164" xfId="0" applyBorder="1" applyFont="1" applyNumberFormat="1"/>
    <xf borderId="0" fillId="0" fontId="0" numFmtId="164" xfId="0" applyFont="1" applyNumberFormat="1"/>
    <xf borderId="0" fillId="0" fontId="0" numFmtId="164" xfId="0" applyAlignment="1" applyFont="1" applyNumberFormat="1">
      <alignment/>
    </xf>
    <xf borderId="0" fillId="0" fontId="2" numFmtId="164" xfId="0" applyFont="1" applyNumberFormat="1"/>
    <xf borderId="1" fillId="0" fontId="0" numFmtId="164" xfId="0" applyBorder="1" applyFont="1" applyNumberFormat="1"/>
    <xf borderId="0" fillId="0" fontId="3" numFmtId="0" xfId="0" applyAlignment="1" applyFont="1">
      <alignment horizontal="right" vertical="center"/>
    </xf>
    <xf borderId="0" fillId="0" fontId="0" numFmtId="0" xfId="0" applyAlignment="1" applyFont="1">
      <alignment horizontal="right"/>
    </xf>
    <xf borderId="0" fillId="0" fontId="2" numFmtId="165" xfId="0" applyFont="1" applyNumberFormat="1"/>
    <xf borderId="0" fillId="0" fontId="8" numFmtId="0" xfId="0" applyAlignment="1" applyFont="1">
      <alignment horizontal="left"/>
    </xf>
    <xf borderId="0" fillId="4" fontId="0" numFmtId="164" xfId="0" applyBorder="1" applyFill="1" applyFont="1" applyNumberFormat="1"/>
    <xf borderId="0" fillId="0" fontId="9" numFmtId="0" xfId="0" applyAlignment="1" applyFont="1">
      <alignment horizontal="right" vertical="center"/>
    </xf>
    <xf borderId="2" fillId="4" fontId="0" numFmtId="164" xfId="0" applyBorder="1" applyFont="1" applyNumberFormat="1"/>
    <xf borderId="0" fillId="0" fontId="9" numFmtId="0" xfId="0" applyAlignment="1" applyFont="1">
      <alignment vertical="center"/>
    </xf>
    <xf borderId="0" fillId="0" fontId="0" numFmtId="166" xfId="0" applyAlignment="1" applyFont="1" applyNumberFormat="1">
      <alignment horizontal="right"/>
    </xf>
    <xf borderId="1" fillId="0" fontId="0" numFmtId="14" xfId="0" applyBorder="1" applyFont="1" applyNumberFormat="1"/>
    <xf borderId="1" fillId="2" fontId="5" numFmtId="0" xfId="0" applyBorder="1" applyFont="1"/>
    <xf borderId="3" fillId="0" fontId="0" numFmtId="0" xfId="0" applyAlignment="1" applyBorder="1" applyFont="1">
      <alignment horizontal="right"/>
    </xf>
    <xf borderId="0" fillId="0" fontId="2" numFmtId="167" xfId="0" applyFont="1" applyNumberFormat="1"/>
    <xf borderId="4" fillId="0" fontId="0" numFmtId="164" xfId="0" applyBorder="1" applyFont="1" applyNumberFormat="1"/>
    <xf borderId="0" fillId="0" fontId="0" numFmtId="0" xfId="0" applyAlignment="1" applyFont="1">
      <alignment/>
    </xf>
    <xf borderId="2" fillId="0" fontId="2" numFmtId="0" xfId="0" applyBorder="1" applyFont="1"/>
    <xf borderId="0" fillId="2" fontId="10" numFmtId="0" xfId="0" applyAlignment="1" applyBorder="1" applyFont="1">
      <alignment horizontal="left"/>
    </xf>
    <xf borderId="1" fillId="2" fontId="10" numFmtId="0" xfId="0" applyBorder="1" applyFont="1"/>
    <xf borderId="0" fillId="0" fontId="2" numFmtId="10" xfId="0" applyFont="1" applyNumberFormat="1"/>
    <xf borderId="1" fillId="0" fontId="0" numFmtId="0" xfId="0" applyBorder="1" applyFont="1"/>
    <xf borderId="3" fillId="0" fontId="6" numFmtId="0" xfId="0" applyBorder="1" applyFont="1"/>
    <xf borderId="0" fillId="4" fontId="11" numFmtId="0" xfId="0" applyAlignment="1" applyBorder="1" applyFont="1">
      <alignment horizontal="left"/>
    </xf>
    <xf borderId="0" fillId="3" fontId="11" numFmtId="164" xfId="0" applyBorder="1" applyFont="1" applyNumberFormat="1"/>
    <xf borderId="2" fillId="4" fontId="11" numFmtId="164" xfId="0" applyBorder="1" applyFont="1" applyNumberFormat="1"/>
    <xf borderId="5" fillId="3" fontId="11" numFmtId="164" xfId="0" applyBorder="1" applyFont="1" applyNumberFormat="1"/>
    <xf borderId="0" fillId="0" fontId="2" numFmtId="0" xfId="0" applyAlignment="1" applyFont="1">
      <alignment horizontal="right"/>
    </xf>
    <xf borderId="0" fillId="0" fontId="2" numFmtId="168" xfId="0" applyFont="1" applyNumberFormat="1"/>
    <xf borderId="3" fillId="0" fontId="0" numFmtId="0" xfId="0" applyAlignment="1" applyBorder="1" applyFont="1">
      <alignment horizontal="left"/>
    </xf>
    <xf borderId="5" fillId="0" fontId="2" numFmtId="0" xfId="0" applyBorder="1" applyFont="1"/>
    <xf borderId="6" fillId="0" fontId="12" numFmtId="0" xfId="0" applyBorder="1" applyFont="1"/>
    <xf borderId="3" fillId="0" fontId="0" numFmtId="0" xfId="0" applyBorder="1" applyFont="1"/>
    <xf borderId="0" fillId="0" fontId="2" numFmtId="165" xfId="0" applyFont="1" applyNumberFormat="1"/>
    <xf borderId="4" fillId="0" fontId="12" numFmtId="164" xfId="0" applyBorder="1" applyFont="1" applyNumberFormat="1"/>
    <xf borderId="0" fillId="0" fontId="13" numFmtId="0" xfId="0" applyAlignment="1" applyFont="1">
      <alignment horizontal="right" vertical="center"/>
    </xf>
    <xf borderId="0" fillId="4" fontId="14" numFmtId="0" xfId="0" applyAlignment="1" applyBorder="1" applyFont="1">
      <alignment horizontal="left"/>
    </xf>
    <xf borderId="0" fillId="4" fontId="11" numFmtId="164" xfId="0" applyBorder="1" applyFont="1" applyNumberFormat="1"/>
    <xf borderId="0" fillId="0" fontId="15" numFmtId="165" xfId="0" applyAlignment="1" applyBorder="1" applyFont="1" applyNumberFormat="1">
      <alignment horizontal="right"/>
    </xf>
    <xf borderId="0" fillId="0" fontId="16" numFmtId="0" xfId="0" applyAlignment="1" applyFont="1">
      <alignment horizontal="right"/>
    </xf>
    <xf borderId="0" fillId="2" fontId="10" numFmtId="0" xfId="0" applyBorder="1" applyFont="1"/>
    <xf borderId="1" fillId="0" fontId="2" numFmtId="0" xfId="0" applyBorder="1" applyFont="1"/>
    <xf borderId="0" fillId="0" fontId="17" numFmtId="0" xfId="0" applyAlignment="1" applyFont="1">
      <alignment horizontal="left"/>
    </xf>
    <xf borderId="0" fillId="0" fontId="18" numFmtId="0" xfId="0" applyAlignment="1" applyFont="1">
      <alignment horizontal="right"/>
    </xf>
    <xf borderId="0" fillId="0" fontId="18" numFmtId="0" xfId="0" applyFont="1"/>
    <xf borderId="0" fillId="0" fontId="2" numFmtId="169" xfId="0" applyFont="1" applyNumberFormat="1"/>
    <xf borderId="0" fillId="3" fontId="14" numFmtId="0" xfId="0" applyAlignment="1" applyBorder="1" applyFont="1">
      <alignment horizontal="left"/>
    </xf>
    <xf borderId="4" fillId="4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71"/>
    <col customWidth="1" min="2" max="6" width="14.43"/>
  </cols>
  <sheetData>
    <row r="1" ht="15.75" customHeight="1">
      <c r="A1" s="2" t="s">
        <v>37</v>
      </c>
      <c r="B1" s="45">
        <v>275000.0</v>
      </c>
    </row>
    <row r="2" ht="15.75" customHeight="1">
      <c r="A2" s="2" t="s">
        <v>43</v>
      </c>
      <c r="B2" s="45">
        <v>250000.0</v>
      </c>
    </row>
    <row r="3" ht="15.75" customHeight="1">
      <c r="A3" s="2" t="s">
        <v>44</v>
      </c>
      <c r="B3" s="45">
        <v>125000.0</v>
      </c>
    </row>
    <row r="4" ht="15.75" customHeight="1">
      <c r="A4" s="2" t="s">
        <v>45</v>
      </c>
      <c r="B4" s="45">
        <v>120000.0</v>
      </c>
    </row>
    <row r="5" ht="15.75" customHeight="1">
      <c r="A5" s="2" t="s">
        <v>46</v>
      </c>
      <c r="B5" s="45">
        <v>100000.0</v>
      </c>
    </row>
    <row r="6" ht="15.75" customHeight="1">
      <c r="A6" s="2" t="s">
        <v>47</v>
      </c>
      <c r="B6" s="45">
        <v>60000.0</v>
      </c>
    </row>
    <row r="7" ht="15.75" customHeight="1">
      <c r="A7" s="2" t="s">
        <v>48</v>
      </c>
      <c r="B7" s="45">
        <v>42500.0</v>
      </c>
    </row>
    <row r="8" ht="15.75" customHeight="1">
      <c r="A8" s="2" t="s">
        <v>49</v>
      </c>
      <c r="B8" s="45">
        <v>40000.0</v>
      </c>
    </row>
    <row r="9" ht="15.75" customHeight="1">
      <c r="A9" s="2" t="s">
        <v>50</v>
      </c>
      <c r="B9" s="45">
        <v>75000.0</v>
      </c>
    </row>
    <row r="10" ht="15.75" customHeight="1">
      <c r="A10" s="2" t="s">
        <v>51</v>
      </c>
      <c r="B10" s="45">
        <v>60000.0</v>
      </c>
    </row>
    <row r="11" ht="15.75" customHeight="1">
      <c r="A11" s="2" t="s">
        <v>53</v>
      </c>
      <c r="B11" s="45">
        <v>55000.0</v>
      </c>
    </row>
    <row r="12" ht="15.75" customHeight="1">
      <c r="A12" s="2" t="s">
        <v>54</v>
      </c>
      <c r="B12" s="45">
        <v>55000.0</v>
      </c>
    </row>
    <row r="13" ht="15.75" customHeight="1">
      <c r="A13" s="2" t="s">
        <v>55</v>
      </c>
      <c r="B13" s="45">
        <v>50000.0</v>
      </c>
    </row>
    <row r="14" ht="15.75" customHeight="1">
      <c r="A14" s="2" t="s">
        <v>56</v>
      </c>
      <c r="B14" s="45">
        <v>40000.0</v>
      </c>
    </row>
    <row r="15" ht="15.75" customHeight="1">
      <c r="A15" s="2" t="s">
        <v>57</v>
      </c>
      <c r="B15" s="45">
        <v>37500.0</v>
      </c>
    </row>
    <row r="16" ht="15.75" customHeight="1">
      <c r="A16" s="2" t="s">
        <v>58</v>
      </c>
      <c r="B16" s="45">
        <v>35000.0</v>
      </c>
    </row>
    <row r="17" ht="15.75" customHeight="1">
      <c r="A17" s="2" t="s">
        <v>59</v>
      </c>
      <c r="B17" s="45">
        <v>35000.0</v>
      </c>
    </row>
    <row r="18" ht="15.75" customHeight="1">
      <c r="A18" s="2" t="s">
        <v>60</v>
      </c>
      <c r="B18" s="45">
        <v>33000.0</v>
      </c>
    </row>
    <row r="19" ht="15.75" customHeight="1">
      <c r="A19" s="2" t="s">
        <v>61</v>
      </c>
      <c r="B19" s="45">
        <v>48000.0</v>
      </c>
    </row>
    <row r="20" ht="15.75" customHeight="1">
      <c r="A20" s="2" t="s">
        <v>62</v>
      </c>
      <c r="B20" s="45">
        <v>42000.0</v>
      </c>
    </row>
    <row r="21" ht="15.75" customHeight="1">
      <c r="A21" s="2" t="s">
        <v>63</v>
      </c>
      <c r="B21" s="45">
        <v>85000.0</v>
      </c>
    </row>
    <row r="22" ht="15.75" customHeight="1">
      <c r="A22" s="2" t="s">
        <v>64</v>
      </c>
      <c r="B22" s="45">
        <v>83000.0</v>
      </c>
    </row>
    <row r="23" ht="15.75" customHeight="1">
      <c r="A23" s="5"/>
      <c r="B23" s="45"/>
    </row>
    <row r="24" ht="15.75" customHeight="1">
      <c r="A24" s="5"/>
      <c r="B24" s="45" t="str">
        <f>SUM(B1:B23)</f>
        <v>$1,746,000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.86"/>
    <col customWidth="1" min="2" max="2" width="34.43"/>
    <col customWidth="1" min="3" max="6" width="12.43"/>
    <col customWidth="1" hidden="1" min="7" max="7" width="8.86"/>
    <col customWidth="1" hidden="1" min="8" max="9"/>
    <col customWidth="1" min="10" max="10" width="14.43"/>
  </cols>
  <sheetData>
    <row r="1" ht="25.5" customHeight="1">
      <c r="A1" s="1" t="s">
        <v>0</v>
      </c>
      <c r="B1" s="2"/>
      <c r="C1" s="3"/>
      <c r="D1" s="4"/>
      <c r="E1" s="4"/>
      <c r="F1" s="4" t="s">
        <v>1</v>
      </c>
      <c r="G1" s="5"/>
      <c r="H1" s="5"/>
      <c r="I1" s="5"/>
    </row>
    <row r="2" ht="12.0" customHeight="1">
      <c r="A2" s="6"/>
      <c r="B2" s="7"/>
      <c r="C2" s="8"/>
      <c r="D2" s="5"/>
      <c r="E2" s="2"/>
      <c r="F2" s="2"/>
      <c r="G2" s="5"/>
      <c r="H2" s="5"/>
      <c r="I2" s="5"/>
    </row>
    <row r="3" ht="12.75" customHeight="1">
      <c r="A3" s="9"/>
      <c r="B3" s="6"/>
      <c r="C3" s="6"/>
      <c r="D3" s="8">
        <v>42004.0</v>
      </c>
      <c r="E3" s="8">
        <v>41639.0</v>
      </c>
      <c r="F3" s="8">
        <v>41274.0</v>
      </c>
      <c r="G3" s="5"/>
      <c r="H3" s="5"/>
      <c r="I3" s="5"/>
    </row>
    <row r="4" ht="15.75" customHeight="1">
      <c r="A4" s="10" t="s">
        <v>2</v>
      </c>
      <c r="B4" s="11"/>
      <c r="C4" s="12"/>
      <c r="D4" s="12"/>
      <c r="E4" s="12"/>
      <c r="F4" s="12"/>
      <c r="G4" s="5"/>
      <c r="H4" s="5"/>
      <c r="I4" s="5"/>
    </row>
    <row r="5" ht="15.75" customHeight="1">
      <c r="A5" s="13" t="s">
        <v>3</v>
      </c>
      <c r="B5" s="11"/>
      <c r="C5" s="14"/>
      <c r="D5" s="14"/>
      <c r="E5" s="14"/>
      <c r="F5" s="14"/>
      <c r="G5" s="5"/>
      <c r="H5" s="5"/>
      <c r="I5" s="5"/>
    </row>
    <row r="6" ht="15.75" customHeight="1">
      <c r="A6" s="6"/>
      <c r="B6" s="6" t="s">
        <v>4</v>
      </c>
      <c r="C6" s="15"/>
      <c r="D6" s="16">
        <v>2019530.0</v>
      </c>
      <c r="E6" s="15" t="str">
        <f>CashFlow!E40</f>
        <v>2,180,966</v>
      </c>
      <c r="F6" s="15" t="str">
        <f>CashFlow!F40</f>
        <v>4,616,401</v>
      </c>
      <c r="G6" s="5"/>
      <c r="H6" s="17">
        <v>1431925.895769231</v>
      </c>
      <c r="I6" s="5"/>
      <c r="J6" s="5" t="str">
        <f>IF(D6=CashFlow!D40,"","Does Not Match Cash Flow")</f>
        <v/>
      </c>
    </row>
    <row r="7" ht="15.75" customHeight="1">
      <c r="A7" s="6"/>
      <c r="B7" s="6" t="s">
        <v>5</v>
      </c>
      <c r="C7" s="15"/>
      <c r="D7" s="15">
        <v>252284.0</v>
      </c>
      <c r="E7" s="15">
        <v>485262.0</v>
      </c>
      <c r="F7" s="15">
        <v>395812.0</v>
      </c>
      <c r="G7" s="5"/>
      <c r="H7" s="17" t="str">
        <f>+D6+D7</f>
        <v>2,271,814</v>
      </c>
      <c r="I7" s="5"/>
    </row>
    <row r="8" ht="15.75" customHeight="1">
      <c r="A8" s="6"/>
      <c r="B8" s="6" t="s">
        <v>6</v>
      </c>
      <c r="C8" s="15"/>
      <c r="D8" s="16">
        <v>-28335.0</v>
      </c>
      <c r="E8" s="15" t="str">
        <f t="shared" ref="E8:F8" si="1">E7*-0.05</f>
        <v>(24,263)</v>
      </c>
      <c r="F8" s="15" t="str">
        <f t="shared" si="1"/>
        <v>(19,791)</v>
      </c>
      <c r="G8" s="5"/>
      <c r="H8" s="17" t="str">
        <f>+H7-H6</f>
        <v>839,888</v>
      </c>
      <c r="I8" s="5"/>
    </row>
    <row r="9" ht="15.75" customHeight="1">
      <c r="A9" s="6"/>
      <c r="B9" s="6" t="s">
        <v>7</v>
      </c>
      <c r="C9" s="15"/>
      <c r="D9" s="15">
        <v>1578880.0</v>
      </c>
      <c r="E9" s="15">
        <v>1669720.0</v>
      </c>
      <c r="F9" s="15">
        <v>1396258.0</v>
      </c>
      <c r="G9" s="5"/>
      <c r="H9" s="5"/>
      <c r="I9" s="5"/>
    </row>
    <row r="10" ht="15.75" customHeight="1">
      <c r="A10" s="6"/>
      <c r="B10" s="6" t="s">
        <v>8</v>
      </c>
      <c r="C10" s="15"/>
      <c r="D10" s="15">
        <v>57359.0</v>
      </c>
      <c r="E10" s="15">
        <v>57359.0</v>
      </c>
      <c r="F10" s="15">
        <v>57359.0</v>
      </c>
      <c r="G10" s="5"/>
      <c r="H10" s="5"/>
      <c r="I10" s="5"/>
    </row>
    <row r="11" ht="15.75" customHeight="1">
      <c r="A11" s="6"/>
      <c r="B11" s="6" t="s">
        <v>9</v>
      </c>
      <c r="C11" s="15"/>
      <c r="D11" s="18">
        <v>0.0</v>
      </c>
      <c r="E11" s="18">
        <v>0.0</v>
      </c>
      <c r="F11" s="18">
        <v>0.0</v>
      </c>
      <c r="G11" s="5"/>
      <c r="H11" s="5"/>
      <c r="I11" s="5"/>
    </row>
    <row r="12" ht="15.75" customHeight="1">
      <c r="A12" s="22" t="s">
        <v>10</v>
      </c>
      <c r="C12" s="23"/>
      <c r="D12" s="25" t="str">
        <f t="shared" ref="D12:F12" si="2">SUM(D6:D11)</f>
        <v>3,879,718</v>
      </c>
      <c r="E12" s="25" t="str">
        <f t="shared" si="2"/>
        <v>4,369,044</v>
      </c>
      <c r="F12" s="25" t="str">
        <f t="shared" si="2"/>
        <v>6,446,040</v>
      </c>
      <c r="G12" s="5"/>
      <c r="H12" s="5"/>
      <c r="I12" s="5"/>
    </row>
    <row r="13" ht="15.75" customHeight="1">
      <c r="A13" s="13" t="s">
        <v>14</v>
      </c>
      <c r="B13" s="11"/>
      <c r="C13" s="14"/>
      <c r="D13" s="14"/>
      <c r="E13" s="14"/>
      <c r="F13" s="14"/>
      <c r="G13" s="5"/>
      <c r="H13" s="5"/>
      <c r="I13" s="5"/>
    </row>
    <row r="14" ht="15.75" customHeight="1">
      <c r="A14" s="6"/>
      <c r="B14" s="6" t="s">
        <v>16</v>
      </c>
      <c r="C14" s="15"/>
      <c r="D14" s="15">
        <v>0.0</v>
      </c>
      <c r="E14" s="15">
        <v>0.0</v>
      </c>
      <c r="F14" s="15">
        <v>0.0</v>
      </c>
      <c r="G14" s="5"/>
      <c r="H14" s="5"/>
      <c r="I14" s="5"/>
    </row>
    <row r="15" ht="15.75" customHeight="1">
      <c r="A15" s="5"/>
      <c r="B15" s="6" t="s">
        <v>17</v>
      </c>
      <c r="C15" s="15"/>
      <c r="D15" s="15">
        <v>2460500.0</v>
      </c>
      <c r="E15" s="15">
        <v>2460500.0</v>
      </c>
      <c r="F15" s="15">
        <v>2460500.0</v>
      </c>
      <c r="G15" s="5"/>
      <c r="H15" s="5"/>
      <c r="I15" s="5"/>
    </row>
    <row r="16" ht="15.75" customHeight="1">
      <c r="A16" s="5"/>
      <c r="B16" s="6" t="s">
        <v>18</v>
      </c>
      <c r="C16" s="15"/>
      <c r="D16" s="15">
        <v>-574116.6666666667</v>
      </c>
      <c r="E16" s="15">
        <v>-451091.6666666667</v>
      </c>
      <c r="F16" s="15">
        <v>-328066.6666666667</v>
      </c>
      <c r="G16" s="17" t="str">
        <f>+D16-E16</f>
        <v>(123,025)</v>
      </c>
      <c r="H16" s="17" t="str">
        <f>+D16+D18-E16-E18</f>
        <v>(142,023)</v>
      </c>
      <c r="I16" s="31" t="str">
        <f>+E15/20</f>
        <v>  123,025 </v>
      </c>
    </row>
    <row r="17" ht="15.75" customHeight="1">
      <c r="A17" s="6"/>
      <c r="B17" s="6" t="s">
        <v>22</v>
      </c>
      <c r="C17" s="15"/>
      <c r="D17" s="15">
        <v>664932.0</v>
      </c>
      <c r="E17" s="15" t="str">
        <f>+D17*0.9</f>
        <v>598,439</v>
      </c>
      <c r="F17" s="15" t="str">
        <f>+E17-64258</f>
        <v>534,181</v>
      </c>
      <c r="G17" s="5"/>
      <c r="H17" s="5"/>
      <c r="I17" s="5"/>
    </row>
    <row r="18" ht="15.75" customHeight="1">
      <c r="A18" s="6"/>
      <c r="B18" s="6" t="s">
        <v>18</v>
      </c>
      <c r="C18" s="15"/>
      <c r="D18" s="15" t="str">
        <f t="shared" ref="D18:F18" si="3">(D17/7)*-2</f>
        <v>(189,981)</v>
      </c>
      <c r="E18" s="15" t="str">
        <f t="shared" si="3"/>
        <v>(170,983)</v>
      </c>
      <c r="F18" s="15" t="str">
        <f t="shared" si="3"/>
        <v>(152,623)</v>
      </c>
      <c r="G18" s="5"/>
      <c r="H18" s="5"/>
      <c r="I18" s="5"/>
    </row>
    <row r="19" ht="15.75" customHeight="1">
      <c r="A19" s="6"/>
      <c r="B19" s="6" t="s">
        <v>23</v>
      </c>
      <c r="C19" s="15"/>
      <c r="D19" s="18">
        <v>0.0</v>
      </c>
      <c r="E19" s="18">
        <v>0.0</v>
      </c>
      <c r="F19" s="18">
        <v>0.0</v>
      </c>
      <c r="G19" s="5"/>
      <c r="H19" s="5"/>
      <c r="I19" s="5"/>
    </row>
    <row r="20" ht="15.75" customHeight="1">
      <c r="A20" s="22" t="s">
        <v>24</v>
      </c>
      <c r="C20" s="23"/>
      <c r="D20" s="25" t="str">
        <f t="shared" ref="D20:F20" si="4">SUM(D14:D19)</f>
        <v>2,361,335</v>
      </c>
      <c r="E20" s="25" t="str">
        <f t="shared" si="4"/>
        <v>2,436,865</v>
      </c>
      <c r="F20" s="25" t="str">
        <f t="shared" si="4"/>
        <v>2,513,991</v>
      </c>
      <c r="G20" s="5"/>
      <c r="H20" s="5"/>
      <c r="I20" s="5"/>
    </row>
    <row r="21" ht="15.75" customHeight="1">
      <c r="A21" s="13" t="s">
        <v>26</v>
      </c>
      <c r="B21" s="11"/>
      <c r="C21" s="14"/>
      <c r="D21" s="14"/>
      <c r="E21" s="14"/>
      <c r="F21" s="14"/>
      <c r="G21" s="5"/>
      <c r="H21" s="5"/>
      <c r="I21" s="5"/>
    </row>
    <row r="22" ht="15.75" customHeight="1">
      <c r="A22" s="6"/>
      <c r="B22" s="6" t="s">
        <v>28</v>
      </c>
      <c r="C22" s="15"/>
      <c r="D22" s="15">
        <v>0.0</v>
      </c>
      <c r="E22" s="15">
        <v>0.0</v>
      </c>
      <c r="F22" s="15">
        <v>0.0</v>
      </c>
      <c r="G22" s="5"/>
      <c r="H22" s="5"/>
      <c r="I22" s="5"/>
    </row>
    <row r="23" ht="15.75" customHeight="1">
      <c r="A23" s="6"/>
      <c r="B23" s="6" t="s">
        <v>29</v>
      </c>
      <c r="C23" s="15"/>
      <c r="D23" s="18">
        <v>0.0</v>
      </c>
      <c r="E23" s="18"/>
      <c r="F23" s="18">
        <v>0.0</v>
      </c>
      <c r="G23" s="5"/>
      <c r="H23" s="5"/>
      <c r="I23" s="5"/>
    </row>
    <row r="24" ht="15.75" customHeight="1">
      <c r="A24" s="22" t="s">
        <v>30</v>
      </c>
      <c r="C24" s="23"/>
      <c r="D24" s="25" t="str">
        <f t="shared" ref="D24:F24" si="5">SUM(D22:D23)</f>
        <v>0</v>
      </c>
      <c r="E24" s="25" t="str">
        <f t="shared" si="5"/>
        <v>0</v>
      </c>
      <c r="F24" s="25" t="str">
        <f t="shared" si="5"/>
        <v>0</v>
      </c>
      <c r="G24" s="5"/>
      <c r="H24" s="5"/>
      <c r="I24" s="5"/>
    </row>
    <row r="25" ht="15.75" customHeight="1">
      <c r="A25" s="6"/>
      <c r="B25" s="6"/>
      <c r="C25" s="6"/>
      <c r="D25" s="38"/>
      <c r="E25" s="38"/>
      <c r="F25" s="38"/>
      <c r="G25" s="5"/>
      <c r="H25" s="5"/>
      <c r="I25" s="5"/>
    </row>
    <row r="26" ht="15.75" customHeight="1">
      <c r="A26" s="40" t="s">
        <v>34</v>
      </c>
      <c r="B26" s="11"/>
      <c r="C26" s="41"/>
      <c r="D26" s="43" t="str">
        <f>D12+D20+D24</f>
        <v>6,241,053</v>
      </c>
      <c r="E26" s="43" t="str">
        <f>ROUND(E12+E20+E24,0)</f>
        <v>6,805,908</v>
      </c>
      <c r="F26" s="43" t="str">
        <f>F12+F20+F24</f>
        <v>8,960,031</v>
      </c>
      <c r="G26" s="5"/>
      <c r="H26" s="5"/>
      <c r="I26" s="5"/>
    </row>
    <row r="27" ht="15.75" customHeight="1">
      <c r="A27" s="5"/>
      <c r="B27" s="5"/>
      <c r="C27" s="5"/>
      <c r="D27" s="5"/>
      <c r="E27" s="2"/>
      <c r="F27" s="2"/>
      <c r="G27" s="5"/>
      <c r="H27" s="5"/>
      <c r="I27" s="5"/>
    </row>
    <row r="28" ht="15.75" customHeight="1">
      <c r="A28" s="10" t="s">
        <v>40</v>
      </c>
      <c r="B28" s="11"/>
      <c r="C28" s="12"/>
      <c r="D28" s="12"/>
      <c r="E28" s="12"/>
      <c r="F28" s="12"/>
      <c r="G28" s="5"/>
      <c r="H28" s="5"/>
      <c r="I28" s="5"/>
    </row>
    <row r="29" ht="15.75" customHeight="1">
      <c r="A29" s="13" t="s">
        <v>42</v>
      </c>
      <c r="B29" s="11"/>
      <c r="C29" s="14"/>
      <c r="D29" s="14"/>
      <c r="E29" s="14"/>
      <c r="F29" s="14"/>
      <c r="G29" s="5"/>
      <c r="H29" s="5"/>
      <c r="I29" s="5"/>
    </row>
    <row r="30" ht="15.75" customHeight="1">
      <c r="A30" s="6"/>
      <c r="B30" s="6" t="s">
        <v>52</v>
      </c>
      <c r="C30" s="15"/>
      <c r="D30" s="15">
        <v>532099.0</v>
      </c>
      <c r="E30" s="15" t="str">
        <f>515103+54942</f>
        <v>570,045</v>
      </c>
      <c r="F30" s="15">
        <v>488694.3312400444</v>
      </c>
      <c r="G30" s="50"/>
      <c r="H30" s="2"/>
      <c r="I30" s="5"/>
    </row>
    <row r="31" ht="15.75" customHeight="1">
      <c r="A31" s="6"/>
      <c r="B31" s="6" t="s">
        <v>68</v>
      </c>
      <c r="C31" s="15"/>
      <c r="D31" s="15">
        <v>0.0</v>
      </c>
      <c r="E31" s="15">
        <v>0.0</v>
      </c>
      <c r="F31" s="15">
        <v>0.0</v>
      </c>
      <c r="G31" s="5"/>
      <c r="H31" s="2"/>
      <c r="I31" s="2"/>
    </row>
    <row r="32" ht="15.75" customHeight="1">
      <c r="A32" s="6"/>
      <c r="B32" s="6" t="s">
        <v>69</v>
      </c>
      <c r="C32" s="15"/>
      <c r="D32" s="15" t="str">
        <f>'Income Statement'!C39</f>
        <v>96,386</v>
      </c>
      <c r="E32" s="15" t="str">
        <f>'Income Statement'!D39</f>
        <v>104,053</v>
      </c>
      <c r="F32" s="15" t="str">
        <f>'Income Statement'!E39</f>
        <v>43,542</v>
      </c>
      <c r="G32" s="5"/>
      <c r="H32" s="2"/>
      <c r="I32" s="2"/>
    </row>
    <row r="33" ht="15.75" customHeight="1">
      <c r="A33" s="6"/>
      <c r="B33" s="6" t="s">
        <v>70</v>
      </c>
      <c r="C33" s="15"/>
      <c r="D33" s="15">
        <v>42045.0</v>
      </c>
      <c r="E33" s="15">
        <v>40406.0</v>
      </c>
      <c r="F33" s="15">
        <v>37841.0</v>
      </c>
      <c r="G33" s="37"/>
      <c r="H33" s="6"/>
      <c r="I33" s="2"/>
    </row>
    <row r="34" ht="15.75" customHeight="1">
      <c r="A34" s="6"/>
      <c r="B34" s="6" t="s">
        <v>72</v>
      </c>
      <c r="C34" s="15"/>
      <c r="D34" s="15">
        <v>295804.0</v>
      </c>
      <c r="E34" s="15">
        <v>212980.0</v>
      </c>
      <c r="F34" s="15">
        <v>262120.0</v>
      </c>
      <c r="G34" s="5"/>
      <c r="H34" s="2"/>
      <c r="I34" s="2"/>
    </row>
    <row r="35" ht="15.75" customHeight="1">
      <c r="A35" s="6"/>
      <c r="B35" s="6" t="s">
        <v>73</v>
      </c>
      <c r="C35" s="15"/>
      <c r="D35" s="18" t="str">
        <f t="shared" ref="D35:F35" si="6">+D38/7</f>
        <v>101,911</v>
      </c>
      <c r="E35" s="18" t="str">
        <f t="shared" si="6"/>
        <v>118,896</v>
      </c>
      <c r="F35" s="18" t="str">
        <f t="shared" si="6"/>
        <v>138,712</v>
      </c>
      <c r="G35" s="5"/>
      <c r="H35" s="2"/>
      <c r="I35" s="2"/>
    </row>
    <row r="36" ht="15.75" customHeight="1">
      <c r="A36" s="22" t="s">
        <v>75</v>
      </c>
      <c r="C36" s="23"/>
      <c r="D36" s="25" t="str">
        <f t="shared" ref="D36:F36" si="7">SUM(D30:D35)</f>
        <v>1,068,245</v>
      </c>
      <c r="E36" s="25" t="str">
        <f t="shared" si="7"/>
        <v>1,046,380</v>
      </c>
      <c r="F36" s="25" t="str">
        <f t="shared" si="7"/>
        <v>970,910</v>
      </c>
      <c r="G36" s="5"/>
      <c r="H36" s="5"/>
      <c r="I36" s="5"/>
    </row>
    <row r="37" ht="15.75" customHeight="1">
      <c r="A37" s="13" t="s">
        <v>77</v>
      </c>
      <c r="B37" s="11"/>
      <c r="C37" s="14"/>
      <c r="D37" s="14"/>
      <c r="E37" s="14"/>
      <c r="F37" s="14"/>
      <c r="G37" s="5"/>
      <c r="H37" s="5"/>
      <c r="I37" s="5"/>
    </row>
    <row r="38" ht="15.75" customHeight="1">
      <c r="A38" s="6"/>
      <c r="B38" s="6" t="s">
        <v>79</v>
      </c>
      <c r="C38" s="15"/>
      <c r="D38" s="15" t="str">
        <f t="shared" ref="D38:E38" si="8">+E38-E35</f>
        <v>713,377</v>
      </c>
      <c r="E38" s="15" t="str">
        <f t="shared" si="8"/>
        <v>832,273</v>
      </c>
      <c r="F38" s="15">
        <v>970985.63</v>
      </c>
      <c r="G38" s="5"/>
      <c r="H38" s="5"/>
      <c r="I38" s="5"/>
    </row>
    <row r="39" ht="15.75" customHeight="1">
      <c r="A39" s="6"/>
      <c r="B39" s="6" t="s">
        <v>28</v>
      </c>
      <c r="C39" s="15"/>
      <c r="D39" s="15">
        <v>0.0</v>
      </c>
      <c r="E39" s="15">
        <v>0.0</v>
      </c>
      <c r="F39" s="15">
        <v>0.0</v>
      </c>
      <c r="G39" s="5"/>
      <c r="H39" s="5"/>
      <c r="I39" s="5"/>
    </row>
    <row r="40" ht="15.75" customHeight="1">
      <c r="A40" s="6"/>
      <c r="B40" s="6" t="s">
        <v>29</v>
      </c>
      <c r="C40" s="15"/>
      <c r="D40" s="18">
        <v>0.0</v>
      </c>
      <c r="E40" s="18">
        <v>0.0</v>
      </c>
      <c r="F40" s="18">
        <v>0.0</v>
      </c>
      <c r="G40" s="5"/>
      <c r="H40" s="5"/>
      <c r="I40" s="5"/>
    </row>
    <row r="41" ht="15.75" customHeight="1">
      <c r="A41" s="22" t="s">
        <v>82</v>
      </c>
      <c r="C41" s="23"/>
      <c r="D41" s="25" t="str">
        <f t="shared" ref="D41:F41" si="9">SUM(D38:D40)</f>
        <v>713,377</v>
      </c>
      <c r="E41" s="25" t="str">
        <f t="shared" si="9"/>
        <v>832,273</v>
      </c>
      <c r="F41" s="25" t="str">
        <f t="shared" si="9"/>
        <v>970,986</v>
      </c>
      <c r="G41" s="5"/>
      <c r="H41" s="5"/>
      <c r="I41" s="5"/>
    </row>
    <row r="42" ht="15.75" customHeight="1">
      <c r="A42" s="13" t="s">
        <v>83</v>
      </c>
      <c r="B42" s="11"/>
      <c r="C42" s="14"/>
      <c r="D42" s="14"/>
      <c r="E42" s="14"/>
      <c r="F42" s="14"/>
      <c r="G42" s="5"/>
      <c r="H42" s="5"/>
      <c r="I42" s="5"/>
    </row>
    <row r="43" ht="15.75" customHeight="1">
      <c r="A43" s="6"/>
      <c r="B43" s="6" t="s">
        <v>85</v>
      </c>
      <c r="C43" s="15"/>
      <c r="D43" s="15">
        <v>375000.0</v>
      </c>
      <c r="E43" s="15">
        <v>375000.0</v>
      </c>
      <c r="F43" s="15">
        <v>375000.0</v>
      </c>
      <c r="G43" s="5"/>
      <c r="H43" s="5"/>
      <c r="I43" s="5"/>
    </row>
    <row r="44" ht="15.75" customHeight="1">
      <c r="A44" s="6"/>
      <c r="B44" s="6" t="s">
        <v>86</v>
      </c>
      <c r="C44" s="15"/>
      <c r="D44" s="15" t="str">
        <f>+E44+'Income Statement'!C40-263529</f>
        <v>6,847,297</v>
      </c>
      <c r="E44" s="15" t="str">
        <f>+F44+'Income Statement'!D40</f>
        <v>6,885,926</v>
      </c>
      <c r="F44" s="15" t="str">
        <f>F26-F36-F41-F43</f>
        <v>6,643,136</v>
      </c>
      <c r="G44" s="5"/>
      <c r="H44" s="5"/>
      <c r="I44" s="5"/>
    </row>
    <row r="45" ht="15.75" customHeight="1">
      <c r="A45" s="6"/>
      <c r="B45" s="6" t="s">
        <v>29</v>
      </c>
      <c r="C45" s="15"/>
      <c r="D45" s="18">
        <v>0.0</v>
      </c>
      <c r="E45" s="18">
        <v>0.0</v>
      </c>
      <c r="F45" s="18">
        <v>0.0</v>
      </c>
      <c r="G45" s="5"/>
      <c r="H45" s="5"/>
      <c r="I45" s="5"/>
    </row>
    <row r="46" ht="15.75" customHeight="1">
      <c r="A46" s="22" t="s">
        <v>91</v>
      </c>
      <c r="C46" s="23"/>
      <c r="D46" s="25" t="str">
        <f t="shared" ref="D46:F46" si="10">SUM(D43:D45)</f>
        <v>7,222,297</v>
      </c>
      <c r="E46" s="25" t="str">
        <f t="shared" si="10"/>
        <v>7,260,926</v>
      </c>
      <c r="F46" s="25" t="str">
        <f t="shared" si="10"/>
        <v>7,018,136</v>
      </c>
      <c r="G46" s="5"/>
      <c r="H46" s="5"/>
      <c r="I46" s="5"/>
    </row>
    <row r="47" ht="15.75" customHeight="1">
      <c r="A47" s="6"/>
      <c r="B47" s="6"/>
      <c r="C47" s="6"/>
      <c r="D47" s="38"/>
      <c r="E47" s="38"/>
      <c r="F47" s="38"/>
      <c r="G47" s="5"/>
      <c r="H47" s="5"/>
      <c r="I47" s="5"/>
    </row>
    <row r="48" ht="15.75" customHeight="1">
      <c r="A48" s="40" t="s">
        <v>93</v>
      </c>
      <c r="B48" s="11"/>
      <c r="C48" s="41"/>
      <c r="D48" s="43" t="str">
        <f>D36+D41+D46</f>
        <v>9,003,920</v>
      </c>
      <c r="E48" s="43" t="str">
        <f>ROUND(E36+E41+E46,0)</f>
        <v>9,139,579</v>
      </c>
      <c r="F48" s="43" t="str">
        <f>F36+F41+F46</f>
        <v>8,960,031</v>
      </c>
      <c r="G48" s="5"/>
      <c r="H48" s="5"/>
      <c r="I48" s="5"/>
    </row>
    <row r="49" ht="15.75" customHeight="1">
      <c r="A49" s="5"/>
      <c r="B49" s="5"/>
      <c r="C49" s="5"/>
      <c r="D49" s="17" t="str">
        <f t="shared" ref="D49:F49" si="11">IF(D26-D48&lt;1,"","ERROR")</f>
        <v/>
      </c>
      <c r="E49" s="17" t="str">
        <f t="shared" si="11"/>
        <v/>
      </c>
      <c r="F49" s="17" t="str">
        <f t="shared" si="11"/>
        <v/>
      </c>
      <c r="G49" s="5"/>
      <c r="H49" s="5"/>
      <c r="I49" s="5"/>
    </row>
    <row r="50" ht="15.75" customHeight="1">
      <c r="A50" s="5"/>
      <c r="B50" s="5"/>
      <c r="C50" s="5"/>
      <c r="D50" s="5"/>
      <c r="E50" s="2"/>
      <c r="F50" s="2"/>
      <c r="G50" s="5"/>
      <c r="H50" s="5"/>
      <c r="I50" s="5"/>
    </row>
    <row r="51" ht="15.75" customHeight="1">
      <c r="A51" s="5"/>
      <c r="B51" s="5"/>
      <c r="C51" s="5"/>
      <c r="D51" s="5"/>
      <c r="E51" s="2"/>
      <c r="F51" s="2"/>
      <c r="G51" s="5"/>
      <c r="H51" s="5"/>
      <c r="I51" s="5"/>
    </row>
    <row r="52" ht="15.75" customHeight="1">
      <c r="A52" s="5"/>
      <c r="B52" s="5"/>
      <c r="C52" s="5"/>
      <c r="D52" s="5"/>
      <c r="E52" s="2"/>
      <c r="F52" s="2"/>
      <c r="G52" s="5"/>
      <c r="H52" s="5"/>
      <c r="I52" s="5"/>
    </row>
    <row r="53" ht="12.0" customHeight="1">
      <c r="A53" s="6"/>
      <c r="B53" s="6"/>
      <c r="C53" s="6"/>
      <c r="D53" s="6"/>
      <c r="E53" s="6"/>
      <c r="F53" s="6"/>
      <c r="G53" s="5"/>
      <c r="H53" s="5"/>
      <c r="I53" s="5"/>
    </row>
    <row r="54" ht="12.0" customHeight="1">
      <c r="A54" s="59"/>
      <c r="C54" s="6"/>
      <c r="D54" s="6"/>
      <c r="E54" s="6"/>
      <c r="F54" s="6"/>
      <c r="G54" s="5"/>
      <c r="H54" s="5"/>
      <c r="I54" s="5"/>
    </row>
  </sheetData>
  <mergeCells count="17">
    <mergeCell ref="A37:B37"/>
    <mergeCell ref="A54:B54"/>
    <mergeCell ref="A41:B41"/>
    <mergeCell ref="A42:B42"/>
    <mergeCell ref="A46:B46"/>
    <mergeCell ref="A48:B48"/>
    <mergeCell ref="A36:B36"/>
    <mergeCell ref="A12:B12"/>
    <mergeCell ref="A13:B13"/>
    <mergeCell ref="A24:B24"/>
    <mergeCell ref="A21:B21"/>
    <mergeCell ref="A26:B26"/>
    <mergeCell ref="A4:B4"/>
    <mergeCell ref="A5:B5"/>
    <mergeCell ref="A28:B28"/>
    <mergeCell ref="A29:B29"/>
    <mergeCell ref="A20:B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29"/>
    <col customWidth="1" min="2" max="2" width="43.0"/>
    <col customWidth="1" min="3" max="5" width="15.86"/>
    <col customWidth="1" min="6" max="6" width="6.86"/>
  </cols>
  <sheetData>
    <row r="1" ht="26.25" customHeight="1">
      <c r="A1" s="1" t="s">
        <v>0</v>
      </c>
      <c r="B1" s="2"/>
      <c r="C1" s="19"/>
      <c r="D1" s="19"/>
      <c r="E1" s="19" t="s">
        <v>11</v>
      </c>
      <c r="F1" s="5"/>
    </row>
    <row r="2" ht="12.0" customHeight="1">
      <c r="A2" s="20"/>
      <c r="B2" s="5"/>
      <c r="C2" s="21"/>
      <c r="D2" s="21"/>
      <c r="E2" s="21"/>
      <c r="F2" s="5"/>
    </row>
    <row r="3" ht="12.0" customHeight="1">
      <c r="A3" s="9"/>
      <c r="B3" s="20" t="s">
        <v>12</v>
      </c>
      <c r="C3" s="27">
        <v>42004.0</v>
      </c>
      <c r="D3" s="27">
        <v>41639.0</v>
      </c>
      <c r="E3" s="27">
        <v>41274.0</v>
      </c>
      <c r="F3" s="5"/>
    </row>
    <row r="4" ht="18.0" customHeight="1">
      <c r="A4" s="10" t="s">
        <v>19</v>
      </c>
      <c r="B4" s="11"/>
      <c r="C4" s="29"/>
      <c r="D4" s="29"/>
      <c r="E4" s="29"/>
      <c r="F4" s="5"/>
    </row>
    <row r="5" ht="12.0" customHeight="1">
      <c r="A5" s="5"/>
      <c r="B5" s="33" t="s">
        <v>21</v>
      </c>
      <c r="C5" s="32" t="str">
        <f>5883450</f>
        <v>5,883,450</v>
      </c>
      <c r="D5" s="32" t="str">
        <f>+C5*0.85</f>
        <v>5,000,933</v>
      </c>
      <c r="E5" s="32" t="str">
        <f>+C5*0.9</f>
        <v>5,295,105</v>
      </c>
      <c r="F5" s="5"/>
    </row>
    <row r="6" ht="12.0" customHeight="1">
      <c r="A6" s="5"/>
      <c r="B6" s="6" t="s">
        <v>27</v>
      </c>
      <c r="C6" s="32">
        <v>-271105.0</v>
      </c>
      <c r="D6" s="32">
        <v>-211461.9</v>
      </c>
      <c r="E6" s="32">
        <v>-243994.5</v>
      </c>
      <c r="F6" s="37"/>
    </row>
    <row r="7" ht="12.0" customHeight="1">
      <c r="A7" s="5"/>
      <c r="B7" s="6" t="s">
        <v>32</v>
      </c>
      <c r="C7" s="32">
        <v>303912.0</v>
      </c>
      <c r="D7" s="32" t="str">
        <f t="shared" ref="D7:D8" si="1">+C7*0.8</f>
        <v>243,130</v>
      </c>
      <c r="E7" s="32" t="str">
        <f t="shared" ref="E7:E8" si="2">+C7*0.9</f>
        <v>273,521</v>
      </c>
      <c r="F7" s="5"/>
    </row>
    <row r="8" ht="12.0" customHeight="1">
      <c r="A8" s="5"/>
      <c r="B8" s="6" t="s">
        <v>33</v>
      </c>
      <c r="C8" s="32" t="str">
        <f>BalanceSheet!D6*0.01</f>
        <v>20,195</v>
      </c>
      <c r="D8" s="32" t="str">
        <f t="shared" si="1"/>
        <v>16,156</v>
      </c>
      <c r="E8" s="32" t="str">
        <f t="shared" si="2"/>
        <v>18,176</v>
      </c>
      <c r="F8" s="5"/>
    </row>
    <row r="9" ht="12.0" customHeight="1">
      <c r="A9" s="5"/>
      <c r="B9" s="6" t="s">
        <v>35</v>
      </c>
      <c r="C9" s="32">
        <v>0.0</v>
      </c>
      <c r="D9" s="32">
        <v>0.0</v>
      </c>
      <c r="E9" s="32">
        <v>0.0</v>
      </c>
      <c r="F9" s="5"/>
    </row>
    <row r="10" ht="15.75" customHeight="1">
      <c r="A10" s="40" t="s">
        <v>36</v>
      </c>
      <c r="B10" s="11"/>
      <c r="C10" s="42" t="str">
        <f t="shared" ref="C10:E10" si="3">SUM(C5:C9)</f>
        <v>5,936,452</v>
      </c>
      <c r="D10" s="42" t="str">
        <f t="shared" si="3"/>
        <v>5,048,756</v>
      </c>
      <c r="E10" s="42" t="str">
        <f t="shared" si="3"/>
        <v>5,342,807</v>
      </c>
      <c r="F10" s="5"/>
    </row>
    <row r="11" ht="12.0" customHeight="1">
      <c r="A11" s="5"/>
      <c r="B11" s="5"/>
      <c r="C11" s="44"/>
      <c r="D11" s="44"/>
      <c r="E11" s="44"/>
      <c r="F11" s="5"/>
    </row>
    <row r="12" ht="18.0" customHeight="1">
      <c r="A12" s="10" t="s">
        <v>39</v>
      </c>
      <c r="B12" s="11"/>
      <c r="C12" s="29"/>
      <c r="D12" s="29"/>
      <c r="E12" s="29"/>
      <c r="F12" s="5"/>
    </row>
    <row r="13" ht="18.0" customHeight="1">
      <c r="A13" s="5"/>
      <c r="B13" s="46" t="s">
        <v>41</v>
      </c>
      <c r="C13" s="32" t="str">
        <f t="shared" ref="C13:D13" si="4">+D16</f>
        <v>1,669,720</v>
      </c>
      <c r="D13" s="32" t="str">
        <f t="shared" si="4"/>
        <v>1,396,258</v>
      </c>
      <c r="E13" s="32">
        <v>1398587.0</v>
      </c>
      <c r="F13" s="5"/>
    </row>
    <row r="14" ht="18.0" customHeight="1">
      <c r="A14" s="5"/>
      <c r="B14" s="46" t="s">
        <v>65</v>
      </c>
      <c r="C14" s="32">
        <v>2900643.0</v>
      </c>
      <c r="D14" s="32">
        <v>2320514.4</v>
      </c>
      <c r="E14" s="32">
        <v>2610578.7</v>
      </c>
      <c r="F14" s="5"/>
    </row>
    <row r="15" ht="18.0" customHeight="1">
      <c r="A15" s="5"/>
      <c r="B15" s="48" t="s">
        <v>66</v>
      </c>
      <c r="C15" s="51" t="str">
        <f t="shared" ref="C15:E15" si="5">C13+C14</f>
        <v>4,570,363</v>
      </c>
      <c r="D15" s="51" t="str">
        <f t="shared" si="5"/>
        <v>3,716,772</v>
      </c>
      <c r="E15" s="51" t="str">
        <f t="shared" si="5"/>
        <v>4,009,166</v>
      </c>
      <c r="F15" s="5"/>
    </row>
    <row r="16" ht="18.0" customHeight="1">
      <c r="A16" s="5"/>
      <c r="B16" s="7" t="s">
        <v>71</v>
      </c>
      <c r="C16" s="32" t="str">
        <f>+BalanceSheet!D9</f>
        <v>1,578,880</v>
      </c>
      <c r="D16" s="32" t="str">
        <f>+BalanceSheet!E9</f>
        <v>1,669,720</v>
      </c>
      <c r="E16" s="32" t="str">
        <f>+BalanceSheet!F9</f>
        <v>1,396,258</v>
      </c>
      <c r="F16" s="5"/>
    </row>
    <row r="17" ht="18.0" customHeight="1">
      <c r="A17" s="40" t="s">
        <v>76</v>
      </c>
      <c r="B17" s="11"/>
      <c r="C17" s="42" t="str">
        <f t="shared" ref="C17:E17" si="6">C15-C16</f>
        <v>2,991,483</v>
      </c>
      <c r="D17" s="42" t="str">
        <f t="shared" si="6"/>
        <v>2,047,052</v>
      </c>
      <c r="E17" s="42" t="str">
        <f t="shared" si="6"/>
        <v>2,612,908</v>
      </c>
      <c r="F17" s="5"/>
    </row>
    <row r="18" ht="18.0" customHeight="1">
      <c r="A18" s="5"/>
      <c r="B18" s="5"/>
      <c r="C18" s="52"/>
      <c r="D18" s="52"/>
      <c r="E18" s="52"/>
      <c r="F18" s="5"/>
    </row>
    <row r="19" ht="18.0" customHeight="1">
      <c r="A19" s="10" t="s">
        <v>80</v>
      </c>
      <c r="B19" s="11"/>
      <c r="C19" s="29"/>
      <c r="D19" s="29"/>
      <c r="E19" s="29"/>
      <c r="F19" s="5"/>
    </row>
    <row r="20" ht="12.0" customHeight="1">
      <c r="A20" s="5"/>
      <c r="B20" s="49" t="s">
        <v>81</v>
      </c>
      <c r="C20" s="32" t="str">
        <f>C10*0.05</f>
        <v>296,823</v>
      </c>
      <c r="D20" s="32">
        <v>267855.0</v>
      </c>
      <c r="E20" s="32" t="str">
        <f>E10*0.05</f>
        <v>267,140</v>
      </c>
      <c r="F20" s="5"/>
    </row>
    <row r="21" ht="12.0" customHeight="1">
      <c r="A21" s="5"/>
      <c r="B21" s="49" t="s">
        <v>87</v>
      </c>
      <c r="C21" s="32">
        <v>46819.0</v>
      </c>
      <c r="D21" s="32">
        <v>77455.0</v>
      </c>
      <c r="E21" s="32" t="str">
        <f t="shared" ref="E21:E22" si="7">+C21*0.9</f>
        <v>42,137</v>
      </c>
      <c r="F21" s="5"/>
    </row>
    <row r="22" ht="12.0" customHeight="1">
      <c r="A22" s="5"/>
      <c r="B22" s="49" t="s">
        <v>88</v>
      </c>
      <c r="C22" s="32">
        <v>29133.0</v>
      </c>
      <c r="D22" s="32">
        <v>46306.0</v>
      </c>
      <c r="E22" s="32" t="str">
        <f t="shared" si="7"/>
        <v>26,220</v>
      </c>
      <c r="F22" s="5"/>
    </row>
    <row r="23" ht="15.75" customHeight="1">
      <c r="A23" s="40" t="s">
        <v>89</v>
      </c>
      <c r="B23" s="11"/>
      <c r="C23" s="54" t="str">
        <f t="shared" ref="C23:E23" si="8">SUM(C20:C22)</f>
        <v>372,775</v>
      </c>
      <c r="D23" s="54" t="str">
        <f t="shared" si="8"/>
        <v>391,616</v>
      </c>
      <c r="E23" s="54" t="str">
        <f t="shared" si="8"/>
        <v>335,497</v>
      </c>
      <c r="F23" s="5"/>
    </row>
    <row r="24" ht="12.0" customHeight="1">
      <c r="A24" s="5"/>
      <c r="B24" s="6"/>
      <c r="C24" s="15"/>
      <c r="D24" s="15"/>
      <c r="E24" s="15"/>
      <c r="F24" s="5"/>
    </row>
    <row r="25" ht="16.5" customHeight="1">
      <c r="A25" s="10" t="s">
        <v>92</v>
      </c>
      <c r="B25" s="11"/>
      <c r="C25" s="29"/>
      <c r="D25" s="29"/>
      <c r="E25" s="29"/>
      <c r="F25" s="5"/>
    </row>
    <row r="26" ht="12.0" customHeight="1">
      <c r="A26" s="5"/>
      <c r="B26" s="49" t="s">
        <v>95</v>
      </c>
      <c r="C26" s="32" t="str">
        <f>salaries!B24+(1523*12)</f>
        <v>1,764,276</v>
      </c>
      <c r="D26" s="32" t="str">
        <f>C26+15456</f>
        <v>1,779,732</v>
      </c>
      <c r="E26" s="32" t="str">
        <f>D26-9912</f>
        <v>1,769,820</v>
      </c>
      <c r="F26" s="5"/>
    </row>
    <row r="27" ht="12.0" customHeight="1">
      <c r="A27" s="5"/>
      <c r="B27" s="49" t="s">
        <v>98</v>
      </c>
      <c r="C27" s="32" t="str">
        <f>1800*12</f>
        <v>21,600</v>
      </c>
      <c r="D27" s="32" t="str">
        <f>+C27*0.8</f>
        <v>17,280</v>
      </c>
      <c r="E27" s="32" t="str">
        <f>+C27*0.9</f>
        <v>19,440</v>
      </c>
      <c r="F27" s="5"/>
    </row>
    <row r="28" ht="12.0" customHeight="1">
      <c r="A28" s="5"/>
      <c r="B28" s="49" t="s">
        <v>102</v>
      </c>
      <c r="C28" s="32" t="str">
        <f>12500*12</f>
        <v>150,000</v>
      </c>
      <c r="D28" s="32" t="str">
        <f t="shared" ref="D28:E28" si="9">+C28*0.95</f>
        <v>142,500</v>
      </c>
      <c r="E28" s="32" t="str">
        <f t="shared" si="9"/>
        <v>135,375</v>
      </c>
      <c r="F28" s="5"/>
    </row>
    <row r="29" ht="12.0" customHeight="1">
      <c r="A29" s="5"/>
      <c r="B29" s="49" t="s">
        <v>103</v>
      </c>
      <c r="C29" s="32">
        <v>66295.0</v>
      </c>
      <c r="D29" s="32">
        <v>65198.0</v>
      </c>
      <c r="E29" s="32">
        <v>55300.0</v>
      </c>
      <c r="F29" s="5"/>
    </row>
    <row r="30" ht="12.0" customHeight="1">
      <c r="A30" s="5"/>
      <c r="B30" s="49" t="s">
        <v>104</v>
      </c>
      <c r="C30" s="32" t="str">
        <f>-BalanceSheet!D18+BalanceSheet!E18+BalanceSheet!I16</f>
        <v>142,023</v>
      </c>
      <c r="D30" s="32" t="str">
        <f>-BalanceSheet!E18+BalanceSheet!F18+BalanceSheet!I16</f>
        <v>141,384</v>
      </c>
      <c r="E30" s="32" t="str">
        <f>17859+BalanceSheet!I16</f>
        <v>140,884</v>
      </c>
      <c r="F30" s="5"/>
    </row>
    <row r="31" ht="12.0" customHeight="1">
      <c r="A31" s="5"/>
      <c r="B31" s="49" t="s">
        <v>107</v>
      </c>
      <c r="C31" s="32">
        <v>4200.0</v>
      </c>
      <c r="D31" s="32">
        <v>3276.0</v>
      </c>
      <c r="E31" s="32">
        <v>3780.0</v>
      </c>
      <c r="F31" s="5"/>
    </row>
    <row r="32" ht="12.0" customHeight="1">
      <c r="A32" s="5"/>
      <c r="B32" s="49" t="s">
        <v>109</v>
      </c>
      <c r="C32" s="32" t="str">
        <f>(BalanceSheet!E35+BalanceSheet!E38)*0.08</f>
        <v>76,094</v>
      </c>
      <c r="D32" s="32" t="str">
        <f>(BalanceSheet!F35+BalanceSheet!F38)*0.08</f>
        <v>88,776</v>
      </c>
      <c r="E32" s="32" t="str">
        <f>+D32+12043</f>
        <v>100,819</v>
      </c>
      <c r="F32" s="5"/>
    </row>
    <row r="33" ht="12.0" customHeight="1">
      <c r="A33" s="5"/>
      <c r="B33" s="49" t="s">
        <v>112</v>
      </c>
      <c r="C33" s="32">
        <v>26420.0</v>
      </c>
      <c r="D33" s="32" t="str">
        <f t="shared" ref="D33:E33" si="10">+C33*0.95</f>
        <v>25,099</v>
      </c>
      <c r="E33" s="32" t="str">
        <f t="shared" si="10"/>
        <v>23,844</v>
      </c>
      <c r="F33" s="5"/>
    </row>
    <row r="34" ht="15.75" customHeight="1">
      <c r="A34" s="40" t="s">
        <v>113</v>
      </c>
      <c r="B34" s="11"/>
      <c r="C34" s="54" t="str">
        <f t="shared" ref="C34:E34" si="11">SUM(C26:C33)</f>
        <v>2,250,908</v>
      </c>
      <c r="D34" s="54" t="str">
        <f t="shared" si="11"/>
        <v>2,263,245</v>
      </c>
      <c r="E34" s="54" t="str">
        <f t="shared" si="11"/>
        <v>2,249,262</v>
      </c>
      <c r="F34" s="5"/>
    </row>
    <row r="35" ht="15.75" customHeight="1">
      <c r="A35" s="5"/>
      <c r="B35" s="5"/>
      <c r="C35" s="5"/>
      <c r="D35" s="2"/>
      <c r="E35" s="2"/>
      <c r="F35" s="5"/>
    </row>
    <row r="36" ht="15.75" customHeight="1">
      <c r="A36" s="40" t="s">
        <v>119</v>
      </c>
      <c r="B36" s="11"/>
      <c r="C36" s="54" t="str">
        <f t="shared" ref="C36:E36" si="12">C23+C34</f>
        <v>2,623,682</v>
      </c>
      <c r="D36" s="54" t="str">
        <f t="shared" si="12"/>
        <v>2,654,861</v>
      </c>
      <c r="E36" s="54" t="str">
        <f t="shared" si="12"/>
        <v>2,584,759</v>
      </c>
      <c r="F36" s="5"/>
    </row>
    <row r="37" ht="15.75" customHeight="1">
      <c r="A37" s="5"/>
      <c r="B37" s="5"/>
      <c r="C37" s="5"/>
      <c r="D37" s="2"/>
      <c r="E37" s="2"/>
      <c r="F37" s="5"/>
    </row>
    <row r="38" ht="15.75" customHeight="1">
      <c r="A38" s="40" t="s">
        <v>120</v>
      </c>
      <c r="B38" s="11"/>
      <c r="C38" s="54" t="str">
        <f t="shared" ref="C38:E38" si="13">C10-C17-C36</f>
        <v>321,287</v>
      </c>
      <c r="D38" s="54" t="str">
        <f t="shared" si="13"/>
        <v>346,843</v>
      </c>
      <c r="E38" s="54" t="str">
        <f t="shared" si="13"/>
        <v>145,140</v>
      </c>
      <c r="F38" s="5"/>
    </row>
    <row r="39" ht="12.0" customHeight="1">
      <c r="A39" s="5"/>
      <c r="B39" s="6" t="s">
        <v>122</v>
      </c>
      <c r="C39" s="32" t="str">
        <f t="shared" ref="C39:E39" si="14">C38*0.3</f>
        <v>96,386</v>
      </c>
      <c r="D39" s="32" t="str">
        <f t="shared" si="14"/>
        <v>104,053</v>
      </c>
      <c r="E39" s="32" t="str">
        <f t="shared" si="14"/>
        <v>43,542</v>
      </c>
      <c r="F39" s="5"/>
    </row>
    <row r="40" ht="15.75" customHeight="1">
      <c r="A40" s="40" t="s">
        <v>125</v>
      </c>
      <c r="B40" s="11"/>
      <c r="C40" s="54" t="str">
        <f t="shared" ref="C40:E40" si="15">C38-C39</f>
        <v>224,901</v>
      </c>
      <c r="D40" s="54" t="str">
        <f t="shared" si="15"/>
        <v>242,790</v>
      </c>
      <c r="E40" s="54" t="str">
        <f t="shared" si="15"/>
        <v>101,598</v>
      </c>
      <c r="F40" s="5"/>
    </row>
    <row r="41" ht="12.0" customHeight="1">
      <c r="A41" s="5"/>
      <c r="B41" s="61" t="s">
        <v>126</v>
      </c>
      <c r="C41" s="5"/>
      <c r="D41" s="2"/>
      <c r="E41" s="2"/>
      <c r="F41" s="5"/>
    </row>
    <row r="42" ht="16.5" customHeight="1">
      <c r="A42" s="5"/>
      <c r="B42" s="44"/>
      <c r="C42" s="62"/>
      <c r="D42" s="62"/>
      <c r="E42" s="2"/>
      <c r="F42" s="5"/>
    </row>
    <row r="43" ht="16.5" customHeight="1">
      <c r="A43" s="5"/>
      <c r="B43" s="44"/>
      <c r="C43" s="62"/>
      <c r="D43" s="62"/>
      <c r="E43" s="62"/>
      <c r="F43" s="62"/>
    </row>
  </sheetData>
  <mergeCells count="11">
    <mergeCell ref="A40:B40"/>
    <mergeCell ref="A38:B38"/>
    <mergeCell ref="A25:B25"/>
    <mergeCell ref="A23:B23"/>
    <mergeCell ref="A10:B10"/>
    <mergeCell ref="A4:B4"/>
    <mergeCell ref="A12:B12"/>
    <mergeCell ref="A19:B19"/>
    <mergeCell ref="A17:B17"/>
    <mergeCell ref="A36:B36"/>
    <mergeCell ref="A34:B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4.0"/>
    <col customWidth="1" min="2" max="2" width="6.0"/>
    <col customWidth="1" min="3" max="3" width="48.71"/>
    <col customWidth="1" min="4" max="6" width="14.14"/>
    <col customWidth="1" min="7" max="7" width="18.0"/>
  </cols>
  <sheetData>
    <row r="1" ht="20.25" customHeight="1">
      <c r="A1" s="5"/>
      <c r="B1" s="1" t="s">
        <v>0</v>
      </c>
      <c r="C1" s="2"/>
      <c r="D1" s="2"/>
      <c r="E1" s="5"/>
      <c r="F1" s="24" t="s">
        <v>13</v>
      </c>
      <c r="G1" s="5"/>
    </row>
    <row r="2" ht="20.25" customHeight="1">
      <c r="A2" s="5"/>
      <c r="B2" s="26"/>
      <c r="C2" s="26"/>
      <c r="D2" s="26"/>
      <c r="E2" s="26"/>
      <c r="F2" s="26"/>
      <c r="G2" s="5"/>
    </row>
    <row r="3" ht="12.0" customHeight="1">
      <c r="A3" s="5"/>
      <c r="B3" s="5"/>
      <c r="C3" s="20" t="s">
        <v>15</v>
      </c>
      <c r="D3" s="28">
        <v>42004.0</v>
      </c>
      <c r="E3" s="28">
        <v>41639.0</v>
      </c>
      <c r="F3" s="28">
        <v>41274.0</v>
      </c>
      <c r="G3" s="5"/>
    </row>
    <row r="4" ht="12.0" customHeight="1">
      <c r="A4" s="5"/>
      <c r="B4" s="5"/>
      <c r="C4" s="30" t="s">
        <v>20</v>
      </c>
      <c r="D4" s="32" t="str">
        <f>D40-D38</f>
        <v>2,180,966</v>
      </c>
      <c r="E4" s="32" t="str">
        <f>E40+E40-E38</f>
        <v>4,616,401</v>
      </c>
      <c r="F4" s="32" t="str">
        <f>F40-F38</f>
        <v>4,731,048</v>
      </c>
      <c r="G4" s="5"/>
    </row>
    <row r="5" ht="12.0" customHeight="1">
      <c r="A5" s="9"/>
      <c r="B5" s="5"/>
      <c r="C5" s="5"/>
      <c r="D5" s="34"/>
      <c r="E5" s="34"/>
      <c r="F5" s="34"/>
      <c r="G5" s="5"/>
    </row>
    <row r="6" ht="15.75" customHeight="1">
      <c r="A6" s="5"/>
      <c r="B6" s="35" t="s">
        <v>25</v>
      </c>
      <c r="C6" s="11"/>
      <c r="D6" s="36"/>
      <c r="E6" s="36"/>
      <c r="F6" s="36"/>
      <c r="G6" s="5"/>
    </row>
    <row r="7" ht="12.0" customHeight="1">
      <c r="A7" s="5"/>
      <c r="B7" s="7" t="s">
        <v>31</v>
      </c>
      <c r="C7" s="39"/>
      <c r="D7" s="32" t="str">
        <f>'Income Statement'!C5+'Income Statement'!C7+'Income Statement'!C6+BalanceSheet!D7+BalanceSheet!D8-BalanceSheet!E7-BalanceSheet!E8</f>
        <v>5,679,207</v>
      </c>
      <c r="E7" s="32" t="str">
        <f>'Income Statement'!D5+'Income Statement'!D7+'Income Statement'!D6+BalanceSheet!E7+BalanceSheet!E8-BalanceSheet!F7-BalanceSheet!F8</f>
        <v>5,117,578</v>
      </c>
      <c r="F7" s="32" t="str">
        <f>'Income Statement'!E5+'Income Statement'!E7+'Income Statement'!E6</f>
        <v>5,324,631</v>
      </c>
      <c r="G7" s="5"/>
    </row>
    <row r="8" ht="12.0" customHeight="1">
      <c r="A8" s="5"/>
      <c r="B8" s="7" t="s">
        <v>38</v>
      </c>
      <c r="D8" s="47"/>
      <c r="E8" s="47"/>
      <c r="F8" s="47"/>
      <c r="G8" s="5"/>
    </row>
    <row r="9" ht="12.0" customHeight="1">
      <c r="A9" s="5"/>
      <c r="B9" s="5"/>
      <c r="C9" s="49" t="s">
        <v>67</v>
      </c>
      <c r="D9" s="32" t="str">
        <f>-'Income Statement'!C14</f>
        <v>(2,900,643)</v>
      </c>
      <c r="E9" s="32" t="str">
        <f>-'Income Statement'!D14</f>
        <v>(2,320,514)</v>
      </c>
      <c r="F9" s="32" t="str">
        <f>-'Income Statement'!E14</f>
        <v>(2,610,579)</v>
      </c>
      <c r="G9" s="5"/>
    </row>
    <row r="10" ht="12.0" customHeight="1">
      <c r="A10" s="5"/>
      <c r="B10" s="5"/>
      <c r="C10" s="49" t="s">
        <v>74</v>
      </c>
      <c r="D10" s="32" t="str">
        <f>-'Income Statement'!C34</f>
        <v>(2,250,908)</v>
      </c>
      <c r="E10" s="32" t="str">
        <f>-'Income Statement'!D34+8292</f>
        <v>(2,254,953)</v>
      </c>
      <c r="F10" s="32" t="str">
        <f>-'Income Statement'!E34</f>
        <v>(2,249,262)</v>
      </c>
      <c r="G10" s="5"/>
    </row>
    <row r="11" ht="12.0" customHeight="1">
      <c r="A11" s="5"/>
      <c r="B11" s="5"/>
      <c r="C11" s="49" t="s">
        <v>78</v>
      </c>
      <c r="D11" s="32" t="str">
        <f>-'Income Statement'!C23</f>
        <v>(372,775)</v>
      </c>
      <c r="E11" s="32" t="str">
        <f>-'Income Statement'!D23</f>
        <v>(391,616)</v>
      </c>
      <c r="F11" s="32" t="str">
        <f>-'Income Statement'!E23</f>
        <v>(335,497)</v>
      </c>
      <c r="G11" s="5"/>
    </row>
    <row r="12" ht="12.0" customHeight="1">
      <c r="A12" s="5"/>
      <c r="B12" s="5"/>
      <c r="C12" s="49" t="s">
        <v>84</v>
      </c>
      <c r="D12" s="32" t="str">
        <f>-'Income Statement'!C39</f>
        <v>(96,386)</v>
      </c>
      <c r="E12" s="32" t="str">
        <f>-'Income Statement'!D39</f>
        <v>(104,053)</v>
      </c>
      <c r="F12" s="32" t="str">
        <f>-'Income Statement'!E39</f>
        <v>(43,542)</v>
      </c>
      <c r="G12" s="5"/>
    </row>
    <row r="13" ht="15.75" customHeight="1">
      <c r="A13" s="5"/>
      <c r="B13" s="53" t="s">
        <v>90</v>
      </c>
      <c r="C13" s="11"/>
      <c r="D13" s="42" t="str">
        <f t="shared" ref="D13:F13" si="1">SUM(D7:D12)</f>
        <v>58,496</v>
      </c>
      <c r="E13" s="42" t="str">
        <f t="shared" si="1"/>
        <v>46,441</v>
      </c>
      <c r="F13" s="42" t="str">
        <f t="shared" si="1"/>
        <v>85,751</v>
      </c>
      <c r="G13" s="5"/>
    </row>
    <row r="14" ht="15.75" customHeight="1">
      <c r="A14" s="5"/>
      <c r="B14" s="5"/>
      <c r="C14" s="5"/>
      <c r="D14" s="55"/>
      <c r="E14" s="55"/>
      <c r="F14" s="2"/>
      <c r="G14" s="5"/>
    </row>
    <row r="15" ht="15.75" customHeight="1">
      <c r="A15" s="56" t="s">
        <v>94</v>
      </c>
      <c r="B15" s="35" t="s">
        <v>96</v>
      </c>
      <c r="C15" s="11"/>
      <c r="D15" s="57"/>
      <c r="E15" s="36"/>
      <c r="F15" s="36"/>
      <c r="G15" s="5"/>
    </row>
    <row r="16" ht="12.0" customHeight="1">
      <c r="A16" s="5"/>
      <c r="B16" s="7" t="s">
        <v>97</v>
      </c>
      <c r="D16" s="58"/>
      <c r="E16" s="58"/>
      <c r="F16" s="58"/>
      <c r="G16" s="5"/>
    </row>
    <row r="17" ht="12.0" customHeight="1">
      <c r="A17" s="5"/>
      <c r="B17" s="5"/>
      <c r="C17" s="49" t="s">
        <v>99</v>
      </c>
      <c r="D17" s="32">
        <v>0.0</v>
      </c>
      <c r="E17" s="32">
        <v>0.0</v>
      </c>
      <c r="F17" s="32">
        <v>140361.0</v>
      </c>
      <c r="G17" s="5"/>
    </row>
    <row r="18" ht="12.0" customHeight="1">
      <c r="A18" s="5"/>
      <c r="B18" s="5"/>
      <c r="C18" s="49" t="s">
        <v>100</v>
      </c>
      <c r="D18" s="32">
        <v>0.0</v>
      </c>
      <c r="E18" s="32">
        <v>0.0</v>
      </c>
      <c r="F18" s="32">
        <v>0.0</v>
      </c>
      <c r="G18" s="5"/>
    </row>
    <row r="19" ht="12.0" customHeight="1">
      <c r="A19" s="5"/>
      <c r="B19" s="5"/>
      <c r="C19" s="49" t="s">
        <v>101</v>
      </c>
      <c r="D19" s="32" t="str">
        <f>'Income Statement'!C8</f>
        <v>20,195</v>
      </c>
      <c r="E19" s="32" t="str">
        <f>'Income Statement'!D8</f>
        <v>16,156</v>
      </c>
      <c r="F19" s="32" t="str">
        <f>'Income Statement'!E8</f>
        <v>18,176</v>
      </c>
      <c r="G19" s="5"/>
    </row>
    <row r="20" ht="12.0" customHeight="1">
      <c r="A20" s="5"/>
      <c r="B20" s="5"/>
      <c r="C20" s="49" t="s">
        <v>105</v>
      </c>
      <c r="D20" s="32">
        <v>0.0</v>
      </c>
      <c r="E20" s="32">
        <v>0.0</v>
      </c>
      <c r="F20" s="32">
        <v>0.0</v>
      </c>
      <c r="G20" s="5"/>
    </row>
    <row r="21" ht="12.0" customHeight="1">
      <c r="A21" s="5"/>
      <c r="B21" s="7" t="s">
        <v>38</v>
      </c>
      <c r="D21" s="47"/>
      <c r="E21" s="47"/>
      <c r="F21" s="47"/>
      <c r="G21" s="5"/>
    </row>
    <row r="22" ht="12.0" customHeight="1">
      <c r="A22" s="5"/>
      <c r="B22" s="5"/>
      <c r="C22" s="49" t="s">
        <v>106</v>
      </c>
      <c r="D22" s="32" t="str">
        <f>-BalanceSheet!D23+BalanceSheet!E23</f>
        <v>0</v>
      </c>
      <c r="E22" s="32" t="str">
        <f>-BalanceSheet!E17+BalanceSheet!F17</f>
        <v>(64,258)</v>
      </c>
      <c r="F22" s="32">
        <v>-93846.0</v>
      </c>
      <c r="G22" s="5"/>
    </row>
    <row r="23" ht="12.0" customHeight="1">
      <c r="A23" s="5"/>
      <c r="B23" s="5"/>
      <c r="C23" s="49" t="s">
        <v>108</v>
      </c>
      <c r="D23" s="32">
        <v>0.0</v>
      </c>
      <c r="E23" s="32">
        <v>0.0</v>
      </c>
      <c r="F23" s="32">
        <v>0.0</v>
      </c>
      <c r="G23" s="5"/>
    </row>
    <row r="24" ht="12.0" customHeight="1">
      <c r="A24" s="5"/>
      <c r="B24" s="5"/>
      <c r="C24" s="49" t="s">
        <v>110</v>
      </c>
      <c r="D24" s="32">
        <v>0.0</v>
      </c>
      <c r="E24" s="32">
        <v>0.0</v>
      </c>
      <c r="F24" s="32">
        <v>0.0</v>
      </c>
      <c r="G24" s="5"/>
    </row>
    <row r="25" ht="15.75" customHeight="1">
      <c r="A25" s="5"/>
      <c r="B25" s="53" t="s">
        <v>111</v>
      </c>
      <c r="C25" s="11"/>
      <c r="D25" s="42" t="str">
        <f t="shared" ref="D25:F25" si="2">SUM(D16:D24)</f>
        <v>20,195</v>
      </c>
      <c r="E25" s="42" t="str">
        <f t="shared" si="2"/>
        <v>(48,102)</v>
      </c>
      <c r="F25" s="42" t="str">
        <f t="shared" si="2"/>
        <v>64,691</v>
      </c>
      <c r="G25" s="5"/>
    </row>
    <row r="26" ht="12.0" customHeight="1">
      <c r="A26" s="5"/>
      <c r="B26" s="60" t="s">
        <v>94</v>
      </c>
      <c r="C26" s="5"/>
      <c r="D26" s="5"/>
      <c r="E26" s="2"/>
      <c r="F26" s="2"/>
      <c r="G26" s="5"/>
    </row>
    <row r="27" ht="15.75" customHeight="1">
      <c r="A27" s="5"/>
      <c r="B27" s="35" t="s">
        <v>114</v>
      </c>
      <c r="C27" s="11"/>
      <c r="D27" s="57"/>
      <c r="E27" s="36"/>
      <c r="F27" s="36"/>
      <c r="G27" s="5"/>
    </row>
    <row r="28" ht="12.0" customHeight="1">
      <c r="A28" s="5"/>
      <c r="B28" s="7" t="s">
        <v>97</v>
      </c>
      <c r="D28" s="58"/>
      <c r="E28" s="58"/>
      <c r="F28" s="58"/>
      <c r="G28" s="5"/>
    </row>
    <row r="29" ht="12.0" customHeight="1">
      <c r="A29" s="5"/>
      <c r="B29" s="5"/>
      <c r="C29" s="49" t="s">
        <v>115</v>
      </c>
      <c r="D29" s="32">
        <v>0.0</v>
      </c>
      <c r="E29" s="32">
        <v>0.0</v>
      </c>
      <c r="F29" s="32">
        <v>0.0</v>
      </c>
      <c r="G29" s="5"/>
    </row>
    <row r="30" ht="12.0" customHeight="1">
      <c r="A30" s="5"/>
      <c r="B30" s="5"/>
      <c r="C30" s="49" t="s">
        <v>116</v>
      </c>
      <c r="D30" s="32">
        <v>0.0</v>
      </c>
      <c r="E30" s="32">
        <v>0.0</v>
      </c>
      <c r="F30" s="32">
        <v>0.0</v>
      </c>
      <c r="G30" s="5"/>
    </row>
    <row r="31" ht="12.0" customHeight="1">
      <c r="A31" s="5"/>
      <c r="B31" s="7" t="s">
        <v>38</v>
      </c>
      <c r="D31" s="47"/>
      <c r="E31" s="47"/>
      <c r="F31" s="47"/>
      <c r="G31" s="5"/>
    </row>
    <row r="32" ht="12.0" customHeight="1">
      <c r="A32" s="5"/>
      <c r="B32" s="5"/>
      <c r="C32" s="49" t="s">
        <v>117</v>
      </c>
      <c r="D32" s="32"/>
      <c r="E32" s="32"/>
      <c r="F32" s="32"/>
      <c r="G32" s="5"/>
    </row>
    <row r="33" ht="12.0" customHeight="1">
      <c r="A33" s="5"/>
      <c r="B33" s="5"/>
      <c r="C33" s="49" t="s">
        <v>118</v>
      </c>
      <c r="D33" s="32" t="str">
        <f>-BalanceSheet!D15/15</f>
        <v>(164,033)</v>
      </c>
      <c r="E33" s="32" t="str">
        <f>-BalanceSheet!E15/15</f>
        <v>(164,033)</v>
      </c>
      <c r="F33" s="32" t="str">
        <f>-BalanceSheet!F15/15</f>
        <v>(164,033)</v>
      </c>
      <c r="G33" s="5"/>
    </row>
    <row r="34" ht="12.0" customHeight="1">
      <c r="A34" s="2"/>
      <c r="B34" s="2"/>
      <c r="C34" s="49" t="s">
        <v>121</v>
      </c>
      <c r="D34" s="32" t="str">
        <f>-(BalanceSheet!E35+BalanceSheet!E38)*0.08</f>
        <v>(76,094)</v>
      </c>
      <c r="E34" s="32" t="str">
        <f>-(BalanceSheet!F35+BalanceSheet!F38)*0.08</f>
        <v>(88,776)</v>
      </c>
      <c r="F34" s="32">
        <v>-101055.0</v>
      </c>
      <c r="G34" s="2"/>
    </row>
    <row r="35" ht="12.0" customHeight="1">
      <c r="A35" s="5"/>
      <c r="B35" s="5"/>
      <c r="C35" s="49" t="s">
        <v>123</v>
      </c>
      <c r="D35" s="32">
        <v>0.0</v>
      </c>
      <c r="E35" s="32">
        <v>0.0</v>
      </c>
      <c r="F35" s="32">
        <v>0.0</v>
      </c>
      <c r="G35" s="5"/>
    </row>
    <row r="36" ht="15.75" customHeight="1">
      <c r="A36" s="5"/>
      <c r="B36" s="53" t="s">
        <v>124</v>
      </c>
      <c r="C36" s="11"/>
      <c r="D36" s="42" t="str">
        <f t="shared" ref="D36:F36" si="3">SUM(D28:D35)</f>
        <v>(240,127)</v>
      </c>
      <c r="E36" s="42" t="str">
        <f t="shared" si="3"/>
        <v>(252,809)</v>
      </c>
      <c r="F36" s="42" t="str">
        <f t="shared" si="3"/>
        <v>(265,088)</v>
      </c>
      <c r="G36" s="5"/>
    </row>
    <row r="37" ht="12.0" customHeight="1">
      <c r="A37" s="5"/>
      <c r="B37" s="5"/>
      <c r="C37" s="5"/>
      <c r="D37" s="58"/>
      <c r="E37" s="58"/>
      <c r="F37" s="58"/>
      <c r="G37" s="5"/>
    </row>
    <row r="38" ht="16.5" customHeight="1">
      <c r="A38" s="5"/>
      <c r="B38" s="63" t="s">
        <v>127</v>
      </c>
      <c r="C38" s="11"/>
      <c r="D38" s="43" t="str">
        <f t="shared" ref="D38:F38" si="4">D13+D25+D36</f>
        <v>(161,436)</v>
      </c>
      <c r="E38" s="43" t="str">
        <f t="shared" si="4"/>
        <v>(254,470)</v>
      </c>
      <c r="F38" s="43" t="str">
        <f t="shared" si="4"/>
        <v>(114,646)</v>
      </c>
      <c r="G38" s="5"/>
    </row>
    <row r="39" ht="13.5" customHeight="1">
      <c r="A39" s="5"/>
      <c r="B39" s="5"/>
      <c r="C39" s="5"/>
      <c r="D39" s="34"/>
      <c r="E39" s="34"/>
      <c r="F39" s="34"/>
      <c r="G39" s="5"/>
    </row>
    <row r="40" ht="12.0" customHeight="1">
      <c r="A40" s="5"/>
      <c r="B40" s="5"/>
      <c r="C40" s="20" t="s">
        <v>128</v>
      </c>
      <c r="D40" s="64">
        <v>2019530.0</v>
      </c>
      <c r="E40" s="64" t="str">
        <f t="shared" ref="E40:F40" si="5">D4</f>
        <v>2,180,966</v>
      </c>
      <c r="F40" s="64" t="str">
        <f t="shared" si="5"/>
        <v>4,616,401</v>
      </c>
      <c r="G40" s="5"/>
    </row>
  </sheetData>
  <mergeCells count="13">
    <mergeCell ref="B28:C28"/>
    <mergeCell ref="B27:C27"/>
    <mergeCell ref="B7:C7"/>
    <mergeCell ref="B6:C6"/>
    <mergeCell ref="B36:C36"/>
    <mergeCell ref="B38:C38"/>
    <mergeCell ref="B21:C21"/>
    <mergeCell ref="B15:C15"/>
    <mergeCell ref="B16:C16"/>
    <mergeCell ref="B8:C8"/>
    <mergeCell ref="B31:C31"/>
    <mergeCell ref="B25:C25"/>
    <mergeCell ref="B13:C13"/>
  </mergeCells>
  <drawing r:id="rId1"/>
</worksheet>
</file>