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xampp\htdocs\JDA\img\agallery\"/>
    </mc:Choice>
  </mc:AlternateContent>
  <bookViews>
    <workbookView xWindow="0" yWindow="0" windowWidth="16650" windowHeight="7680"/>
  </bookViews>
  <sheets>
    <sheet name="KILIMANJARO" sheetId="1" r:id="rId1"/>
    <sheet name="Calculation notes" sheetId="5" r:id="rId2"/>
    <sheet name="SAFARI" sheetId="2" r:id="rId3"/>
    <sheet name="OTHER OFF" sheetId="3" r:id="rId4"/>
    <sheet name="Day Trips" sheetId="4" r:id="rId5"/>
  </sheets>
  <definedNames>
    <definedName name="_xlnm._FilterDatabase" localSheetId="0" hidden="1">KILIMANJARO!$A$3:$AO$3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G133" i="1" l="1"/>
  <c r="AG132" i="1"/>
  <c r="AG131" i="1"/>
  <c r="AG130" i="1"/>
  <c r="AG129" i="1"/>
  <c r="AG128" i="1"/>
  <c r="AG127" i="1"/>
  <c r="AG126" i="1"/>
  <c r="AG125" i="1"/>
  <c r="AG124" i="1"/>
  <c r="AG123" i="1"/>
  <c r="AG122" i="1"/>
  <c r="AG121" i="1"/>
  <c r="AG120" i="1"/>
  <c r="AG119" i="1"/>
  <c r="AG118" i="1"/>
  <c r="AG117" i="1"/>
  <c r="AG116" i="1"/>
  <c r="AG115" i="1"/>
  <c r="AG114" i="1"/>
  <c r="AF114" i="1"/>
  <c r="AF115" i="1"/>
  <c r="AF116" i="1"/>
  <c r="AF117" i="1"/>
  <c r="AF118" i="1"/>
  <c r="AF119" i="1"/>
  <c r="AF120" i="1"/>
  <c r="AF121" i="1"/>
  <c r="AF122" i="1"/>
  <c r="AF123" i="1"/>
  <c r="AF124" i="1"/>
  <c r="AF125" i="1"/>
  <c r="AF126" i="1"/>
  <c r="AF127" i="1"/>
  <c r="AF128" i="1"/>
  <c r="AF129" i="1"/>
  <c r="AF130" i="1"/>
  <c r="AF131" i="1"/>
  <c r="AF132" i="1"/>
  <c r="AF133" i="1"/>
  <c r="K133" i="1"/>
  <c r="K132" i="1"/>
  <c r="K131" i="1"/>
  <c r="K130" i="1"/>
  <c r="K129" i="1"/>
  <c r="K128" i="1"/>
  <c r="K127" i="1"/>
  <c r="K126" i="1"/>
  <c r="K125" i="1"/>
  <c r="K123" i="1"/>
  <c r="K124" i="1"/>
  <c r="K122" i="1"/>
  <c r="K121" i="1"/>
  <c r="K120" i="1"/>
  <c r="K119" i="1"/>
  <c r="K118" i="1"/>
  <c r="K117" i="1"/>
  <c r="K116" i="1"/>
  <c r="K115" i="1"/>
  <c r="K114" i="1"/>
  <c r="I133" i="1"/>
  <c r="I132" i="1"/>
  <c r="I131" i="1"/>
  <c r="I130" i="1"/>
  <c r="I129" i="1"/>
  <c r="I128" i="1"/>
  <c r="I127" i="1"/>
  <c r="I126" i="1"/>
  <c r="I125" i="1"/>
  <c r="I124" i="1"/>
  <c r="I123" i="1"/>
  <c r="I122" i="1"/>
  <c r="I121" i="1"/>
  <c r="I120" i="1"/>
  <c r="I119" i="1"/>
  <c r="I118" i="1"/>
  <c r="I117" i="1"/>
  <c r="I116" i="1"/>
  <c r="I115" i="1"/>
  <c r="I114" i="1"/>
  <c r="J133" i="1" l="1"/>
  <c r="J132" i="1"/>
  <c r="J131" i="1"/>
  <c r="J130" i="1"/>
  <c r="J129" i="1"/>
  <c r="J128" i="1"/>
  <c r="J127" i="1"/>
  <c r="J126" i="1"/>
  <c r="J125" i="1"/>
  <c r="J124" i="1"/>
  <c r="J123" i="1"/>
  <c r="J122" i="1"/>
  <c r="J121" i="1"/>
  <c r="J120" i="1"/>
  <c r="J119" i="1"/>
  <c r="J118" i="1"/>
  <c r="J117" i="1"/>
  <c r="J116" i="1"/>
  <c r="J115" i="1"/>
  <c r="J114" i="1"/>
  <c r="AC73" i="1" l="1"/>
  <c r="AC72" i="1"/>
  <c r="AC71" i="1"/>
  <c r="AC70" i="1"/>
  <c r="AC69" i="1"/>
  <c r="AC68" i="1"/>
  <c r="AC67" i="1"/>
  <c r="AC66" i="1"/>
  <c r="AC65" i="1"/>
  <c r="AC64" i="1"/>
  <c r="AB73" i="1"/>
  <c r="AB72" i="1"/>
  <c r="AB71" i="1"/>
  <c r="AB70" i="1"/>
  <c r="AB69" i="1"/>
  <c r="AB68" i="1"/>
  <c r="AB67" i="1"/>
  <c r="AB66" i="1"/>
  <c r="AB65" i="1"/>
  <c r="AB64" i="1"/>
  <c r="AA73" i="1"/>
  <c r="AA72" i="1"/>
  <c r="AA71" i="1"/>
  <c r="AA70" i="1"/>
  <c r="AA69" i="1"/>
  <c r="AA68" i="1"/>
  <c r="AA67" i="1"/>
  <c r="AA66" i="1"/>
  <c r="AA65" i="1"/>
  <c r="Z73" i="1"/>
  <c r="Z72" i="1"/>
  <c r="Z71" i="1"/>
  <c r="Z70" i="1"/>
  <c r="Z69" i="1"/>
  <c r="Z68" i="1"/>
  <c r="Z67" i="1"/>
  <c r="Z66" i="1"/>
  <c r="Z65" i="1"/>
  <c r="Z64" i="1"/>
  <c r="K73" i="1"/>
  <c r="K72" i="1"/>
  <c r="K71" i="1"/>
  <c r="K70" i="1"/>
  <c r="K69" i="1"/>
  <c r="K68" i="1"/>
  <c r="K67" i="1"/>
  <c r="K66" i="1"/>
  <c r="K65" i="1"/>
  <c r="K64" i="1"/>
  <c r="AX5" i="1" l="1"/>
  <c r="AX6" i="1"/>
  <c r="AX7" i="1"/>
  <c r="AX8" i="1"/>
  <c r="AX9" i="1"/>
  <c r="AX10" i="1"/>
  <c r="AX11" i="1"/>
  <c r="AX12" i="1"/>
  <c r="AX13" i="1"/>
  <c r="AX14" i="1"/>
  <c r="AX15" i="1"/>
  <c r="AX16" i="1"/>
  <c r="AX17" i="1"/>
  <c r="AX18" i="1"/>
  <c r="AX19" i="1"/>
  <c r="AX20" i="1"/>
  <c r="AX21" i="1"/>
  <c r="AX22" i="1"/>
  <c r="AX23" i="1"/>
  <c r="AX24" i="1"/>
  <c r="AX25" i="1"/>
  <c r="AX26" i="1"/>
  <c r="AX27" i="1"/>
  <c r="AX28" i="1"/>
  <c r="AX29" i="1"/>
  <c r="AX30" i="1"/>
  <c r="AX31" i="1"/>
  <c r="AX32" i="1"/>
  <c r="AX33" i="1"/>
  <c r="AX34" i="1"/>
  <c r="AX35" i="1"/>
  <c r="AX36" i="1"/>
  <c r="AX37" i="1"/>
  <c r="AX38" i="1"/>
  <c r="AX39" i="1"/>
  <c r="AX40" i="1"/>
  <c r="AX41" i="1"/>
  <c r="AX42" i="1"/>
  <c r="AX43" i="1"/>
  <c r="AX44" i="1"/>
  <c r="AX45" i="1"/>
  <c r="AX46" i="1"/>
  <c r="AX47" i="1"/>
  <c r="AX48" i="1"/>
  <c r="AX49" i="1"/>
  <c r="AX50" i="1"/>
  <c r="AX51" i="1"/>
  <c r="AX52" i="1"/>
  <c r="AX53" i="1"/>
  <c r="AX54" i="1"/>
  <c r="AX55" i="1"/>
  <c r="AX56" i="1"/>
  <c r="AX57" i="1"/>
  <c r="AX58" i="1"/>
  <c r="AX59" i="1"/>
  <c r="AX60" i="1"/>
  <c r="AX61" i="1"/>
  <c r="AX62" i="1"/>
  <c r="AX63" i="1"/>
  <c r="AX74" i="1"/>
  <c r="AX75" i="1"/>
  <c r="AX76" i="1"/>
  <c r="AX77" i="1"/>
  <c r="AX78" i="1"/>
  <c r="AX79" i="1"/>
  <c r="AX80" i="1"/>
  <c r="AX81" i="1"/>
  <c r="AX82" i="1"/>
  <c r="AX83" i="1"/>
  <c r="AX84" i="1"/>
  <c r="AX85" i="1"/>
  <c r="AX86" i="1"/>
  <c r="AX87" i="1"/>
  <c r="AX88" i="1"/>
  <c r="AX89" i="1"/>
  <c r="AX90" i="1"/>
  <c r="AX91" i="1"/>
  <c r="AX92" i="1"/>
  <c r="AX93" i="1"/>
  <c r="AX94" i="1"/>
  <c r="AX95" i="1"/>
  <c r="AX96" i="1"/>
  <c r="AX97" i="1"/>
  <c r="AX98" i="1"/>
  <c r="AX99" i="1"/>
  <c r="AX100" i="1"/>
  <c r="AX101" i="1"/>
  <c r="AX102" i="1"/>
  <c r="AX103" i="1"/>
  <c r="AX104" i="1"/>
  <c r="AX105" i="1"/>
  <c r="AX106" i="1"/>
  <c r="AX107" i="1"/>
  <c r="AX108" i="1"/>
  <c r="AX109" i="1"/>
  <c r="AX110" i="1"/>
  <c r="AX111" i="1"/>
  <c r="AX112" i="1"/>
  <c r="AX113" i="1"/>
  <c r="AX4" i="1"/>
  <c r="AU74" i="1"/>
  <c r="AW5" i="1"/>
  <c r="AW6" i="1"/>
  <c r="AW7" i="1"/>
  <c r="AW8" i="1"/>
  <c r="AW9" i="1"/>
  <c r="AW10" i="1"/>
  <c r="AW11" i="1"/>
  <c r="AW12" i="1"/>
  <c r="AW13" i="1"/>
  <c r="AW14" i="1"/>
  <c r="AW15" i="1"/>
  <c r="AW16" i="1"/>
  <c r="AW17" i="1"/>
  <c r="AW18" i="1"/>
  <c r="AW19" i="1"/>
  <c r="AW20" i="1"/>
  <c r="AW21" i="1"/>
  <c r="AW22" i="1"/>
  <c r="AW23" i="1"/>
  <c r="AW24" i="1"/>
  <c r="AW25" i="1"/>
  <c r="AW26" i="1"/>
  <c r="AW27" i="1"/>
  <c r="AW28" i="1"/>
  <c r="AW29" i="1"/>
  <c r="AW30" i="1"/>
  <c r="AW31" i="1"/>
  <c r="AW32" i="1"/>
  <c r="AW33" i="1"/>
  <c r="AW34" i="1"/>
  <c r="AW35" i="1"/>
  <c r="AW36" i="1"/>
  <c r="AW37" i="1"/>
  <c r="AW38" i="1"/>
  <c r="AW39" i="1"/>
  <c r="AW40" i="1"/>
  <c r="AW41" i="1"/>
  <c r="AW42" i="1"/>
  <c r="AW43" i="1"/>
  <c r="AW44" i="1"/>
  <c r="AW45" i="1"/>
  <c r="AW46" i="1"/>
  <c r="AW47" i="1"/>
  <c r="AW48" i="1"/>
  <c r="AW49" i="1"/>
  <c r="AW50" i="1"/>
  <c r="AW51" i="1"/>
  <c r="AW52" i="1"/>
  <c r="AW53" i="1"/>
  <c r="AW54" i="1"/>
  <c r="AW55" i="1"/>
  <c r="AW56" i="1"/>
  <c r="AW57" i="1"/>
  <c r="AW58" i="1"/>
  <c r="AW59" i="1"/>
  <c r="AW60" i="1"/>
  <c r="AW61" i="1"/>
  <c r="AW62" i="1"/>
  <c r="AW63" i="1"/>
  <c r="AW74" i="1"/>
  <c r="AW75" i="1"/>
  <c r="AW76" i="1"/>
  <c r="AW77" i="1"/>
  <c r="AW78" i="1"/>
  <c r="AW79" i="1"/>
  <c r="AW80" i="1"/>
  <c r="AW81" i="1"/>
  <c r="AW82" i="1"/>
  <c r="AW83" i="1"/>
  <c r="AW84" i="1"/>
  <c r="AW85" i="1"/>
  <c r="AW86" i="1"/>
  <c r="AW87" i="1"/>
  <c r="AW88" i="1"/>
  <c r="AW89" i="1"/>
  <c r="AW90" i="1"/>
  <c r="AW91" i="1"/>
  <c r="AW92" i="1"/>
  <c r="AW93" i="1"/>
  <c r="AW94" i="1"/>
  <c r="AW95" i="1"/>
  <c r="AW96" i="1"/>
  <c r="AW97" i="1"/>
  <c r="AW98" i="1"/>
  <c r="AW99" i="1"/>
  <c r="AW100" i="1"/>
  <c r="AW101" i="1"/>
  <c r="AW102" i="1"/>
  <c r="AW103" i="1"/>
  <c r="AW104" i="1"/>
  <c r="AW105" i="1"/>
  <c r="AW106" i="1"/>
  <c r="AW107" i="1"/>
  <c r="AW108" i="1"/>
  <c r="AW109" i="1"/>
  <c r="AW110" i="1"/>
  <c r="AW111" i="1"/>
  <c r="AW112" i="1"/>
  <c r="AW113" i="1"/>
  <c r="AW4" i="1"/>
  <c r="AU113" i="1"/>
  <c r="AU5" i="1"/>
  <c r="AU6" i="1"/>
  <c r="AU7" i="1"/>
  <c r="AU8" i="1"/>
  <c r="AU9" i="1"/>
  <c r="AU10" i="1"/>
  <c r="AU11" i="1"/>
  <c r="AU12" i="1"/>
  <c r="AU13" i="1"/>
  <c r="AU14" i="1"/>
  <c r="AU15" i="1"/>
  <c r="AU16" i="1"/>
  <c r="AU17" i="1"/>
  <c r="AU18" i="1"/>
  <c r="AU19" i="1"/>
  <c r="AU20" i="1"/>
  <c r="AU21" i="1"/>
  <c r="AU22" i="1"/>
  <c r="AU23" i="1"/>
  <c r="AU24" i="1"/>
  <c r="AU25" i="1"/>
  <c r="AU26" i="1"/>
  <c r="AU27" i="1"/>
  <c r="AU28" i="1"/>
  <c r="AU29" i="1"/>
  <c r="AU30" i="1"/>
  <c r="AU31" i="1"/>
  <c r="AU32" i="1"/>
  <c r="AU33" i="1"/>
  <c r="AU34" i="1"/>
  <c r="AU35" i="1"/>
  <c r="AU36" i="1"/>
  <c r="AU37" i="1"/>
  <c r="AU38" i="1"/>
  <c r="AU39" i="1"/>
  <c r="AU40" i="1"/>
  <c r="AU41" i="1"/>
  <c r="AU42" i="1"/>
  <c r="AU43" i="1"/>
  <c r="AU44" i="1"/>
  <c r="AU45" i="1"/>
  <c r="AU46" i="1"/>
  <c r="AU47" i="1"/>
  <c r="AU48" i="1"/>
  <c r="AU49" i="1"/>
  <c r="AU50" i="1"/>
  <c r="AU51" i="1"/>
  <c r="AU52" i="1"/>
  <c r="AU53" i="1"/>
  <c r="AU54" i="1"/>
  <c r="AU55" i="1"/>
  <c r="AU56" i="1"/>
  <c r="AU57" i="1"/>
  <c r="AU58" i="1"/>
  <c r="AU59" i="1"/>
  <c r="AU60" i="1"/>
  <c r="AU61" i="1"/>
  <c r="AU62" i="1"/>
  <c r="AU63" i="1"/>
  <c r="AU64" i="1"/>
  <c r="AU65" i="1"/>
  <c r="AU66" i="1"/>
  <c r="AU67" i="1"/>
  <c r="AU68" i="1"/>
  <c r="AU69" i="1"/>
  <c r="AU70" i="1"/>
  <c r="AU71" i="1"/>
  <c r="AU72" i="1"/>
  <c r="AU73" i="1"/>
  <c r="AU75" i="1"/>
  <c r="AU76" i="1"/>
  <c r="AU77" i="1"/>
  <c r="AU78" i="1"/>
  <c r="AU79" i="1"/>
  <c r="AU80" i="1"/>
  <c r="AU81" i="1"/>
  <c r="AU82" i="1"/>
  <c r="AU83" i="1"/>
  <c r="AU84" i="1"/>
  <c r="AU85" i="1"/>
  <c r="AU86" i="1"/>
  <c r="AU87" i="1"/>
  <c r="AU88" i="1"/>
  <c r="AU89" i="1"/>
  <c r="AU90" i="1"/>
  <c r="AU91" i="1"/>
  <c r="AU92" i="1"/>
  <c r="AU93" i="1"/>
  <c r="AU94" i="1"/>
  <c r="AU95" i="1"/>
  <c r="AU96" i="1"/>
  <c r="AU97" i="1"/>
  <c r="AU98" i="1"/>
  <c r="AU99" i="1"/>
  <c r="AU100" i="1"/>
  <c r="AU101" i="1"/>
  <c r="AU102" i="1"/>
  <c r="AU103" i="1"/>
  <c r="AU104" i="1"/>
  <c r="AU105" i="1"/>
  <c r="AU106" i="1"/>
  <c r="AU107" i="1"/>
  <c r="AU108" i="1"/>
  <c r="AU109" i="1"/>
  <c r="AU110" i="1"/>
  <c r="AU111" i="1"/>
  <c r="AU112" i="1"/>
  <c r="AU4" i="1"/>
  <c r="AI5"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2" i="1"/>
  <c r="AI6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I113" i="1"/>
  <c r="AI4" i="1"/>
  <c r="J95" i="1"/>
  <c r="J96" i="1"/>
  <c r="J97" i="1"/>
  <c r="J98" i="1"/>
  <c r="J99" i="1"/>
  <c r="J100" i="1"/>
  <c r="J101" i="1"/>
  <c r="J102" i="1"/>
  <c r="J103" i="1"/>
  <c r="J94" i="1"/>
  <c r="J14" i="1"/>
  <c r="J4" i="1"/>
  <c r="Z105" i="1"/>
  <c r="Z106" i="1"/>
  <c r="Z107" i="1"/>
  <c r="Z108" i="1"/>
  <c r="Z109" i="1"/>
  <c r="Z110" i="1"/>
  <c r="Z111" i="1"/>
  <c r="Z112" i="1"/>
  <c r="Z113" i="1"/>
  <c r="Z104" i="1"/>
  <c r="Z95" i="1"/>
  <c r="Z96" i="1"/>
  <c r="Z97" i="1"/>
  <c r="Z98" i="1"/>
  <c r="Z99" i="1"/>
  <c r="Z100" i="1"/>
  <c r="Z101" i="1"/>
  <c r="Z102" i="1"/>
  <c r="Z103" i="1"/>
  <c r="Z94" i="1"/>
  <c r="Z85" i="1"/>
  <c r="Z86" i="1"/>
  <c r="Z87" i="1"/>
  <c r="Z88" i="1"/>
  <c r="Z89" i="1"/>
  <c r="Z90" i="1"/>
  <c r="Z91" i="1"/>
  <c r="Z92" i="1"/>
  <c r="Z93" i="1"/>
  <c r="Z84" i="1"/>
  <c r="Z75" i="1"/>
  <c r="Z76" i="1"/>
  <c r="Z77" i="1"/>
  <c r="Z78" i="1"/>
  <c r="Z79" i="1"/>
  <c r="Z80" i="1"/>
  <c r="Z81" i="1"/>
  <c r="Z82" i="1"/>
  <c r="Z83" i="1"/>
  <c r="Z74" i="1"/>
  <c r="Z55" i="1"/>
  <c r="Z56" i="1"/>
  <c r="Z57" i="1"/>
  <c r="Z58" i="1"/>
  <c r="Z59" i="1"/>
  <c r="Z60" i="1"/>
  <c r="Z61" i="1"/>
  <c r="Z62" i="1"/>
  <c r="Z63" i="1"/>
  <c r="Z54" i="1"/>
  <c r="Z45" i="1"/>
  <c r="Z46" i="1"/>
  <c r="Z47" i="1"/>
  <c r="Z48" i="1"/>
  <c r="Z49" i="1"/>
  <c r="Z50" i="1"/>
  <c r="Z51" i="1"/>
  <c r="Z52" i="1"/>
  <c r="Z53" i="1"/>
  <c r="Z44" i="1"/>
  <c r="Z35" i="1"/>
  <c r="Z36" i="1"/>
  <c r="Z37" i="1"/>
  <c r="Z38" i="1"/>
  <c r="Z39" i="1"/>
  <c r="Z40" i="1"/>
  <c r="Z41" i="1"/>
  <c r="Z42" i="1"/>
  <c r="Z43" i="1"/>
  <c r="Z34" i="1"/>
  <c r="Z25" i="1"/>
  <c r="Z26" i="1"/>
  <c r="Z27" i="1"/>
  <c r="Z28" i="1"/>
  <c r="Z29" i="1"/>
  <c r="Z30" i="1"/>
  <c r="Z31" i="1"/>
  <c r="Z32" i="1"/>
  <c r="Z33" i="1"/>
  <c r="Z24" i="1"/>
  <c r="Z15" i="1"/>
  <c r="Z16" i="1"/>
  <c r="Z17" i="1"/>
  <c r="Z18" i="1"/>
  <c r="Z19" i="1"/>
  <c r="Z20" i="1"/>
  <c r="Z21" i="1"/>
  <c r="Z22" i="1"/>
  <c r="Z23" i="1"/>
  <c r="Z14" i="1"/>
  <c r="Z6" i="1"/>
  <c r="Z7" i="1"/>
  <c r="N7" i="1" s="1"/>
  <c r="Z8" i="1"/>
  <c r="N8" i="1" s="1"/>
  <c r="Z9" i="1"/>
  <c r="N9" i="1" s="1"/>
  <c r="Z10" i="1"/>
  <c r="Z11" i="1"/>
  <c r="N11" i="1" s="1"/>
  <c r="Z12" i="1"/>
  <c r="N12" i="1" s="1"/>
  <c r="Z13" i="1"/>
  <c r="N13" i="1" s="1"/>
  <c r="Z5" i="1"/>
  <c r="N5" i="1" s="1"/>
  <c r="Z4" i="1"/>
  <c r="T94" i="1"/>
  <c r="T84" i="1"/>
  <c r="T24" i="1"/>
  <c r="T14"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5" i="1"/>
  <c r="X6" i="1"/>
  <c r="X7" i="1"/>
  <c r="X8" i="1"/>
  <c r="X9" i="1"/>
  <c r="X10" i="1"/>
  <c r="X11" i="1"/>
  <c r="X12" i="1"/>
  <c r="X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5" i="1"/>
  <c r="V6" i="1"/>
  <c r="V7" i="1"/>
  <c r="V8" i="1"/>
  <c r="V9" i="1"/>
  <c r="V10" i="1"/>
  <c r="V11" i="1"/>
  <c r="V12" i="1"/>
  <c r="V13" i="1"/>
  <c r="V4" i="1"/>
  <c r="X4"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5" i="1"/>
  <c r="AD6" i="1"/>
  <c r="AD7" i="1"/>
  <c r="AD8" i="1"/>
  <c r="AD9" i="1"/>
  <c r="AD10" i="1"/>
  <c r="AD11" i="1"/>
  <c r="AD12" i="1"/>
  <c r="AD13" i="1"/>
  <c r="AD14" i="1"/>
  <c r="AD15" i="1"/>
  <c r="AD16" i="1"/>
  <c r="AD17" i="1"/>
  <c r="AD18" i="1"/>
  <c r="AD19" i="1"/>
  <c r="AD20" i="1"/>
  <c r="AD21" i="1"/>
  <c r="AD22" i="1"/>
  <c r="AD23" i="1"/>
  <c r="AD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4"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5" i="1"/>
  <c r="M6" i="1"/>
  <c r="M7" i="1"/>
  <c r="M8" i="1"/>
  <c r="M9" i="1"/>
  <c r="M10" i="1"/>
  <c r="M11" i="1"/>
  <c r="M12" i="1"/>
  <c r="M13" i="1"/>
  <c r="M14" i="1"/>
  <c r="M15" i="1"/>
  <c r="M16" i="1"/>
  <c r="M17" i="1"/>
  <c r="M18" i="1"/>
  <c r="M19" i="1"/>
  <c r="M20" i="1"/>
  <c r="M21" i="1"/>
  <c r="M22" i="1"/>
  <c r="M23" i="1"/>
  <c r="M24" i="1"/>
  <c r="M25" i="1"/>
  <c r="M4" i="1"/>
  <c r="L15" i="1"/>
  <c r="L16" i="1"/>
  <c r="L17" i="1"/>
  <c r="L18" i="1"/>
  <c r="L19" i="1"/>
  <c r="L20" i="1"/>
  <c r="L21" i="1"/>
  <c r="L22" i="1"/>
  <c r="L23" i="1"/>
  <c r="L14" i="1"/>
  <c r="L5" i="1"/>
  <c r="L6" i="1"/>
  <c r="L7" i="1"/>
  <c r="L8" i="1"/>
  <c r="L9" i="1"/>
  <c r="L10" i="1"/>
  <c r="L11" i="1"/>
  <c r="L12" i="1"/>
  <c r="L13" i="1"/>
  <c r="L4" i="1"/>
  <c r="K24" i="1"/>
  <c r="J104" i="1"/>
  <c r="K105" i="1"/>
  <c r="K106" i="1"/>
  <c r="K107" i="1"/>
  <c r="K108" i="1"/>
  <c r="K109" i="1"/>
  <c r="K110" i="1"/>
  <c r="K111" i="1"/>
  <c r="K112" i="1"/>
  <c r="K113" i="1"/>
  <c r="K104" i="1"/>
  <c r="K95" i="1"/>
  <c r="K96" i="1"/>
  <c r="K97" i="1"/>
  <c r="K98" i="1"/>
  <c r="K99" i="1"/>
  <c r="K100" i="1"/>
  <c r="K101" i="1"/>
  <c r="K102" i="1"/>
  <c r="K103" i="1"/>
  <c r="K94" i="1"/>
  <c r="K85" i="1"/>
  <c r="K86" i="1"/>
  <c r="K87" i="1"/>
  <c r="K88" i="1"/>
  <c r="K89" i="1"/>
  <c r="K90" i="1"/>
  <c r="K91" i="1"/>
  <c r="K92" i="1"/>
  <c r="K93" i="1"/>
  <c r="K84" i="1"/>
  <c r="K75" i="1"/>
  <c r="K76" i="1"/>
  <c r="K77" i="1"/>
  <c r="K78" i="1"/>
  <c r="K79" i="1"/>
  <c r="K80" i="1"/>
  <c r="K81" i="1"/>
  <c r="K82" i="1"/>
  <c r="K83" i="1"/>
  <c r="K74" i="1"/>
  <c r="K55" i="1"/>
  <c r="K56" i="1"/>
  <c r="K57" i="1"/>
  <c r="K58" i="1"/>
  <c r="K59" i="1"/>
  <c r="K60" i="1"/>
  <c r="K61" i="1"/>
  <c r="K62" i="1"/>
  <c r="K63" i="1"/>
  <c r="K54" i="1"/>
  <c r="K45" i="1"/>
  <c r="K46" i="1"/>
  <c r="K47" i="1"/>
  <c r="K48" i="1"/>
  <c r="K49" i="1"/>
  <c r="K50" i="1"/>
  <c r="K51" i="1"/>
  <c r="K52" i="1"/>
  <c r="K53" i="1"/>
  <c r="K44" i="1"/>
  <c r="K35" i="1"/>
  <c r="K36" i="1"/>
  <c r="K37" i="1"/>
  <c r="K38" i="1"/>
  <c r="K39" i="1"/>
  <c r="K40" i="1"/>
  <c r="K41" i="1"/>
  <c r="K42" i="1"/>
  <c r="K43" i="1"/>
  <c r="K34" i="1"/>
  <c r="K25" i="1"/>
  <c r="K26" i="1"/>
  <c r="K27" i="1"/>
  <c r="K28" i="1"/>
  <c r="K29" i="1"/>
  <c r="K30" i="1"/>
  <c r="K31" i="1"/>
  <c r="K32" i="1"/>
  <c r="K33" i="1"/>
  <c r="I24" i="1"/>
  <c r="I25" i="1"/>
  <c r="J18" i="1"/>
  <c r="J30" i="1"/>
  <c r="J41" i="1"/>
  <c r="J51" i="1"/>
  <c r="J61" i="1"/>
  <c r="J71" i="1"/>
  <c r="J74" i="1"/>
  <c r="J83" i="1"/>
  <c r="J93" i="1"/>
  <c r="J85" i="1"/>
  <c r="J86" i="1"/>
  <c r="J87" i="1"/>
  <c r="J88" i="1"/>
  <c r="J89" i="1"/>
  <c r="J90" i="1"/>
  <c r="J91" i="1"/>
  <c r="J92" i="1"/>
  <c r="J84" i="1"/>
  <c r="J113" i="1"/>
  <c r="J105" i="1"/>
  <c r="J106" i="1"/>
  <c r="J107" i="1"/>
  <c r="J108" i="1"/>
  <c r="J109" i="1"/>
  <c r="J110" i="1"/>
  <c r="J111" i="1"/>
  <c r="J112" i="1"/>
  <c r="J75" i="1"/>
  <c r="J76" i="1"/>
  <c r="J77" i="1"/>
  <c r="J78" i="1"/>
  <c r="J79" i="1"/>
  <c r="J80" i="1"/>
  <c r="J81" i="1"/>
  <c r="J82" i="1"/>
  <c r="J54" i="1"/>
  <c r="AF54" i="1" s="1"/>
  <c r="AG54" i="1" s="1"/>
  <c r="AH54" i="1" s="1"/>
  <c r="J64" i="1"/>
  <c r="J65" i="1"/>
  <c r="J66" i="1"/>
  <c r="J67" i="1"/>
  <c r="J68" i="1"/>
  <c r="J69" i="1"/>
  <c r="J70" i="1"/>
  <c r="J72" i="1"/>
  <c r="AF72" i="1" s="1"/>
  <c r="AG72" i="1" s="1"/>
  <c r="AH72" i="1" s="1"/>
  <c r="AI72" i="1" s="1"/>
  <c r="J73" i="1"/>
  <c r="J55" i="1"/>
  <c r="J56" i="1"/>
  <c r="J57" i="1"/>
  <c r="J58" i="1"/>
  <c r="J59" i="1"/>
  <c r="J60" i="1"/>
  <c r="J62" i="1"/>
  <c r="J63" i="1"/>
  <c r="J45" i="1"/>
  <c r="J46" i="1"/>
  <c r="J47" i="1"/>
  <c r="J48" i="1"/>
  <c r="J49" i="1"/>
  <c r="J50" i="1"/>
  <c r="J52" i="1"/>
  <c r="J53" i="1"/>
  <c r="J44" i="1"/>
  <c r="J35" i="1"/>
  <c r="J36" i="1"/>
  <c r="J37" i="1"/>
  <c r="J38" i="1"/>
  <c r="J39" i="1"/>
  <c r="J40" i="1"/>
  <c r="J42" i="1"/>
  <c r="J43" i="1"/>
  <c r="J34" i="1"/>
  <c r="J25" i="1"/>
  <c r="J26" i="1"/>
  <c r="J27" i="1"/>
  <c r="J28" i="1"/>
  <c r="J29" i="1"/>
  <c r="J31" i="1"/>
  <c r="J32" i="1"/>
  <c r="J33" i="1"/>
  <c r="J24" i="1"/>
  <c r="AF24" i="1" s="1"/>
  <c r="AG24" i="1" s="1"/>
  <c r="AH24" i="1" s="1"/>
  <c r="J15" i="1"/>
  <c r="J16" i="1"/>
  <c r="J17" i="1"/>
  <c r="J19" i="1"/>
  <c r="J20" i="1"/>
  <c r="J21" i="1"/>
  <c r="J22" i="1"/>
  <c r="J23" i="1"/>
  <c r="I105" i="1"/>
  <c r="I106" i="1"/>
  <c r="I107" i="1"/>
  <c r="I108" i="1"/>
  <c r="I109" i="1"/>
  <c r="I110" i="1"/>
  <c r="I111" i="1"/>
  <c r="I112" i="1"/>
  <c r="I113" i="1"/>
  <c r="I104" i="1"/>
  <c r="I95" i="1"/>
  <c r="I96" i="1"/>
  <c r="I97" i="1"/>
  <c r="I98" i="1"/>
  <c r="I99" i="1"/>
  <c r="I100" i="1"/>
  <c r="I101" i="1"/>
  <c r="I102" i="1"/>
  <c r="I103" i="1"/>
  <c r="I94" i="1"/>
  <c r="I85" i="1"/>
  <c r="I86" i="1"/>
  <c r="I87" i="1"/>
  <c r="I88" i="1"/>
  <c r="I89" i="1"/>
  <c r="I90" i="1"/>
  <c r="I91" i="1"/>
  <c r="I92" i="1"/>
  <c r="I93" i="1"/>
  <c r="I84" i="1"/>
  <c r="I75" i="1"/>
  <c r="I76" i="1"/>
  <c r="I77" i="1"/>
  <c r="I78" i="1"/>
  <c r="I79" i="1"/>
  <c r="I80" i="1"/>
  <c r="I81" i="1"/>
  <c r="I82" i="1"/>
  <c r="I83" i="1"/>
  <c r="I74" i="1"/>
  <c r="I65" i="1"/>
  <c r="I66" i="1"/>
  <c r="I67" i="1"/>
  <c r="I68" i="1"/>
  <c r="I69" i="1"/>
  <c r="I70" i="1"/>
  <c r="I71" i="1"/>
  <c r="I72" i="1"/>
  <c r="I73" i="1"/>
  <c r="I64" i="1"/>
  <c r="I55" i="1"/>
  <c r="I56" i="1"/>
  <c r="I57" i="1"/>
  <c r="I58" i="1"/>
  <c r="I59" i="1"/>
  <c r="I60" i="1"/>
  <c r="I61" i="1"/>
  <c r="I62" i="1"/>
  <c r="I63" i="1"/>
  <c r="I54" i="1"/>
  <c r="I48" i="1"/>
  <c r="I44" i="1"/>
  <c r="I15" i="1"/>
  <c r="I16" i="1"/>
  <c r="I17" i="1"/>
  <c r="I18" i="1"/>
  <c r="I19" i="1"/>
  <c r="I20" i="1"/>
  <c r="I21" i="1"/>
  <c r="I22" i="1"/>
  <c r="I23" i="1"/>
  <c r="I14" i="1"/>
  <c r="I26" i="1"/>
  <c r="I27" i="1"/>
  <c r="I28" i="1"/>
  <c r="I29" i="1"/>
  <c r="I30" i="1"/>
  <c r="I31" i="1"/>
  <c r="I32" i="1"/>
  <c r="I33" i="1"/>
  <c r="I35" i="1"/>
  <c r="I36" i="1"/>
  <c r="I37" i="1"/>
  <c r="I38" i="1"/>
  <c r="I39" i="1"/>
  <c r="I40" i="1"/>
  <c r="I41" i="1"/>
  <c r="I42" i="1"/>
  <c r="I43" i="1"/>
  <c r="I45" i="1"/>
  <c r="I46" i="1"/>
  <c r="I47" i="1"/>
  <c r="I49" i="1"/>
  <c r="I50" i="1"/>
  <c r="I51" i="1"/>
  <c r="I52" i="1"/>
  <c r="I53" i="1"/>
  <c r="I34" i="1"/>
  <c r="I5" i="1"/>
  <c r="I6" i="1"/>
  <c r="I7" i="1"/>
  <c r="I8" i="1"/>
  <c r="I9" i="1"/>
  <c r="I10" i="1"/>
  <c r="I11" i="1"/>
  <c r="I12" i="1"/>
  <c r="I13" i="1"/>
  <c r="I4"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5" i="1"/>
  <c r="F25" i="1"/>
  <c r="F26" i="1"/>
  <c r="F27" i="1"/>
  <c r="F28" i="1"/>
  <c r="F29" i="1"/>
  <c r="F30" i="1"/>
  <c r="F31" i="1"/>
  <c r="F32" i="1"/>
  <c r="F33" i="1"/>
  <c r="F34" i="1"/>
  <c r="AF34" i="1" s="1"/>
  <c r="AG34" i="1" s="1"/>
  <c r="AH34" i="1" s="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AF85" i="1" s="1"/>
  <c r="AG85" i="1" s="1"/>
  <c r="AH85" i="1" s="1"/>
  <c r="F86" i="1"/>
  <c r="AF86" i="1" s="1"/>
  <c r="AG86" i="1" s="1"/>
  <c r="AH86" i="1" s="1"/>
  <c r="F87" i="1"/>
  <c r="F88" i="1"/>
  <c r="F89" i="1"/>
  <c r="AF89" i="1" s="1"/>
  <c r="AG89" i="1" s="1"/>
  <c r="AH89" i="1" s="1"/>
  <c r="F90" i="1"/>
  <c r="AF90" i="1" s="1"/>
  <c r="AG90" i="1" s="1"/>
  <c r="AH90" i="1" s="1"/>
  <c r="F91" i="1"/>
  <c r="F92" i="1"/>
  <c r="F93" i="1"/>
  <c r="AF93" i="1" s="1"/>
  <c r="AG93" i="1" s="1"/>
  <c r="AH93" i="1" s="1"/>
  <c r="F94" i="1"/>
  <c r="AF94" i="1" s="1"/>
  <c r="AG94" i="1" s="1"/>
  <c r="AH94" i="1" s="1"/>
  <c r="F95" i="1"/>
  <c r="AF95" i="1" s="1"/>
  <c r="AG95" i="1" s="1"/>
  <c r="AH95" i="1" s="1"/>
  <c r="F96" i="1"/>
  <c r="AF96" i="1" s="1"/>
  <c r="AG96" i="1" s="1"/>
  <c r="AH96" i="1" s="1"/>
  <c r="F97" i="1"/>
  <c r="AF97" i="1" s="1"/>
  <c r="AG97" i="1" s="1"/>
  <c r="AH97" i="1" s="1"/>
  <c r="F98" i="1"/>
  <c r="F99" i="1"/>
  <c r="AF99" i="1" s="1"/>
  <c r="AG99" i="1" s="1"/>
  <c r="AH99" i="1" s="1"/>
  <c r="F100" i="1"/>
  <c r="AF100" i="1" s="1"/>
  <c r="AG100" i="1" s="1"/>
  <c r="AH100" i="1" s="1"/>
  <c r="F101" i="1"/>
  <c r="AF101" i="1" s="1"/>
  <c r="AG101" i="1" s="1"/>
  <c r="AH101" i="1" s="1"/>
  <c r="F102" i="1"/>
  <c r="F103" i="1"/>
  <c r="AF103" i="1" s="1"/>
  <c r="AG103" i="1" s="1"/>
  <c r="AH103" i="1" s="1"/>
  <c r="F104" i="1"/>
  <c r="F105" i="1"/>
  <c r="F106" i="1"/>
  <c r="F107" i="1"/>
  <c r="F108" i="1"/>
  <c r="F109" i="1"/>
  <c r="F110" i="1"/>
  <c r="F111" i="1"/>
  <c r="F112" i="1"/>
  <c r="F113" i="1"/>
  <c r="F24" i="1"/>
  <c r="F14" i="1"/>
  <c r="F15" i="1"/>
  <c r="F16" i="1"/>
  <c r="F17" i="1"/>
  <c r="F18" i="1"/>
  <c r="F19" i="1"/>
  <c r="F20" i="1"/>
  <c r="F21" i="1"/>
  <c r="F22" i="1"/>
  <c r="F23" i="1"/>
  <c r="F6" i="1"/>
  <c r="F7" i="1"/>
  <c r="F8" i="1"/>
  <c r="F9" i="1"/>
  <c r="F10" i="1"/>
  <c r="F11" i="1"/>
  <c r="F12" i="1"/>
  <c r="F13" i="1"/>
  <c r="F5" i="1"/>
  <c r="H3" i="5"/>
  <c r="J6" i="1"/>
  <c r="N10" i="1"/>
  <c r="AW72" i="1" l="1"/>
  <c r="AX72" i="1" s="1"/>
  <c r="AF29" i="1"/>
  <c r="AG29" i="1" s="1"/>
  <c r="AH29" i="1" s="1"/>
  <c r="AF47" i="1"/>
  <c r="AG47" i="1" s="1"/>
  <c r="AH47" i="1" s="1"/>
  <c r="AF57" i="1"/>
  <c r="AG57" i="1" s="1"/>
  <c r="AH57" i="1" s="1"/>
  <c r="AF79" i="1"/>
  <c r="AG79" i="1" s="1"/>
  <c r="AH79" i="1" s="1"/>
  <c r="AF110" i="1"/>
  <c r="AG110" i="1" s="1"/>
  <c r="AH110" i="1" s="1"/>
  <c r="AF104" i="1"/>
  <c r="AG104" i="1" s="1"/>
  <c r="AH104" i="1" s="1"/>
  <c r="AF113" i="1"/>
  <c r="AG113" i="1" s="1"/>
  <c r="AH113" i="1" s="1"/>
  <c r="AF102" i="1"/>
  <c r="AG102" i="1" s="1"/>
  <c r="AH102" i="1" s="1"/>
  <c r="AF19" i="1"/>
  <c r="AG19" i="1" s="1"/>
  <c r="AH19" i="1" s="1"/>
  <c r="AF25" i="1"/>
  <c r="AG25" i="1" s="1"/>
  <c r="AH25" i="1" s="1"/>
  <c r="AF62" i="1"/>
  <c r="AG62" i="1" s="1"/>
  <c r="AH62" i="1" s="1"/>
  <c r="AF67" i="1"/>
  <c r="AG67" i="1" s="1"/>
  <c r="AF75" i="1"/>
  <c r="AG75" i="1" s="1"/>
  <c r="AH75" i="1" s="1"/>
  <c r="AF18" i="1"/>
  <c r="AG18" i="1" s="1"/>
  <c r="AH18" i="1" s="1"/>
  <c r="AF22" i="1"/>
  <c r="AG22" i="1" s="1"/>
  <c r="AH22" i="1" s="1"/>
  <c r="AF17" i="1"/>
  <c r="AG17" i="1" s="1"/>
  <c r="AH17" i="1" s="1"/>
  <c r="AF33" i="1"/>
  <c r="AG33" i="1" s="1"/>
  <c r="AH33" i="1" s="1"/>
  <c r="AF28" i="1"/>
  <c r="AG28" i="1" s="1"/>
  <c r="AH28" i="1" s="1"/>
  <c r="AF39" i="1"/>
  <c r="AG39" i="1" s="1"/>
  <c r="AH39" i="1" s="1"/>
  <c r="AF35" i="1"/>
  <c r="AG35" i="1" s="1"/>
  <c r="AH35" i="1" s="1"/>
  <c r="AF50" i="1"/>
  <c r="AG50" i="1" s="1"/>
  <c r="AH50" i="1" s="1"/>
  <c r="AF46" i="1"/>
  <c r="AG46" i="1" s="1"/>
  <c r="AH46" i="1" s="1"/>
  <c r="AF60" i="1"/>
  <c r="AG60" i="1" s="1"/>
  <c r="AH60" i="1" s="1"/>
  <c r="AF56" i="1"/>
  <c r="AG56" i="1" s="1"/>
  <c r="AH56" i="1" s="1"/>
  <c r="AF70" i="1"/>
  <c r="AG70" i="1" s="1"/>
  <c r="AF66" i="1"/>
  <c r="AG66" i="1" s="1"/>
  <c r="AF82" i="1"/>
  <c r="AG82" i="1" s="1"/>
  <c r="AH82" i="1" s="1"/>
  <c r="AF78" i="1"/>
  <c r="AG78" i="1" s="1"/>
  <c r="AH78" i="1" s="1"/>
  <c r="AF109" i="1"/>
  <c r="AG109" i="1" s="1"/>
  <c r="AH109" i="1" s="1"/>
  <c r="AF105" i="1"/>
  <c r="AG105" i="1" s="1"/>
  <c r="AH105" i="1" s="1"/>
  <c r="AF91" i="1"/>
  <c r="AG91" i="1" s="1"/>
  <c r="AH91" i="1" s="1"/>
  <c r="AF87" i="1"/>
  <c r="AG87" i="1" s="1"/>
  <c r="AH87" i="1" s="1"/>
  <c r="AF83" i="1"/>
  <c r="AG83" i="1" s="1"/>
  <c r="AH83" i="1" s="1"/>
  <c r="AF51" i="1"/>
  <c r="AG51" i="1" s="1"/>
  <c r="AH51" i="1" s="1"/>
  <c r="AF92" i="1"/>
  <c r="AG92" i="1" s="1"/>
  <c r="AH92" i="1" s="1"/>
  <c r="AF88" i="1"/>
  <c r="AG88" i="1" s="1"/>
  <c r="AH88" i="1" s="1"/>
  <c r="AF52" i="1"/>
  <c r="AG52" i="1" s="1"/>
  <c r="AH52" i="1" s="1"/>
  <c r="AF44" i="1"/>
  <c r="AG44" i="1" s="1"/>
  <c r="AH44" i="1" s="1"/>
  <c r="AF40" i="1"/>
  <c r="AG40" i="1" s="1"/>
  <c r="AH40" i="1" s="1"/>
  <c r="AF36" i="1"/>
  <c r="AG36" i="1" s="1"/>
  <c r="AH36" i="1" s="1"/>
  <c r="AF106" i="1"/>
  <c r="AG106" i="1" s="1"/>
  <c r="AH106" i="1" s="1"/>
  <c r="AF61" i="1"/>
  <c r="AG61" i="1" s="1"/>
  <c r="AH61" i="1" s="1"/>
  <c r="AF21" i="1"/>
  <c r="AG21" i="1" s="1"/>
  <c r="AH21" i="1" s="1"/>
  <c r="AF16" i="1"/>
  <c r="AG16" i="1" s="1"/>
  <c r="AH16" i="1" s="1"/>
  <c r="AF32" i="1"/>
  <c r="AG32" i="1" s="1"/>
  <c r="AH32" i="1" s="1"/>
  <c r="AF27" i="1"/>
  <c r="AG27" i="1" s="1"/>
  <c r="AH27" i="1" s="1"/>
  <c r="AF43" i="1"/>
  <c r="AG43" i="1" s="1"/>
  <c r="AH43" i="1" s="1"/>
  <c r="AF49" i="1"/>
  <c r="AG49" i="1" s="1"/>
  <c r="AH49" i="1" s="1"/>
  <c r="AF45" i="1"/>
  <c r="AG45" i="1" s="1"/>
  <c r="AH45" i="1" s="1"/>
  <c r="AF59" i="1"/>
  <c r="AG59" i="1" s="1"/>
  <c r="AH59" i="1" s="1"/>
  <c r="AF55" i="1"/>
  <c r="AG55" i="1" s="1"/>
  <c r="AH55" i="1" s="1"/>
  <c r="AF69" i="1"/>
  <c r="AG69" i="1" s="1"/>
  <c r="AF65" i="1"/>
  <c r="AG65" i="1" s="1"/>
  <c r="AF81" i="1"/>
  <c r="AG81" i="1" s="1"/>
  <c r="AH81" i="1" s="1"/>
  <c r="AF77" i="1"/>
  <c r="AG77" i="1" s="1"/>
  <c r="AH77" i="1" s="1"/>
  <c r="AF112" i="1"/>
  <c r="AG112" i="1" s="1"/>
  <c r="AH112" i="1" s="1"/>
  <c r="AF108" i="1"/>
  <c r="AG108" i="1" s="1"/>
  <c r="AH108" i="1" s="1"/>
  <c r="AF74" i="1"/>
  <c r="AG74" i="1" s="1"/>
  <c r="AH74" i="1" s="1"/>
  <c r="AF41" i="1"/>
  <c r="AG41" i="1" s="1"/>
  <c r="AH41" i="1" s="1"/>
  <c r="AF23" i="1"/>
  <c r="AG23" i="1" s="1"/>
  <c r="AH23" i="1" s="1"/>
  <c r="AF20" i="1"/>
  <c r="AG20" i="1" s="1"/>
  <c r="AH20" i="1" s="1"/>
  <c r="AF15" i="1"/>
  <c r="AG15" i="1" s="1"/>
  <c r="AH15" i="1" s="1"/>
  <c r="AF31" i="1"/>
  <c r="AG31" i="1" s="1"/>
  <c r="AH31" i="1" s="1"/>
  <c r="AF26" i="1"/>
  <c r="AG26" i="1" s="1"/>
  <c r="AH26" i="1" s="1"/>
  <c r="AF37" i="1"/>
  <c r="AG37" i="1" s="1"/>
  <c r="AH37" i="1" s="1"/>
  <c r="AF53" i="1"/>
  <c r="AG53" i="1" s="1"/>
  <c r="AH53" i="1" s="1"/>
  <c r="AF48" i="1"/>
  <c r="AG48" i="1" s="1"/>
  <c r="AH48" i="1" s="1"/>
  <c r="AF63" i="1"/>
  <c r="AG63" i="1" s="1"/>
  <c r="AH63" i="1" s="1"/>
  <c r="AF58" i="1"/>
  <c r="AG58" i="1" s="1"/>
  <c r="AH58" i="1" s="1"/>
  <c r="AF73" i="1"/>
  <c r="AG73" i="1" s="1"/>
  <c r="AF68" i="1"/>
  <c r="AG68" i="1" s="1"/>
  <c r="AF64" i="1"/>
  <c r="AG64" i="1" s="1"/>
  <c r="AF80" i="1"/>
  <c r="AG80" i="1" s="1"/>
  <c r="AH80" i="1" s="1"/>
  <c r="AF76" i="1"/>
  <c r="AG76" i="1" s="1"/>
  <c r="AH76" i="1" s="1"/>
  <c r="AF111" i="1"/>
  <c r="AG111" i="1" s="1"/>
  <c r="AH111" i="1" s="1"/>
  <c r="AF107" i="1"/>
  <c r="AG107" i="1" s="1"/>
  <c r="AH107" i="1" s="1"/>
  <c r="AF84" i="1"/>
  <c r="AG84" i="1" s="1"/>
  <c r="AH84" i="1" s="1"/>
  <c r="AF71" i="1"/>
  <c r="AG71" i="1" s="1"/>
  <c r="AF30" i="1"/>
  <c r="AG30" i="1" s="1"/>
  <c r="AH30" i="1" s="1"/>
  <c r="AF42" i="1"/>
  <c r="AG42" i="1" s="1"/>
  <c r="AH42" i="1" s="1"/>
  <c r="AF38" i="1"/>
  <c r="AG38" i="1" s="1"/>
  <c r="AH38" i="1" s="1"/>
  <c r="AF14" i="1"/>
  <c r="AG14" i="1" s="1"/>
  <c r="AH14" i="1" s="1"/>
  <c r="AF98" i="1"/>
  <c r="AG98" i="1" s="1"/>
  <c r="AH98" i="1" s="1"/>
  <c r="AF6" i="1"/>
  <c r="AG6" i="1" s="1"/>
  <c r="AH6" i="1" s="1"/>
  <c r="J13" i="1"/>
  <c r="AF13" i="1" s="1"/>
  <c r="AG13" i="1" s="1"/>
  <c r="AH13" i="1" s="1"/>
  <c r="J5" i="1"/>
  <c r="AF5" i="1" s="1"/>
  <c r="AG5" i="1" s="1"/>
  <c r="AH5" i="1" s="1"/>
  <c r="J8" i="1"/>
  <c r="AF8" i="1" s="1"/>
  <c r="AG8" i="1" s="1"/>
  <c r="AH8" i="1" s="1"/>
  <c r="J9" i="1"/>
  <c r="AF9" i="1" s="1"/>
  <c r="AG9" i="1" s="1"/>
  <c r="AH9" i="1" s="1"/>
  <c r="N6" i="1"/>
  <c r="J12" i="1"/>
  <c r="AF12" i="1" s="1"/>
  <c r="AG12" i="1" s="1"/>
  <c r="AH12" i="1" s="1"/>
  <c r="J7" i="1"/>
  <c r="AF7" i="1" s="1"/>
  <c r="AG7" i="1" s="1"/>
  <c r="AH7" i="1" s="1"/>
  <c r="J10" i="1"/>
  <c r="AF10" i="1" s="1"/>
  <c r="AG10" i="1" s="1"/>
  <c r="AH10" i="1" s="1"/>
  <c r="J11" i="1"/>
  <c r="AF11" i="1" s="1"/>
  <c r="AG11" i="1" s="1"/>
  <c r="AH11" i="1" s="1"/>
  <c r="N4" i="1"/>
  <c r="AF4" i="1" s="1"/>
  <c r="AG4" i="1" s="1"/>
  <c r="AH4" i="1" s="1"/>
  <c r="AH73" i="1" l="1"/>
  <c r="AI73" i="1" s="1"/>
  <c r="AW73" i="1"/>
  <c r="AX73" i="1" s="1"/>
  <c r="AH71" i="1"/>
  <c r="AI71" i="1" s="1"/>
  <c r="AW71" i="1"/>
  <c r="AX71" i="1" s="1"/>
  <c r="AH70" i="1"/>
  <c r="AI70" i="1" s="1"/>
  <c r="AW70" i="1"/>
  <c r="AX70" i="1" s="1"/>
  <c r="AH69" i="1"/>
  <c r="AI69" i="1" s="1"/>
  <c r="AW69" i="1"/>
  <c r="AX69" i="1" s="1"/>
  <c r="AH68" i="1"/>
  <c r="AI68" i="1" s="1"/>
  <c r="AW68" i="1"/>
  <c r="AX68" i="1" s="1"/>
  <c r="AH67" i="1"/>
  <c r="AI67" i="1" s="1"/>
  <c r="AW67" i="1"/>
  <c r="AX67" i="1" s="1"/>
  <c r="AH66" i="1"/>
  <c r="AI66" i="1" s="1"/>
  <c r="AW66" i="1"/>
  <c r="AX66" i="1" s="1"/>
  <c r="AH65" i="1"/>
  <c r="AI65" i="1" s="1"/>
  <c r="AW65" i="1"/>
  <c r="AX65" i="1" s="1"/>
  <c r="AH64" i="1"/>
  <c r="AI64" i="1" s="1"/>
  <c r="AW64" i="1"/>
  <c r="AX64" i="1" s="1"/>
  <c r="D48" i="5"/>
  <c r="D69" i="5"/>
  <c r="D76" i="5"/>
  <c r="D75" i="5"/>
  <c r="D74" i="5"/>
  <c r="D73" i="5"/>
  <c r="D54" i="5"/>
  <c r="D50" i="5"/>
  <c r="F38" i="5"/>
  <c r="F4" i="5"/>
  <c r="F3" i="5"/>
  <c r="M12" i="3" l="1"/>
  <c r="M11" i="3"/>
  <c r="M10" i="3"/>
  <c r="M9" i="3"/>
  <c r="M8" i="3"/>
  <c r="M7" i="3"/>
  <c r="M6" i="3"/>
  <c r="M5" i="3"/>
  <c r="M4" i="3"/>
  <c r="M4"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alcChain>
</file>

<file path=xl/comments1.xml><?xml version="1.0" encoding="utf-8"?>
<comments xmlns="http://schemas.openxmlformats.org/spreadsheetml/2006/main">
  <authors>
    <author>Microsoft Office User</author>
  </authors>
  <commentList>
    <comment ref="F3" authorId="0" shapeId="0">
      <text>
        <r>
          <rPr>
            <b/>
            <sz val="10"/>
            <color rgb="FF000000"/>
            <rFont val="Tahoma"/>
            <family val="2"/>
          </rPr>
          <t>Airport - Moshi - Airport 140000 TZS; Airport - Arusha - Airport 150000 TZS</t>
        </r>
      </text>
    </comment>
    <comment ref="H3" authorId="0" shapeId="0">
      <text>
        <r>
          <rPr>
            <b/>
            <sz val="10"/>
            <color rgb="FF000000"/>
            <rFont val="Tahoma"/>
            <family val="2"/>
          </rPr>
          <t>Crew transport to Kili need to manage only for Lemosho, Umbwe &amp; Rongai</t>
        </r>
      </text>
    </comment>
    <comment ref="B4" authorId="0" shapeId="0">
      <text>
        <r>
          <rPr>
            <b/>
            <sz val="10"/>
            <color rgb="FF000000"/>
            <rFont val="Calibri"/>
            <family val="2"/>
            <scheme val="minor"/>
          </rPr>
          <t>Cost of transport: 8 seat van 70000 TZS x2; 13-15 seat van 60000 TZS to &amp; 50000TZS back; 28 - 32 seat buss 120000TZS x2</t>
        </r>
        <r>
          <rPr>
            <sz val="10"/>
            <color rgb="FF000000"/>
            <rFont val="Calibri"/>
            <family val="2"/>
            <scheme val="minor"/>
          </rPr>
          <t xml:space="preserve">
</t>
        </r>
      </text>
    </comment>
    <comment ref="B14" authorId="0" shapeId="0">
      <text>
        <r>
          <rPr>
            <b/>
            <sz val="10"/>
            <color rgb="FF000000"/>
            <rFont val="Calibri"/>
            <family val="2"/>
            <scheme val="minor"/>
          </rPr>
          <t>Cost of transport: 8 seat van 70000 TZS x2; 13-15 seat van 60000 TZS to &amp; 50000TZS back; 28 - 32 seat buss 120000TZS x2</t>
        </r>
        <r>
          <rPr>
            <sz val="10"/>
            <color rgb="FF000000"/>
            <rFont val="Calibri"/>
            <family val="2"/>
            <scheme val="minor"/>
          </rPr>
          <t xml:space="preserve">
</t>
        </r>
      </text>
    </comment>
    <comment ref="B24" authorId="0" shapeId="0">
      <text>
        <r>
          <rPr>
            <b/>
            <sz val="10"/>
            <color rgb="FF000000"/>
            <rFont val="Calibri"/>
            <family val="2"/>
            <scheme val="minor"/>
          </rPr>
          <t>Cost of transport: 8 seat van 70000 TZS x2; 13-15 seat van 60000 TZS to &amp; 50000TZS back; 28 - 32 seat buss 120000TZS to &amp; 100000 TZS back</t>
        </r>
        <r>
          <rPr>
            <sz val="10"/>
            <color rgb="FF000000"/>
            <rFont val="Calibri"/>
            <family val="2"/>
            <scheme val="minor"/>
          </rPr>
          <t xml:space="preserve">
</t>
        </r>
      </text>
    </comment>
    <comment ref="B34" authorId="0" shapeId="0">
      <text>
        <r>
          <rPr>
            <b/>
            <sz val="10"/>
            <color rgb="FF000000"/>
            <rFont val="Calibri"/>
            <family val="2"/>
            <scheme val="minor"/>
          </rPr>
          <t>Cost of transport: 8 seat van 70000 TZS x2; 13-15 seat van 60000 TZS to &amp; 50000TZS back; 28 - 32 seat buss 120000TZS to &amp; 100000 TZS back</t>
        </r>
        <r>
          <rPr>
            <sz val="10"/>
            <color rgb="FF000000"/>
            <rFont val="Calibri"/>
            <family val="2"/>
            <scheme val="minor"/>
          </rPr>
          <t xml:space="preserve">
</t>
        </r>
      </text>
    </comment>
    <comment ref="B44" authorId="0" shapeId="0">
      <text>
        <r>
          <rPr>
            <b/>
            <sz val="10"/>
            <color rgb="FF000000"/>
            <rFont val="Calibri"/>
            <family val="2"/>
            <scheme val="minor"/>
          </rPr>
          <t>Cost of transport: 8 seat van 190000 TZS to &amp; 60000 TZS; 13-15 seat van 180000 TZS to &amp; 50000TZS back; 28 - 32 seat buss 250000 TZS to &amp; 100000 TZS back</t>
        </r>
        <r>
          <rPr>
            <sz val="10"/>
            <color rgb="FF000000"/>
            <rFont val="Calibri"/>
            <family val="2"/>
            <scheme val="minor"/>
          </rPr>
          <t xml:space="preserve">
</t>
        </r>
      </text>
    </comment>
    <comment ref="B54" authorId="0" shapeId="0">
      <text>
        <r>
          <rPr>
            <b/>
            <sz val="10"/>
            <color rgb="FF000000"/>
            <rFont val="Calibri"/>
            <family val="2"/>
            <scheme val="minor"/>
          </rPr>
          <t>Cost of transport: 8 seat van 190000 TZS to &amp; 60000 TZS; 13-15 seat van 180000 TZS to &amp; 50000TZS back; 28 - 32 seat buss 250000 TZS to &amp; 100000 TZS back</t>
        </r>
        <r>
          <rPr>
            <sz val="10"/>
            <color rgb="FF000000"/>
            <rFont val="Calibri"/>
            <family val="2"/>
            <scheme val="minor"/>
          </rPr>
          <t xml:space="preserve">
</t>
        </r>
      </text>
    </comment>
    <comment ref="B64" authorId="0" shapeId="0">
      <text>
        <r>
          <rPr>
            <b/>
            <sz val="10"/>
            <color rgb="FF000000"/>
            <rFont val="Calibri"/>
            <family val="2"/>
          </rPr>
          <t>Cost of transport: 8 seat van 190000 TZS to &amp; 60000 TZS; 13-15 seat van 180000 TZS to &amp; 50000TZS back; 28 - 32 seat buss 250000 TZS to &amp; 100000 TZS back</t>
        </r>
        <r>
          <rPr>
            <sz val="10"/>
            <color rgb="FF000000"/>
            <rFont val="Calibri"/>
            <family val="2"/>
          </rPr>
          <t xml:space="preserve">
</t>
        </r>
      </text>
    </comment>
    <comment ref="B74" authorId="0" shapeId="0">
      <text>
        <r>
          <rPr>
            <b/>
            <sz val="10"/>
            <color rgb="FF000000"/>
            <rFont val="Calibri"/>
            <family val="2"/>
            <scheme val="minor"/>
          </rPr>
          <t>Cost of transport: 8 seat van 150000 TZS to &amp; 60000 TZS; 13-15 seat van 120000 TZS to &amp; 50000TZS back; 28 - 32 seat buss 240000 TZS to &amp; 100000 TZS back</t>
        </r>
        <r>
          <rPr>
            <sz val="10"/>
            <color rgb="FF000000"/>
            <rFont val="Calibri"/>
            <family val="2"/>
            <scheme val="minor"/>
          </rPr>
          <t xml:space="preserve">
</t>
        </r>
      </text>
    </comment>
    <comment ref="B84" authorId="0" shapeId="0">
      <text>
        <r>
          <rPr>
            <b/>
            <sz val="10"/>
            <color rgb="FF000000"/>
            <rFont val="Calibri"/>
            <family val="2"/>
            <scheme val="minor"/>
          </rPr>
          <t>Cost of transport: 8 seat van 150000 TZS to &amp; 60000 TZS; 13-15 seat van 120000 TZS to &amp; 50000TZS back; 28 - 32 seat buss 240000 TZS to &amp; 100000 TZS back</t>
        </r>
        <r>
          <rPr>
            <sz val="10"/>
            <color rgb="FF000000"/>
            <rFont val="Calibri"/>
            <family val="2"/>
            <scheme val="minor"/>
          </rPr>
          <t xml:space="preserve">
</t>
        </r>
      </text>
    </comment>
    <comment ref="B94" authorId="0" shapeId="0">
      <text>
        <r>
          <rPr>
            <b/>
            <sz val="10"/>
            <color rgb="FF000000"/>
            <rFont val="Calibri"/>
            <family val="2"/>
            <scheme val="minor"/>
          </rPr>
          <t>Cost of transport: 8 seat van 190000 TZS to &amp; 70000 TZS; 13-15 seat van 180000 TZS to &amp; 70000TZS back; 28 - 32 seat buss 250000 TZS to &amp; 120000 TZS back</t>
        </r>
        <r>
          <rPr>
            <sz val="10"/>
            <color rgb="FF000000"/>
            <rFont val="Calibri"/>
            <family val="2"/>
            <scheme val="minor"/>
          </rPr>
          <t xml:space="preserve">
</t>
        </r>
      </text>
    </comment>
    <comment ref="B104" authorId="0" shapeId="0">
      <text>
        <r>
          <rPr>
            <b/>
            <sz val="10"/>
            <color rgb="FF000000"/>
            <rFont val="Calibri"/>
            <family val="2"/>
            <scheme val="minor"/>
          </rPr>
          <t>Cost of transport: 8 seat van 190000 TZS to &amp; 70000 TZS; 13-15 seat van 180000 TZS to &amp; 70000TZS back; 28 - 32 seat buss 250000 TZS to &amp; 120000 TZS back</t>
        </r>
        <r>
          <rPr>
            <sz val="10"/>
            <color rgb="FF000000"/>
            <rFont val="Calibri"/>
            <family val="2"/>
            <scheme val="minor"/>
          </rPr>
          <t xml:space="preserve">
</t>
        </r>
      </text>
    </comment>
  </commentList>
</comments>
</file>

<file path=xl/comments2.xml><?xml version="1.0" encoding="utf-8"?>
<comments xmlns="http://schemas.openxmlformats.org/spreadsheetml/2006/main">
  <authors>
    <author>dinah karia</author>
  </authors>
  <commentList>
    <comment ref="C8" authorId="0" shapeId="0">
      <text>
        <r>
          <rPr>
            <b/>
            <sz val="9"/>
            <color indexed="81"/>
            <rFont val="Tahoma"/>
            <family val="2"/>
          </rPr>
          <t>dinah karia:</t>
        </r>
        <r>
          <rPr>
            <sz val="9"/>
            <color indexed="81"/>
            <rFont val="Tahoma"/>
            <family val="2"/>
          </rPr>
          <t xml:space="preserve">
confirm with site like topclimbers on the amount of people and amount to be paid</t>
        </r>
      </text>
    </comment>
    <comment ref="C16" authorId="0" shapeId="0">
      <text>
        <r>
          <rPr>
            <b/>
            <sz val="9"/>
            <color indexed="81"/>
            <rFont val="Tahoma"/>
            <family val="2"/>
          </rPr>
          <t>dinah karia:</t>
        </r>
        <r>
          <rPr>
            <sz val="9"/>
            <color indexed="81"/>
            <rFont val="Tahoma"/>
            <family val="2"/>
          </rPr>
          <t xml:space="preserve">
Transport in 4X4 Toyota Land Cruisers with pop up roof for game viewing.
Park entry fees
Government fees &amp; taxes
18% VAT on tour fees &amp; services
Full board accommodation whilst on safari in the above mentioned suite tented camps and lodges
Ngorongoro Crater service fee
Private English speaking safari guide
All meals while on safari.
Enough bottled mineral water throughout the safari
Transfers to &amp; from the International Airport and Moshi.
3 Men Tents for 2, chairs, tables and sleeping mats (camping safari)</t>
        </r>
      </text>
    </comment>
    <comment ref="E17" authorId="0" shapeId="0">
      <text>
        <r>
          <rPr>
            <b/>
            <sz val="9"/>
            <color indexed="81"/>
            <rFont val="Tahoma"/>
            <family val="2"/>
          </rPr>
          <t>dinah karia:</t>
        </r>
        <r>
          <rPr>
            <sz val="9"/>
            <color indexed="81"/>
            <rFont val="Tahoma"/>
            <family val="2"/>
          </rPr>
          <t xml:space="preserve">
Transport in 4X4 Toyota Land Cruisers with pop up roof for game viewing.
Park entry fees
Government fees &amp; taxes
18% VAT on tour fees &amp; services
Full board accommodation whilst on safari in the above mentioned suite tented camps and lodges
Ngorongoro Crater service fee
Private English speaking safari guide 
All meals while on safari.
Enough bottled mineral water throughout the safari 
Transfers to &amp; from the International Airport and Moshi.
3 Men Tents for 2, chairs, tables and sleeping mats (camping safari</t>
        </r>
      </text>
    </comment>
  </commentList>
</comments>
</file>

<file path=xl/sharedStrings.xml><?xml version="1.0" encoding="utf-8"?>
<sst xmlns="http://schemas.openxmlformats.org/spreadsheetml/2006/main" count="911" uniqueCount="284">
  <si>
    <t>Product</t>
  </si>
  <si>
    <t>Marangu 5d</t>
  </si>
  <si>
    <t>Marangu 6d</t>
  </si>
  <si>
    <t>Machame 6d</t>
  </si>
  <si>
    <t>Umbwe 6d</t>
  </si>
  <si>
    <t>Machame 7d</t>
  </si>
  <si>
    <t>Lemosho 7d</t>
  </si>
  <si>
    <t>Lemosho 8d</t>
  </si>
  <si>
    <t>Lemosho 9d</t>
  </si>
  <si>
    <t>Umbwe 5d</t>
  </si>
  <si>
    <t>Rongai 6d</t>
  </si>
  <si>
    <t>Rongai 7d</t>
  </si>
  <si>
    <t>Pick up / drop of</t>
  </si>
  <si>
    <t>Comision for license</t>
  </si>
  <si>
    <t>Crew selary</t>
  </si>
  <si>
    <t>Equipment</t>
  </si>
  <si>
    <t>Food</t>
  </si>
  <si>
    <t>Costs per five person group</t>
  </si>
  <si>
    <t>Park fee</t>
  </si>
  <si>
    <t>JDA PRICE</t>
  </si>
  <si>
    <t>1 person</t>
  </si>
  <si>
    <t>2-4 person</t>
  </si>
  <si>
    <t>p/p</t>
  </si>
  <si>
    <t>5-9person</t>
  </si>
  <si>
    <t>COSTS TOTAL</t>
  </si>
  <si>
    <t xml:space="preserve">Costs </t>
  </si>
  <si>
    <t>.</t>
  </si>
  <si>
    <t>Budget Camping</t>
  </si>
  <si>
    <t>Luxury tented camp or Lodges</t>
  </si>
  <si>
    <t>Lake Manyara National park  Safari 1d</t>
  </si>
  <si>
    <t>Lake Manyara OR Tarangire - Ngorongoro crater 2d</t>
  </si>
  <si>
    <t>Tarangire - Ngorongoro crater &amp; Lake Manyara 3d</t>
  </si>
  <si>
    <t>Lake Manyara or Tarangire - Serengeti - Ngorongoro crater 5d</t>
  </si>
  <si>
    <t xml:space="preserve"> </t>
  </si>
  <si>
    <t>Lake Manyara - Serengeti - Ngorongoro crater - Tarangire 6d</t>
  </si>
  <si>
    <t>Arusha national park Day Trip</t>
  </si>
  <si>
    <t>Day 1 Tarangire national park</t>
  </si>
  <si>
    <t>Day 1 Ngorongoro Crater</t>
  </si>
  <si>
    <t xml:space="preserve">budget camping </t>
  </si>
  <si>
    <t>total payable</t>
  </si>
  <si>
    <t>includes:</t>
  </si>
  <si>
    <t>transport</t>
  </si>
  <si>
    <t>park entry fees</t>
  </si>
  <si>
    <t>govt taxes</t>
  </si>
  <si>
    <t>18% VAT</t>
  </si>
  <si>
    <t>one meal</t>
  </si>
  <si>
    <t>crew salary</t>
  </si>
  <si>
    <t>pick up /drop off</t>
  </si>
  <si>
    <t>includes refer to this comment</t>
  </si>
  <si>
    <t>[07:15, 10/03/2020] Asenu - Kilimanjaro: 1pax.</t>
  </si>
  <si>
    <t>Marangu 5 days.</t>
  </si>
  <si>
    <t>Park fee $ 71.8 ×5= $ 359</t>
  </si>
  <si>
    <t>Hut fee $ 60×4= $ 240</t>
  </si>
  <si>
    <t>Rescue fee $20</t>
  </si>
  <si>
    <t>Pick up and drop of.</t>
  </si>
  <si>
    <t>Airport-Arusha Tsh.150000.</t>
  </si>
  <si>
    <t>Transport Pick up and Drop off.</t>
  </si>
  <si>
    <t>Arusha-Marangu Tsh.400000.</t>
  </si>
  <si>
    <t>Moshi-Marangu Tsh.200000.</t>
  </si>
  <si>
    <t>Food.</t>
  </si>
  <si>
    <t>Tsh.300000.</t>
  </si>
  <si>
    <t>Salary.</t>
  </si>
  <si>
    <t>Tsh.810000.</t>
  </si>
  <si>
    <t>Crew fee: $2 per person per whole trip.</t>
  </si>
  <si>
    <t>1d</t>
  </si>
  <si>
    <t>tot</t>
  </si>
  <si>
    <t>Transport Moshi</t>
  </si>
  <si>
    <t>Accommodation in Moshi 2 nihts</t>
  </si>
  <si>
    <t>Oxygen cylinder: Tsh.60000 per whole trip.</t>
  </si>
  <si>
    <t>Kit bags:3×4000=Tsh.12000.</t>
  </si>
  <si>
    <t>Tents:</t>
  </si>
  <si>
    <t>1 tent for the whole crew:Tsh.70000 for the whole trip.</t>
  </si>
  <si>
    <t>Mess tent: Tsh.60000 for the whole trip.</t>
  </si>
  <si>
    <t>Client tent: Tsh.15000 per day.</t>
  </si>
  <si>
    <t>Table: 40000 per whole trip.</t>
  </si>
  <si>
    <t>Chair: Tsh.10000 per whole trip.(one chair for client)</t>
  </si>
  <si>
    <t>Mattress: Tsh.10000 per whole trip. (One mattress).</t>
  </si>
  <si>
    <t>Food: Tsh.300000.</t>
  </si>
  <si>
    <t>1pax.</t>
  </si>
  <si>
    <t>Machame route 6days.</t>
  </si>
  <si>
    <t>Number of Crew 7.</t>
  </si>
  <si>
    <t>1 guide + 1 Cook + 5 Potters.</t>
  </si>
  <si>
    <t>Park fee for client: $71.8 per person per day.</t>
  </si>
  <si>
    <t>Camping fee for client: $50 per night.</t>
  </si>
  <si>
    <t>Rescue fee for client: $20 per whole trip.</t>
  </si>
  <si>
    <t>Airport: pick up and drop off.</t>
  </si>
  <si>
    <t>Airport - Moshi:  140000</t>
  </si>
  <si>
    <t>Moshi - Machame: Tsh.70000.</t>
  </si>
  <si>
    <t>Salary: 1 Guide 30000 per day.</t>
  </si>
  <si>
    <t>1 chef 25000 per day.</t>
  </si>
  <si>
    <t>Potter 20000 per day.</t>
  </si>
  <si>
    <t>Copmetitior1</t>
  </si>
  <si>
    <t>Copmetitior2</t>
  </si>
  <si>
    <t>Monkey Adventures</t>
  </si>
  <si>
    <t>Copmetitior3</t>
  </si>
  <si>
    <t>Nyange Adventures</t>
  </si>
  <si>
    <t>Popote Africa Adventures</t>
  </si>
  <si>
    <t>Copmetitior4</t>
  </si>
  <si>
    <t>Copmetitior5</t>
  </si>
  <si>
    <t>Top Climbers Expedition</t>
  </si>
  <si>
    <t>Ascend Tanzania</t>
  </si>
  <si>
    <t>20% Margin</t>
  </si>
  <si>
    <t xml:space="preserve">Kili. Airp. Pick up &amp; drop of </t>
  </si>
  <si>
    <t>Kili transfer</t>
  </si>
  <si>
    <t>Rest of th costs</t>
  </si>
  <si>
    <t>Crew salary</t>
  </si>
  <si>
    <t xml:space="preserve">JDA PRICE </t>
  </si>
  <si>
    <t xml:space="preserve"> TOTAL COSTS</t>
  </si>
  <si>
    <t>Calculated - 1 USD = 2299,41 TZS</t>
  </si>
  <si>
    <t>Type of transport</t>
  </si>
  <si>
    <t xml:space="preserve">Amount of customers </t>
  </si>
  <si>
    <t>Crew trnsfer</t>
  </si>
  <si>
    <t>Airport - Moshi Tsh.140000. Airport-Arusha Tsh.150000.</t>
  </si>
  <si>
    <t>day</t>
  </si>
  <si>
    <t>night</t>
  </si>
  <si>
    <t>Park entry fee 70$ per day</t>
  </si>
  <si>
    <t>Crew fee 2$ per whole days</t>
  </si>
  <si>
    <t>Camping fee 50$ per night</t>
  </si>
  <si>
    <t>Hut fee 60$ per night</t>
  </si>
  <si>
    <t>Park fees (to all fees must add + 18% VAT)</t>
  </si>
  <si>
    <t>Customer orest fee 11$ per whole days</t>
  </si>
  <si>
    <t>Crew forest fee  2$ per whole days</t>
  </si>
  <si>
    <t>Customer rescue fees 20$ per whole days</t>
  </si>
  <si>
    <t>Kit bags - 4000 TZS per 1</t>
  </si>
  <si>
    <t>Oxygen cylinder - 60000 TZS per 1</t>
  </si>
  <si>
    <t>Crew tent - 70000 TZS per 1</t>
  </si>
  <si>
    <t>Mess tent - 60000 TZS per 1</t>
  </si>
  <si>
    <t>Client tent - 15000 TZS per day - 1 pcs</t>
  </si>
  <si>
    <t>Kitchen tent - 70000 TZS per 1</t>
  </si>
  <si>
    <t>Mettress 10000 TZS per 1</t>
  </si>
  <si>
    <t>Table - 40000 TZS per 1</t>
  </si>
  <si>
    <t>Chair - 10000 TZS per 1</t>
  </si>
  <si>
    <t>Head Guide - 30000 TZS per day</t>
  </si>
  <si>
    <t>Porter - 20000 TZS per day for one pers</t>
  </si>
  <si>
    <t>Chef - 25000 TZS per day for une pers</t>
  </si>
  <si>
    <t>Assistand Guide - 25000 TZS per day for one pers</t>
  </si>
  <si>
    <t xml:space="preserve"> $                                    26,00</t>
  </si>
  <si>
    <t xml:space="preserve"> $                                    52,00</t>
  </si>
  <si>
    <t xml:space="preserve"> COSTS per one client</t>
  </si>
  <si>
    <t>Noa 8 seat</t>
  </si>
  <si>
    <t>Hais 13seat</t>
  </si>
  <si>
    <t>Costa 28</t>
  </si>
  <si>
    <t>Noa 8 seat &amp; Costa 28</t>
  </si>
  <si>
    <t>Hais 13seat &amp; Costa 28</t>
  </si>
  <si>
    <t>Copmetitior6</t>
  </si>
  <si>
    <t>Ultimate Kilimanjaro</t>
  </si>
  <si>
    <t>Copmetitior7</t>
  </si>
  <si>
    <t>Zara Adventures.</t>
  </si>
  <si>
    <t>Copmetitior8</t>
  </si>
  <si>
    <t>Altezza Travel.</t>
  </si>
  <si>
    <t>Copmetitior9</t>
  </si>
  <si>
    <t>Kili Climber.</t>
  </si>
  <si>
    <t>Ebit in $ per group</t>
  </si>
  <si>
    <t>Recomend ebit in $ per group</t>
  </si>
  <si>
    <t>Average price from competitor offers</t>
  </si>
  <si>
    <t>Recomend margin p/p</t>
  </si>
  <si>
    <t>WC</t>
  </si>
  <si>
    <t>Total amount of crew (pasangers)</t>
  </si>
  <si>
    <t xml:space="preserve"> $60.00 </t>
  </si>
  <si>
    <t xml:space="preserve"> $100.00 </t>
  </si>
  <si>
    <t xml:space="preserve"> $-   </t>
  </si>
  <si>
    <t xml:space="preserve"> $12.98 </t>
  </si>
  <si>
    <t xml:space="preserve"> $18.88 </t>
  </si>
  <si>
    <t xml:space="preserve"> $23.60 </t>
  </si>
  <si>
    <t xml:space="preserve"> $26.00 </t>
  </si>
  <si>
    <t xml:space="preserve"> $8.00 </t>
  </si>
  <si>
    <t xml:space="preserve"> $30.00 </t>
  </si>
  <si>
    <t xml:space="preserve"> $48.00 </t>
  </si>
  <si>
    <t xml:space="preserve"> $4.00 </t>
  </si>
  <si>
    <t xml:space="preserve"> $17.00 </t>
  </si>
  <si>
    <t xml:space="preserve"> $104.00 </t>
  </si>
  <si>
    <t xml:space="preserve"> $80.00 </t>
  </si>
  <si>
    <t xml:space="preserve"> $248.00 </t>
  </si>
  <si>
    <t xml:space="preserve"> $50.00 </t>
  </si>
  <si>
    <t xml:space="preserve"> $160.00 </t>
  </si>
  <si>
    <t xml:space="preserve"> $120.00 </t>
  </si>
  <si>
    <t xml:space="preserve"> $188.80 </t>
  </si>
  <si>
    <t xml:space="preserve"> $25.96 </t>
  </si>
  <si>
    <t xml:space="preserve"> $47.20 </t>
  </si>
  <si>
    <t xml:space="preserve"> $14.00 </t>
  </si>
  <si>
    <t xml:space="preserve"> $512.00 </t>
  </si>
  <si>
    <t xml:space="preserve"> $185.00 </t>
  </si>
  <si>
    <t xml:space="preserve"> $180.00 </t>
  </si>
  <si>
    <t xml:space="preserve"> $38.94 </t>
  </si>
  <si>
    <t xml:space="preserve"> $30.68 </t>
  </si>
  <si>
    <t xml:space="preserve"> $70.80 </t>
  </si>
  <si>
    <t xml:space="preserve"> $20.00 </t>
  </si>
  <si>
    <t xml:space="preserve"> $96.00 </t>
  </si>
  <si>
    <t xml:space="preserve"> $12.00 </t>
  </si>
  <si>
    <t xml:space="preserve"> $768.00 </t>
  </si>
  <si>
    <t xml:space="preserve"> $150.00 </t>
  </si>
  <si>
    <t xml:space="preserve"> $206.00 </t>
  </si>
  <si>
    <t xml:space="preserve"> $240.00 </t>
  </si>
  <si>
    <t xml:space="preserve"> $51.92 </t>
  </si>
  <si>
    <t xml:space="preserve"> $37.76 </t>
  </si>
  <si>
    <t xml:space="preserve"> $94.40 </t>
  </si>
  <si>
    <t xml:space="preserve"> $16.00 </t>
  </si>
  <si>
    <t xml:space="preserve"> $1,024.00 </t>
  </si>
  <si>
    <t xml:space="preserve"> $200.00 </t>
  </si>
  <si>
    <t xml:space="preserve"> $246.00 </t>
  </si>
  <si>
    <t xml:space="preserve"> $300.00 </t>
  </si>
  <si>
    <t xml:space="preserve"> $64.90 </t>
  </si>
  <si>
    <t xml:space="preserve"> $118.00 </t>
  </si>
  <si>
    <t xml:space="preserve"> $32.00 </t>
  </si>
  <si>
    <t xml:space="preserve"> $144.00 </t>
  </si>
  <si>
    <t xml:space="preserve"> $34.00 </t>
  </si>
  <si>
    <t xml:space="preserve"> $1,152.00 </t>
  </si>
  <si>
    <t xml:space="preserve"> $250.00 </t>
  </si>
  <si>
    <t xml:space="preserve"> $277.00 </t>
  </si>
  <si>
    <t xml:space="preserve"> $360.00 </t>
  </si>
  <si>
    <t xml:space="preserve"> $77.88 </t>
  </si>
  <si>
    <t xml:space="preserve"> $56.64 </t>
  </si>
  <si>
    <t xml:space="preserve"> $141.60 </t>
  </si>
  <si>
    <t xml:space="preserve"> $38.00 </t>
  </si>
  <si>
    <t xml:space="preserve"> $24.00 </t>
  </si>
  <si>
    <t xml:space="preserve"> $1,408.00 </t>
  </si>
  <si>
    <t xml:space="preserve"> $284.00 </t>
  </si>
  <si>
    <t xml:space="preserve"> $420.00 </t>
  </si>
  <si>
    <t xml:space="preserve"> $90.86 </t>
  </si>
  <si>
    <t xml:space="preserve"> $66.08 </t>
  </si>
  <si>
    <t xml:space="preserve"> $165.20 </t>
  </si>
  <si>
    <t xml:space="preserve"> $44.00 </t>
  </si>
  <si>
    <t xml:space="preserve"> $192.00 </t>
  </si>
  <si>
    <t xml:space="preserve"> $28.00 </t>
  </si>
  <si>
    <t xml:space="preserve"> $1,664.00 </t>
  </si>
  <si>
    <t xml:space="preserve"> $350.00 </t>
  </si>
  <si>
    <t xml:space="preserve"> $318.00 </t>
  </si>
  <si>
    <t xml:space="preserve"> $480.00 </t>
  </si>
  <si>
    <t xml:space="preserve"> $103.84 </t>
  </si>
  <si>
    <t xml:space="preserve"> $75.52 </t>
  </si>
  <si>
    <t xml:space="preserve"> $52.00 </t>
  </si>
  <si>
    <t xml:space="preserve"> $1,920.00 </t>
  </si>
  <si>
    <t xml:space="preserve"> $400.00 </t>
  </si>
  <si>
    <t xml:space="preserve"> $282.00 </t>
  </si>
  <si>
    <t xml:space="preserve"> $540.00 </t>
  </si>
  <si>
    <t xml:space="preserve"> $116.82 </t>
  </si>
  <si>
    <t xml:space="preserve"> $84.96 </t>
  </si>
  <si>
    <t xml:space="preserve"> $212.40 </t>
  </si>
  <si>
    <t xml:space="preserve"> $56.00 </t>
  </si>
  <si>
    <t xml:space="preserve"> $36.00 </t>
  </si>
  <si>
    <t xml:space="preserve"> $320.00 </t>
  </si>
  <si>
    <t xml:space="preserve"> $2,176.00 </t>
  </si>
  <si>
    <t xml:space="preserve"> $450.00 </t>
  </si>
  <si>
    <t xml:space="preserve"> $384.00 </t>
  </si>
  <si>
    <t xml:space="preserve"> $600.00 </t>
  </si>
  <si>
    <t xml:space="preserve"> $129.80 </t>
  </si>
  <si>
    <t xml:space="preserve"> $92.04 </t>
  </si>
  <si>
    <t xml:space="preserve"> $236.00 </t>
  </si>
  <si>
    <t xml:space="preserve"> $62.00 </t>
  </si>
  <si>
    <t xml:space="preserve"> $40.00 </t>
  </si>
  <si>
    <t xml:space="preserve"> $2,432.00 </t>
  </si>
  <si>
    <t xml:space="preserve"> $500.00 </t>
  </si>
  <si>
    <t xml:space="preserve"> $433.00 </t>
  </si>
  <si>
    <t xml:space="preserve"> $21.24 </t>
  </si>
  <si>
    <t xml:space="preserve">  $                                    26,00 </t>
  </si>
  <si>
    <t xml:space="preserve"> $54.00 </t>
  </si>
  <si>
    <t xml:space="preserve"> $167.00 </t>
  </si>
  <si>
    <t xml:space="preserve"> $130.00 </t>
  </si>
  <si>
    <t xml:space="preserve"> $354.00 </t>
  </si>
  <si>
    <t xml:space="preserve"> $28.32 </t>
  </si>
  <si>
    <t xml:space="preserve"> $701.00 </t>
  </si>
  <si>
    <t xml:space="preserve"> $33.04 </t>
  </si>
  <si>
    <t xml:space="preserve"> $108.00 </t>
  </si>
  <si>
    <t xml:space="preserve"> $1,014.00 </t>
  </si>
  <si>
    <t xml:space="preserve"> $40.12 </t>
  </si>
  <si>
    <t xml:space="preserve"> $1,427.00 </t>
  </si>
  <si>
    <t xml:space="preserve"> $49.56 </t>
  </si>
  <si>
    <t xml:space="preserve"> $162.00 </t>
  </si>
  <si>
    <t xml:space="preserve"> $260.00 </t>
  </si>
  <si>
    <t xml:space="preserve"> $1,621.00 </t>
  </si>
  <si>
    <t xml:space="preserve"> $1,984.00 </t>
  </si>
  <si>
    <t xml:space="preserve"> $63.72 </t>
  </si>
  <si>
    <t xml:space="preserve"> $216.00 </t>
  </si>
  <si>
    <t xml:space="preserve"> $290.00 </t>
  </si>
  <si>
    <t xml:space="preserve"> $2,347.00 </t>
  </si>
  <si>
    <t xml:space="preserve">  $                                    52,00 </t>
  </si>
  <si>
    <t xml:space="preserve"> $2,710.00 </t>
  </si>
  <si>
    <t xml:space="preserve"> $80.24 </t>
  </si>
  <si>
    <t xml:space="preserve"> $270.00 </t>
  </si>
  <si>
    <t xml:space="preserve"> $520.00 </t>
  </si>
  <si>
    <t xml:space="preserve"> $3,073.00 </t>
  </si>
  <si>
    <t xml:space="preserve"> $3,386.00 </t>
  </si>
  <si>
    <t>Northern Circiut 9</t>
  </si>
  <si>
    <t>Northern Circuit8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</si>
</sst>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409]* #,##0.00_ ;_-[$$-409]* \-#,##0.00\ ;_-[$$-409]* &quot;-&quot;??_ ;_-@_ "/>
  </numFmts>
  <fonts count="12" x14ac:knownFonts="1">
    <font>
      <sz val="11"/>
      <color theme="1"/>
      <name val="Calibri"/>
      <family val="2"/>
      <charset val="186"/>
      <scheme val="minor"/>
    </font>
    <font>
      <b/>
      <sz val="11"/>
      <color theme="1"/>
      <name val="Calibri"/>
      <family val="2"/>
      <scheme val="minor"/>
    </font>
    <font>
      <b/>
      <sz val="11"/>
      <color rgb="FFFF0000"/>
      <name val="Calibri"/>
      <family val="2"/>
      <scheme val="minor"/>
    </font>
    <font>
      <sz val="9"/>
      <color indexed="81"/>
      <name val="Tahoma"/>
      <family val="2"/>
    </font>
    <font>
      <b/>
      <sz val="9"/>
      <color indexed="81"/>
      <name val="Tahoma"/>
      <family val="2"/>
    </font>
    <font>
      <sz val="8"/>
      <color rgb="FF333333"/>
      <name val="Arial"/>
      <family val="2"/>
    </font>
    <font>
      <sz val="11"/>
      <color rgb="FF000000"/>
      <name val="Calibri"/>
      <family val="2"/>
      <charset val="186"/>
      <scheme val="minor"/>
    </font>
    <font>
      <b/>
      <sz val="10"/>
      <color rgb="FF000000"/>
      <name val="Tahoma"/>
      <family val="2"/>
    </font>
    <font>
      <b/>
      <sz val="10"/>
      <color rgb="FF000000"/>
      <name val="Calibri"/>
      <family val="2"/>
      <scheme val="minor"/>
    </font>
    <font>
      <sz val="10"/>
      <color rgb="FF000000"/>
      <name val="Calibri"/>
      <family val="2"/>
      <scheme val="minor"/>
    </font>
    <font>
      <b/>
      <sz val="10"/>
      <color rgb="FF000000"/>
      <name val="Calibri"/>
      <family val="2"/>
    </font>
    <font>
      <sz val="10"/>
      <color rgb="FF000000"/>
      <name val="Calibri"/>
      <family val="2"/>
    </font>
  </fonts>
  <fills count="17">
    <fill>
      <patternFill patternType="none"/>
    </fill>
    <fill>
      <patternFill patternType="gray125"/>
    </fill>
    <fill>
      <patternFill patternType="solid">
        <fgColor theme="5" tint="0.79998168889431442"/>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rgb="FFFFFFFF"/>
        <bgColor rgb="FF000000"/>
      </patternFill>
    </fill>
    <fill>
      <patternFill patternType="solid">
        <fgColor theme="5" tint="-0.249977111117893"/>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FFCC"/>
        <bgColor indexed="64"/>
      </patternFill>
    </fill>
  </fills>
  <borders count="1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82">
    <xf numFmtId="0" fontId="0" fillId="0" borderId="0" xfId="0"/>
    <xf numFmtId="0" fontId="1" fillId="0" borderId="4" xfId="0" applyFont="1" applyBorder="1"/>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164" fontId="0" fillId="0" borderId="0" xfId="0" applyNumberFormat="1" applyAlignment="1">
      <alignment horizontal="center" vertical="center"/>
    </xf>
    <xf numFmtId="0" fontId="2" fillId="0" borderId="0" xfId="0" applyFont="1" applyBorder="1" applyAlignment="1">
      <alignment horizontal="center"/>
    </xf>
    <xf numFmtId="164" fontId="0" fillId="0" borderId="0" xfId="0" applyNumberFormat="1"/>
    <xf numFmtId="0" fontId="1" fillId="0" borderId="0" xfId="0" applyFont="1" applyFill="1" applyBorder="1" applyAlignment="1">
      <alignment horizontal="center" vertical="center"/>
    </xf>
    <xf numFmtId="164" fontId="0" fillId="3" borderId="0" xfId="0" applyNumberFormat="1" applyFill="1"/>
    <xf numFmtId="0" fontId="0" fillId="0" borderId="10" xfId="0" applyBorder="1"/>
    <xf numFmtId="164" fontId="0" fillId="4" borderId="10" xfId="0" applyNumberFormat="1" applyFill="1" applyBorder="1"/>
    <xf numFmtId="0" fontId="0" fillId="4" borderId="0" xfId="0" applyFill="1"/>
    <xf numFmtId="0" fontId="0" fillId="5" borderId="10" xfId="0" applyFill="1" applyBorder="1"/>
    <xf numFmtId="0" fontId="0" fillId="4" borderId="10" xfId="0" applyFill="1" applyBorder="1"/>
    <xf numFmtId="164" fontId="0" fillId="6" borderId="10" xfId="0" applyNumberFormat="1" applyFill="1" applyBorder="1"/>
    <xf numFmtId="0" fontId="0" fillId="6" borderId="0" xfId="0" applyFill="1"/>
    <xf numFmtId="0" fontId="1" fillId="0" borderId="13" xfId="0" applyFont="1" applyBorder="1" applyAlignment="1">
      <alignment horizontal="center" vertical="center"/>
    </xf>
    <xf numFmtId="164" fontId="0" fillId="0" borderId="10" xfId="0" applyNumberFormat="1" applyBorder="1" applyAlignment="1">
      <alignment horizontal="center" vertical="center"/>
    </xf>
    <xf numFmtId="0" fontId="0" fillId="7" borderId="10" xfId="0" applyFill="1" applyBorder="1"/>
    <xf numFmtId="164" fontId="0" fillId="7" borderId="10" xfId="0" applyNumberFormat="1" applyFill="1" applyBorder="1"/>
    <xf numFmtId="0" fontId="0" fillId="7" borderId="0" xfId="0" applyFill="1"/>
    <xf numFmtId="0" fontId="1" fillId="0" borderId="14" xfId="0" applyFont="1" applyBorder="1" applyAlignment="1">
      <alignment horizontal="center" vertical="center"/>
    </xf>
    <xf numFmtId="0" fontId="1" fillId="0" borderId="14" xfId="0" applyFont="1" applyBorder="1" applyAlignment="1">
      <alignment horizontal="center" vertical="center" wrapText="1"/>
    </xf>
    <xf numFmtId="164" fontId="0" fillId="6" borderId="10" xfId="0" applyNumberFormat="1" applyFill="1" applyBorder="1" applyAlignment="1">
      <alignment horizontal="center" vertical="center"/>
    </xf>
    <xf numFmtId="0" fontId="0" fillId="0" borderId="0" xfId="0" applyBorder="1"/>
    <xf numFmtId="0" fontId="0" fillId="0" borderId="15" xfId="0" applyBorder="1"/>
    <xf numFmtId="0" fontId="1" fillId="0" borderId="0" xfId="0" applyFont="1"/>
    <xf numFmtId="0" fontId="1" fillId="0" borderId="1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2" fillId="0" borderId="0" xfId="0" applyFont="1" applyBorder="1" applyAlignment="1">
      <alignment horizontal="center" vertical="center"/>
    </xf>
    <xf numFmtId="0" fontId="0" fillId="8" borderId="8" xfId="0" applyFill="1" applyBorder="1" applyAlignment="1">
      <alignment horizontal="center" vertical="center"/>
    </xf>
    <xf numFmtId="0" fontId="0" fillId="0" borderId="0" xfId="0" applyAlignment="1">
      <alignment horizontal="center" vertical="center"/>
    </xf>
    <xf numFmtId="0" fontId="0" fillId="6" borderId="0" xfId="0" applyFill="1" applyAlignment="1">
      <alignment horizontal="center" vertical="center"/>
    </xf>
    <xf numFmtId="0" fontId="5" fillId="0" borderId="0" xfId="0" applyFont="1" applyAlignment="1">
      <alignment horizontal="center" vertical="center" wrapText="1"/>
    </xf>
    <xf numFmtId="0" fontId="0" fillId="6" borderId="0" xfId="0" applyFont="1" applyFill="1" applyAlignment="1">
      <alignment horizontal="center" vertical="center"/>
    </xf>
    <xf numFmtId="0" fontId="2" fillId="6" borderId="0" xfId="0" applyFont="1" applyFill="1" applyAlignment="1">
      <alignment horizontal="center" vertical="center"/>
    </xf>
    <xf numFmtId="0" fontId="0" fillId="0" borderId="10" xfId="0" applyBorder="1" applyAlignment="1">
      <alignment horizontal="center" vertical="center"/>
    </xf>
    <xf numFmtId="0" fontId="0" fillId="6" borderId="10" xfId="0" applyFill="1" applyBorder="1" applyAlignment="1">
      <alignment horizontal="center" vertical="center"/>
    </xf>
    <xf numFmtId="164" fontId="6" fillId="12" borderId="10" xfId="0" applyNumberFormat="1" applyFont="1" applyFill="1" applyBorder="1" applyAlignment="1">
      <alignment horizontal="center" vertical="center"/>
    </xf>
    <xf numFmtId="164" fontId="6" fillId="12" borderId="16" xfId="0" applyNumberFormat="1" applyFont="1" applyFill="1" applyBorder="1" applyAlignment="1">
      <alignment horizontal="center" vertical="center"/>
    </xf>
    <xf numFmtId="0" fontId="0" fillId="0" borderId="10" xfId="0" applyBorder="1" applyAlignment="1">
      <alignment horizontal="center" vertical="center" wrapText="1"/>
    </xf>
    <xf numFmtId="0" fontId="1" fillId="0" borderId="12" xfId="0" applyFont="1" applyBorder="1" applyAlignment="1">
      <alignment horizontal="center" vertical="center" wrapText="1"/>
    </xf>
    <xf numFmtId="0" fontId="1" fillId="0" borderId="0" xfId="0" applyFont="1" applyFill="1" applyBorder="1" applyAlignment="1">
      <alignment horizontal="center" vertical="center" wrapText="1"/>
    </xf>
    <xf numFmtId="164" fontId="0" fillId="13" borderId="10" xfId="0" applyNumberFormat="1" applyFill="1" applyBorder="1" applyAlignment="1">
      <alignment horizontal="center" vertical="center"/>
    </xf>
    <xf numFmtId="164" fontId="0" fillId="14" borderId="10" xfId="0" applyNumberFormat="1" applyFill="1" applyBorder="1" applyAlignment="1">
      <alignment horizontal="center" vertical="center"/>
    </xf>
    <xf numFmtId="164" fontId="0" fillId="15" borderId="10" xfId="0" applyNumberFormat="1" applyFill="1" applyBorder="1" applyAlignment="1">
      <alignment horizontal="center" vertical="center"/>
    </xf>
    <xf numFmtId="164" fontId="0" fillId="2" borderId="10" xfId="0" applyNumberFormat="1" applyFill="1" applyBorder="1" applyAlignment="1">
      <alignment horizontal="center" vertical="center"/>
    </xf>
    <xf numFmtId="0" fontId="0" fillId="0" borderId="0" xfId="0" applyAlignment="1">
      <alignment horizontal="center" vertical="center"/>
    </xf>
    <xf numFmtId="0" fontId="0" fillId="11" borderId="8" xfId="0" applyFill="1" applyBorder="1" applyAlignment="1">
      <alignment horizontal="center" vertical="center"/>
    </xf>
    <xf numFmtId="0" fontId="0" fillId="0" borderId="17" xfId="0" applyBorder="1" applyAlignment="1">
      <alignment horizontal="center" vertical="center"/>
    </xf>
    <xf numFmtId="0" fontId="0" fillId="0" borderId="17" xfId="0" applyBorder="1" applyAlignment="1">
      <alignment horizontal="center" vertical="center" wrapText="1"/>
    </xf>
    <xf numFmtId="164" fontId="0" fillId="6" borderId="17" xfId="0" applyNumberFormat="1" applyFill="1" applyBorder="1" applyAlignment="1">
      <alignment horizontal="center" vertical="center"/>
    </xf>
    <xf numFmtId="164" fontId="0" fillId="0" borderId="17" xfId="0" applyNumberFormat="1" applyBorder="1" applyAlignment="1">
      <alignment horizontal="center" vertical="center"/>
    </xf>
    <xf numFmtId="164" fontId="6" fillId="12" borderId="18" xfId="0" applyNumberFormat="1" applyFont="1" applyFill="1" applyBorder="1" applyAlignment="1">
      <alignment horizontal="center" vertical="center"/>
    </xf>
    <xf numFmtId="164" fontId="0" fillId="14" borderId="17" xfId="0" applyNumberFormat="1" applyFill="1" applyBorder="1" applyAlignment="1">
      <alignment horizontal="center" vertical="center"/>
    </xf>
    <xf numFmtId="0" fontId="0" fillId="6" borderId="17" xfId="0" applyFill="1" applyBorder="1" applyAlignment="1">
      <alignment horizontal="center" vertical="center"/>
    </xf>
    <xf numFmtId="0" fontId="0" fillId="0" borderId="0" xfId="0" applyAlignment="1">
      <alignment horizontal="center" vertical="center"/>
    </xf>
    <xf numFmtId="0" fontId="2" fillId="9" borderId="4" xfId="0" applyFont="1" applyFill="1" applyBorder="1" applyAlignment="1">
      <alignment horizontal="center" vertical="center"/>
    </xf>
    <xf numFmtId="0" fontId="2" fillId="9" borderId="8" xfId="0" applyFont="1" applyFill="1" applyBorder="1" applyAlignment="1">
      <alignment horizontal="center" vertical="center"/>
    </xf>
    <xf numFmtId="0" fontId="2" fillId="9" borderId="9" xfId="0" applyFont="1" applyFill="1" applyBorder="1" applyAlignment="1">
      <alignment horizontal="center" vertical="center"/>
    </xf>
    <xf numFmtId="0" fontId="0" fillId="8" borderId="4" xfId="0" applyFill="1" applyBorder="1" applyAlignment="1">
      <alignment horizontal="center" vertical="center"/>
    </xf>
    <xf numFmtId="0" fontId="0" fillId="8" borderId="8" xfId="0" applyFill="1" applyBorder="1" applyAlignment="1">
      <alignment horizontal="center" vertical="center"/>
    </xf>
    <xf numFmtId="0" fontId="0" fillId="2" borderId="4" xfId="0" applyFill="1" applyBorder="1" applyAlignment="1">
      <alignment horizontal="center" vertical="center"/>
    </xf>
    <xf numFmtId="0" fontId="0" fillId="2" borderId="8" xfId="0" applyFill="1" applyBorder="1" applyAlignment="1">
      <alignment horizontal="center" vertical="center"/>
    </xf>
    <xf numFmtId="0" fontId="0" fillId="11" borderId="4" xfId="0" applyFill="1" applyBorder="1" applyAlignment="1">
      <alignment horizontal="center" vertical="center"/>
    </xf>
    <xf numFmtId="0" fontId="0" fillId="11" borderId="8" xfId="0" applyFill="1" applyBorder="1" applyAlignment="1">
      <alignment horizontal="center" vertical="center"/>
    </xf>
    <xf numFmtId="0" fontId="0" fillId="11" borderId="9" xfId="0" applyFill="1" applyBorder="1" applyAlignment="1">
      <alignment horizontal="center" vertical="center"/>
    </xf>
    <xf numFmtId="0" fontId="0" fillId="10" borderId="4" xfId="0" applyFill="1" applyBorder="1" applyAlignment="1">
      <alignment horizontal="center" vertical="center"/>
    </xf>
    <xf numFmtId="0" fontId="0" fillId="10" borderId="9" xfId="0" applyFill="1" applyBorder="1" applyAlignment="1">
      <alignment horizontal="center" vertical="center"/>
    </xf>
    <xf numFmtId="0" fontId="0" fillId="8" borderId="9" xfId="0" applyFill="1" applyBorder="1" applyAlignment="1">
      <alignment horizontal="center" vertical="center"/>
    </xf>
    <xf numFmtId="0" fontId="0" fillId="0" borderId="0" xfId="0" applyAlignment="1">
      <alignment horizont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1" fillId="0" borderId="4" xfId="0" applyFont="1" applyBorder="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0" fillId="4" borderId="10" xfId="0" applyFill="1" applyBorder="1" applyAlignment="1">
      <alignment horizontal="center"/>
    </xf>
    <xf numFmtId="0" fontId="0" fillId="16" borderId="0" xfId="0" applyFill="1" applyAlignment="1">
      <alignment horizontal="center" vertical="center"/>
    </xf>
    <xf numFmtId="0" fontId="0" fillId="16" borderId="10" xfId="0"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Z1048576"/>
  <sheetViews>
    <sheetView tabSelected="1" topLeftCell="Z1" zoomScale="92" zoomScaleNormal="109" workbookViewId="0">
      <pane ySplit="3" topLeftCell="A116" activePane="bottomLeft" state="frozen"/>
      <selection pane="bottomLeft" activeCell="AG134" sqref="AG134"/>
    </sheetView>
  </sheetViews>
  <sheetFormatPr defaultColWidth="8.85546875" defaultRowHeight="15" x14ac:dyDescent="0.25"/>
  <cols>
    <col min="1" max="1" width="1.85546875" style="33" customWidth="1"/>
    <col min="2" max="2" width="16.85546875" style="33" bestFit="1" customWidth="1"/>
    <col min="3" max="3" width="10.28515625" style="33" bestFit="1" customWidth="1"/>
    <col min="4" max="4" width="11.85546875" style="33" customWidth="1"/>
    <col min="5" max="5" width="21.28515625" style="33" bestFit="1" customWidth="1"/>
    <col min="6" max="6" width="16.85546875" style="33" bestFit="1" customWidth="1"/>
    <col min="7" max="8" width="15.7109375" style="33" customWidth="1"/>
    <col min="9" max="9" width="20.7109375" style="33" customWidth="1"/>
    <col min="10" max="15" width="19.28515625" style="33" customWidth="1"/>
    <col min="16" max="23" width="19.140625" style="33" customWidth="1"/>
    <col min="24" max="24" width="25.42578125" style="33" customWidth="1"/>
    <col min="25" max="25" width="25.42578125" style="49" customWidth="1"/>
    <col min="26" max="30" width="19.140625" style="33" customWidth="1"/>
    <col min="31" max="31" width="14" style="33" customWidth="1"/>
    <col min="32" max="33" width="12.85546875" style="33" customWidth="1"/>
    <col min="34" max="34" width="11.85546875" style="33" customWidth="1"/>
    <col min="35" max="35" width="12.85546875" style="33" customWidth="1"/>
    <col min="36" max="36" width="2.42578125" style="34" customWidth="1"/>
    <col min="37" max="37" width="13" style="33" customWidth="1"/>
    <col min="38" max="38" width="12.7109375" style="33" customWidth="1"/>
    <col min="39" max="40" width="16.28515625" style="33" customWidth="1"/>
    <col min="41" max="41" width="13.42578125" style="33" customWidth="1"/>
    <col min="42" max="42" width="13.28515625" style="33" customWidth="1"/>
    <col min="43" max="45" width="13.42578125" style="33" customWidth="1"/>
    <col min="46" max="46" width="8.85546875" style="33"/>
    <col min="47" max="47" width="10.7109375" style="33" bestFit="1" customWidth="1"/>
    <col min="48" max="49" width="8.85546875" style="33"/>
    <col min="50" max="50" width="9.85546875" style="33" bestFit="1" customWidth="1"/>
    <col min="51" max="51" width="8.85546875" style="33"/>
    <col min="52" max="52" width="11.85546875" style="33" bestFit="1" customWidth="1"/>
    <col min="53" max="16384" width="8.85546875" style="33"/>
  </cols>
  <sheetData>
    <row r="1" spans="2:50" ht="18" customHeight="1" thickBot="1" x14ac:dyDescent="0.3">
      <c r="F1" s="59" t="s">
        <v>25</v>
      </c>
      <c r="G1" s="60"/>
      <c r="H1" s="60"/>
      <c r="I1" s="60"/>
      <c r="J1" s="60"/>
      <c r="K1" s="60"/>
      <c r="L1" s="60"/>
      <c r="M1" s="60"/>
      <c r="N1" s="60"/>
      <c r="O1" s="60"/>
      <c r="P1" s="60"/>
      <c r="Q1" s="60"/>
      <c r="R1" s="60"/>
      <c r="S1" s="60"/>
      <c r="T1" s="60"/>
      <c r="U1" s="60"/>
      <c r="V1" s="60"/>
      <c r="W1" s="60"/>
      <c r="X1" s="60"/>
      <c r="Y1" s="60"/>
      <c r="Z1" s="60"/>
      <c r="AA1" s="60"/>
      <c r="AB1" s="60"/>
      <c r="AC1" s="60"/>
      <c r="AD1" s="60"/>
      <c r="AE1" s="61"/>
      <c r="AK1" s="58" t="s">
        <v>108</v>
      </c>
      <c r="AL1" s="58"/>
      <c r="AM1" s="58"/>
      <c r="AN1" s="58"/>
      <c r="AO1" s="58"/>
    </row>
    <row r="2" spans="2:50" ht="17.100000000000001" customHeight="1" thickBot="1" x14ac:dyDescent="0.3">
      <c r="C2" s="31"/>
      <c r="D2" s="31"/>
      <c r="E2" s="31"/>
      <c r="F2" s="62" t="s">
        <v>66</v>
      </c>
      <c r="G2" s="63"/>
      <c r="H2" s="32"/>
      <c r="I2" s="64" t="s">
        <v>119</v>
      </c>
      <c r="J2" s="65"/>
      <c r="K2" s="65"/>
      <c r="L2" s="65"/>
      <c r="M2" s="65"/>
      <c r="N2" s="65"/>
      <c r="O2" s="65"/>
      <c r="P2" s="66" t="s">
        <v>15</v>
      </c>
      <c r="Q2" s="67"/>
      <c r="R2" s="67"/>
      <c r="S2" s="67"/>
      <c r="T2" s="67"/>
      <c r="U2" s="67"/>
      <c r="V2" s="67"/>
      <c r="W2" s="67"/>
      <c r="X2" s="68"/>
      <c r="Y2" s="50"/>
      <c r="Z2" s="62" t="s">
        <v>105</v>
      </c>
      <c r="AA2" s="63"/>
      <c r="AB2" s="63"/>
      <c r="AC2" s="71"/>
      <c r="AD2" s="69" t="s">
        <v>104</v>
      </c>
      <c r="AE2" s="70"/>
      <c r="AH2" s="33" t="s">
        <v>101</v>
      </c>
      <c r="AJ2" s="36"/>
      <c r="AK2" s="35" t="s">
        <v>93</v>
      </c>
      <c r="AL2" s="35" t="s">
        <v>100</v>
      </c>
      <c r="AM2" s="35" t="s">
        <v>96</v>
      </c>
      <c r="AN2" s="35" t="s">
        <v>99</v>
      </c>
      <c r="AO2" s="35" t="s">
        <v>95</v>
      </c>
      <c r="AP2" s="35" t="s">
        <v>145</v>
      </c>
      <c r="AQ2" s="35" t="s">
        <v>147</v>
      </c>
      <c r="AR2" s="35" t="s">
        <v>149</v>
      </c>
      <c r="AS2" s="35" t="s">
        <v>151</v>
      </c>
    </row>
    <row r="3" spans="2:50" ht="60" x14ac:dyDescent="0.25">
      <c r="B3" s="30" t="s">
        <v>0</v>
      </c>
      <c r="C3" s="29" t="s">
        <v>110</v>
      </c>
      <c r="D3" s="29" t="s">
        <v>157</v>
      </c>
      <c r="E3" s="29" t="s">
        <v>109</v>
      </c>
      <c r="F3" s="28" t="s">
        <v>102</v>
      </c>
      <c r="G3" s="22" t="s">
        <v>103</v>
      </c>
      <c r="H3" s="22" t="s">
        <v>111</v>
      </c>
      <c r="I3" s="43" t="s">
        <v>115</v>
      </c>
      <c r="J3" s="43" t="s">
        <v>116</v>
      </c>
      <c r="K3" s="43" t="s">
        <v>117</v>
      </c>
      <c r="L3" s="22" t="s">
        <v>118</v>
      </c>
      <c r="M3" s="43" t="s">
        <v>120</v>
      </c>
      <c r="N3" s="43" t="s">
        <v>121</v>
      </c>
      <c r="O3" s="43" t="s">
        <v>122</v>
      </c>
      <c r="P3" s="23" t="s">
        <v>124</v>
      </c>
      <c r="Q3" s="23" t="s">
        <v>123</v>
      </c>
      <c r="R3" s="23" t="s">
        <v>125</v>
      </c>
      <c r="S3" s="23" t="s">
        <v>126</v>
      </c>
      <c r="T3" s="23" t="s">
        <v>127</v>
      </c>
      <c r="U3" s="23" t="s">
        <v>128</v>
      </c>
      <c r="V3" s="23" t="s">
        <v>129</v>
      </c>
      <c r="W3" s="23" t="s">
        <v>130</v>
      </c>
      <c r="X3" s="23" t="s">
        <v>131</v>
      </c>
      <c r="Y3" s="23" t="s">
        <v>156</v>
      </c>
      <c r="Z3" s="23" t="s">
        <v>132</v>
      </c>
      <c r="AA3" s="23" t="s">
        <v>135</v>
      </c>
      <c r="AB3" s="23" t="s">
        <v>134</v>
      </c>
      <c r="AC3" s="23" t="s">
        <v>133</v>
      </c>
      <c r="AD3" s="23" t="s">
        <v>67</v>
      </c>
      <c r="AE3" s="17" t="s">
        <v>16</v>
      </c>
      <c r="AF3" s="8" t="s">
        <v>107</v>
      </c>
      <c r="AG3" s="44" t="s">
        <v>138</v>
      </c>
      <c r="AH3" s="8" t="s">
        <v>106</v>
      </c>
      <c r="AI3" s="44" t="s">
        <v>152</v>
      </c>
      <c r="AJ3" s="37"/>
      <c r="AK3" s="8" t="s">
        <v>91</v>
      </c>
      <c r="AL3" s="8" t="s">
        <v>92</v>
      </c>
      <c r="AM3" s="8" t="s">
        <v>94</v>
      </c>
      <c r="AN3" s="8" t="s">
        <v>97</v>
      </c>
      <c r="AO3" s="8" t="s">
        <v>98</v>
      </c>
      <c r="AP3" s="8" t="s">
        <v>144</v>
      </c>
      <c r="AQ3" s="8" t="s">
        <v>146</v>
      </c>
      <c r="AR3" s="8" t="s">
        <v>148</v>
      </c>
      <c r="AS3" s="8" t="s">
        <v>150</v>
      </c>
      <c r="AU3" s="44" t="s">
        <v>154</v>
      </c>
      <c r="AW3" s="44" t="s">
        <v>155</v>
      </c>
      <c r="AX3" s="44" t="s">
        <v>153</v>
      </c>
    </row>
    <row r="4" spans="2:50" x14ac:dyDescent="0.25">
      <c r="B4" s="38" t="s">
        <v>1</v>
      </c>
      <c r="C4" s="38">
        <v>1</v>
      </c>
      <c r="D4" s="38">
        <v>5</v>
      </c>
      <c r="E4" s="38"/>
      <c r="F4" s="24">
        <v>60</v>
      </c>
      <c r="G4" s="24">
        <v>60</v>
      </c>
      <c r="H4" s="24">
        <v>0</v>
      </c>
      <c r="I4" s="24">
        <f>70*C4*$B$5*1.18</f>
        <v>413</v>
      </c>
      <c r="J4" s="24">
        <f>2*D4*$B$5*1.18</f>
        <v>59</v>
      </c>
      <c r="K4" s="24">
        <v>0</v>
      </c>
      <c r="L4" s="24">
        <f>50*C4*$B$7*1.18</f>
        <v>236</v>
      </c>
      <c r="M4" s="24">
        <f>11*C4*1.18</f>
        <v>12.979999999999999</v>
      </c>
      <c r="N4" s="24">
        <f>2*D4*1.18</f>
        <v>11.799999999999999</v>
      </c>
      <c r="O4" s="24">
        <f>20*C4*1.18</f>
        <v>23.599999999999998</v>
      </c>
      <c r="P4" s="24">
        <v>26</v>
      </c>
      <c r="Q4" s="24">
        <v>8</v>
      </c>
      <c r="R4" s="24">
        <v>30</v>
      </c>
      <c r="S4" s="24">
        <v>26</v>
      </c>
      <c r="T4" s="24">
        <v>30</v>
      </c>
      <c r="U4" s="24">
        <v>30</v>
      </c>
      <c r="V4" s="24">
        <f>4*C4</f>
        <v>4</v>
      </c>
      <c r="W4" s="24">
        <v>17</v>
      </c>
      <c r="X4" s="24">
        <f>4*C4</f>
        <v>4</v>
      </c>
      <c r="Y4" s="24"/>
      <c r="Z4" s="24">
        <f>13*$B$5</f>
        <v>65</v>
      </c>
      <c r="AA4" s="24">
        <v>0</v>
      </c>
      <c r="AB4" s="24">
        <v>50</v>
      </c>
      <c r="AC4" s="24">
        <v>155</v>
      </c>
      <c r="AD4" s="24">
        <f>50*C4</f>
        <v>50</v>
      </c>
      <c r="AE4" s="24">
        <v>160</v>
      </c>
      <c r="AF4" s="24">
        <f>SUM(F4:AE4)</f>
        <v>1531.38</v>
      </c>
      <c r="AG4" s="24">
        <f>AF4/C4</f>
        <v>1531.38</v>
      </c>
      <c r="AH4" s="46">
        <f>AG4*1.2</f>
        <v>1837.6560000000002</v>
      </c>
      <c r="AI4" s="24">
        <f>(AH4-AG4)*C4</f>
        <v>306.27600000000007</v>
      </c>
      <c r="AK4" s="24">
        <v>1148</v>
      </c>
      <c r="AL4" s="24"/>
      <c r="AM4" s="24">
        <v>1650</v>
      </c>
      <c r="AN4" s="24">
        <v>1800</v>
      </c>
      <c r="AO4" s="38"/>
      <c r="AP4" s="38"/>
      <c r="AQ4" s="24">
        <v>1628</v>
      </c>
      <c r="AR4" s="24">
        <v>2296</v>
      </c>
      <c r="AS4" s="24">
        <v>1295</v>
      </c>
      <c r="AU4" s="5">
        <f>AVERAGE(AK4:AS4)</f>
        <v>1636.1666666666667</v>
      </c>
      <c r="AW4" s="5">
        <f>AU4-AG4</f>
        <v>104.78666666666663</v>
      </c>
      <c r="AX4" s="5">
        <f>AW4*C4</f>
        <v>104.78666666666663</v>
      </c>
    </row>
    <row r="5" spans="2:50" x14ac:dyDescent="0.25">
      <c r="B5" s="38">
        <v>5</v>
      </c>
      <c r="C5" s="38">
        <v>2</v>
      </c>
      <c r="D5" s="38">
        <v>8</v>
      </c>
      <c r="E5" s="38"/>
      <c r="F5" s="24">
        <f>$F$4*C5</f>
        <v>120</v>
      </c>
      <c r="G5" s="24">
        <f>$G$4*C5</f>
        <v>120</v>
      </c>
      <c r="H5" s="24">
        <v>0</v>
      </c>
      <c r="I5" s="24">
        <f t="shared" ref="I5:I13" si="0">70*C5*$B$5*1.18</f>
        <v>826</v>
      </c>
      <c r="J5" s="24">
        <f t="shared" ref="J5:J13" si="1">2*D5*$B$5*1.18</f>
        <v>94.399999999999991</v>
      </c>
      <c r="K5" s="24">
        <v>0</v>
      </c>
      <c r="L5" s="24">
        <f t="shared" ref="L5:L13" si="2">50*C5*$B$7*1.18</f>
        <v>472</v>
      </c>
      <c r="M5" s="24">
        <f t="shared" ref="M5:M68" si="3">11*C5*1.18</f>
        <v>25.959999999999997</v>
      </c>
      <c r="N5" s="24">
        <f t="shared" ref="N5:N68" si="4">2*D5*1.18</f>
        <v>18.88</v>
      </c>
      <c r="O5" s="24">
        <f t="shared" ref="O5:O68" si="5">20*C5*1.18</f>
        <v>47.199999999999996</v>
      </c>
      <c r="P5" s="24">
        <v>26</v>
      </c>
      <c r="Q5" s="24">
        <v>14</v>
      </c>
      <c r="R5" s="24">
        <v>30</v>
      </c>
      <c r="S5" s="24">
        <v>26</v>
      </c>
      <c r="T5" s="24">
        <v>30</v>
      </c>
      <c r="U5" s="24">
        <v>30</v>
      </c>
      <c r="V5" s="24">
        <f t="shared" ref="V5:V68" si="6">4*C5</f>
        <v>8</v>
      </c>
      <c r="W5" s="24">
        <v>17</v>
      </c>
      <c r="X5" s="24">
        <f t="shared" ref="X5:X68" si="7">4*C5</f>
        <v>8</v>
      </c>
      <c r="Y5" s="24"/>
      <c r="Z5" s="24">
        <f>13*$B$5</f>
        <v>65</v>
      </c>
      <c r="AA5" s="24">
        <v>50</v>
      </c>
      <c r="AB5" s="24">
        <v>50</v>
      </c>
      <c r="AC5" s="24">
        <v>320</v>
      </c>
      <c r="AD5" s="24">
        <f t="shared" ref="AD5:AD68" si="8">50*C5</f>
        <v>100</v>
      </c>
      <c r="AE5" s="24">
        <v>185</v>
      </c>
      <c r="AF5" s="24">
        <f t="shared" ref="AF5:AF23" si="9">SUM(F5:AE5)</f>
        <v>2683.4400000000005</v>
      </c>
      <c r="AG5" s="24">
        <f t="shared" ref="AG5:AG68" si="10">AF5/C5</f>
        <v>1341.7200000000003</v>
      </c>
      <c r="AH5" s="47">
        <f t="shared" ref="AH5:AH68" si="11">AG5*1.2</f>
        <v>1610.0640000000003</v>
      </c>
      <c r="AI5" s="24">
        <f t="shared" ref="AI5:AI68" si="12">(AH5-AG5)*C5</f>
        <v>536.6880000000001</v>
      </c>
      <c r="AK5" s="24">
        <v>1148</v>
      </c>
      <c r="AL5" s="24"/>
      <c r="AM5" s="24">
        <v>1360</v>
      </c>
      <c r="AN5" s="24">
        <v>1650</v>
      </c>
      <c r="AO5" s="38"/>
      <c r="AP5" s="38"/>
      <c r="AQ5" s="24">
        <v>1628</v>
      </c>
      <c r="AR5" s="24">
        <v>1869</v>
      </c>
      <c r="AS5" s="24">
        <v>1295</v>
      </c>
      <c r="AU5" s="5">
        <f t="shared" ref="AU5:AU68" si="13">AVERAGE(AK5:AS5)</f>
        <v>1491.6666666666667</v>
      </c>
      <c r="AW5" s="5">
        <f t="shared" ref="AW5:AW68" si="14">AU5-AG5</f>
        <v>149.94666666666649</v>
      </c>
      <c r="AX5" s="5">
        <f t="shared" ref="AX5:AX68" si="15">AW5*C5</f>
        <v>299.89333333333298</v>
      </c>
    </row>
    <row r="6" spans="2:50" x14ac:dyDescent="0.25">
      <c r="B6" s="38" t="s">
        <v>113</v>
      </c>
      <c r="C6" s="38">
        <v>3</v>
      </c>
      <c r="D6" s="38">
        <v>10</v>
      </c>
      <c r="E6" s="38"/>
      <c r="F6" s="24">
        <f t="shared" ref="F6:F69" si="16">$F$4*C6</f>
        <v>180</v>
      </c>
      <c r="G6" s="24">
        <f t="shared" ref="G6:G69" si="17">$G$4*C6</f>
        <v>180</v>
      </c>
      <c r="H6" s="24">
        <v>0</v>
      </c>
      <c r="I6" s="24">
        <f t="shared" si="0"/>
        <v>1239</v>
      </c>
      <c r="J6" s="24">
        <f t="shared" si="1"/>
        <v>118</v>
      </c>
      <c r="K6" s="24">
        <v>0</v>
      </c>
      <c r="L6" s="24">
        <f t="shared" si="2"/>
        <v>708</v>
      </c>
      <c r="M6" s="24">
        <f t="shared" si="3"/>
        <v>38.94</v>
      </c>
      <c r="N6" s="24">
        <f t="shared" si="4"/>
        <v>23.599999999999998</v>
      </c>
      <c r="O6" s="24">
        <f t="shared" si="5"/>
        <v>70.8</v>
      </c>
      <c r="P6" s="24">
        <v>26</v>
      </c>
      <c r="Q6" s="24">
        <v>20</v>
      </c>
      <c r="R6" s="24">
        <v>30</v>
      </c>
      <c r="S6" s="24">
        <v>26</v>
      </c>
      <c r="T6" s="24">
        <v>60</v>
      </c>
      <c r="U6" s="24">
        <v>30</v>
      </c>
      <c r="V6" s="24">
        <f t="shared" si="6"/>
        <v>12</v>
      </c>
      <c r="W6" s="24">
        <v>17</v>
      </c>
      <c r="X6" s="24">
        <f t="shared" si="7"/>
        <v>12</v>
      </c>
      <c r="Y6" s="24"/>
      <c r="Z6" s="24">
        <f t="shared" ref="Z6:Z13" si="18">13*$B$5</f>
        <v>65</v>
      </c>
      <c r="AA6" s="24">
        <v>50</v>
      </c>
      <c r="AB6" s="24">
        <v>50</v>
      </c>
      <c r="AC6" s="24">
        <v>480</v>
      </c>
      <c r="AD6" s="24">
        <f t="shared" si="8"/>
        <v>150</v>
      </c>
      <c r="AE6" s="24">
        <v>206</v>
      </c>
      <c r="AF6" s="24">
        <f t="shared" si="9"/>
        <v>3792.34</v>
      </c>
      <c r="AG6" s="24">
        <f t="shared" si="10"/>
        <v>1264.1133333333335</v>
      </c>
      <c r="AH6" s="47">
        <f t="shared" si="11"/>
        <v>1516.9360000000001</v>
      </c>
      <c r="AI6" s="24">
        <f t="shared" si="12"/>
        <v>758.46800000000007</v>
      </c>
      <c r="AK6" s="24">
        <v>1148</v>
      </c>
      <c r="AL6" s="24"/>
      <c r="AM6" s="24">
        <v>1360</v>
      </c>
      <c r="AN6" s="24">
        <v>1650</v>
      </c>
      <c r="AO6" s="38"/>
      <c r="AP6" s="38"/>
      <c r="AQ6" s="24">
        <v>1628</v>
      </c>
      <c r="AR6" s="24">
        <v>1766</v>
      </c>
      <c r="AS6" s="24">
        <v>1295</v>
      </c>
      <c r="AU6" s="5">
        <f t="shared" si="13"/>
        <v>1474.5</v>
      </c>
      <c r="AW6" s="5">
        <f t="shared" si="14"/>
        <v>210.38666666666654</v>
      </c>
      <c r="AX6" s="5">
        <f t="shared" si="15"/>
        <v>631.15999999999963</v>
      </c>
    </row>
    <row r="7" spans="2:50" x14ac:dyDescent="0.25">
      <c r="B7" s="38">
        <v>4</v>
      </c>
      <c r="C7" s="38">
        <v>4</v>
      </c>
      <c r="D7" s="38">
        <v>12</v>
      </c>
      <c r="E7" s="38"/>
      <c r="F7" s="24">
        <f t="shared" si="16"/>
        <v>240</v>
      </c>
      <c r="G7" s="24">
        <f t="shared" si="17"/>
        <v>240</v>
      </c>
      <c r="H7" s="24">
        <v>0</v>
      </c>
      <c r="I7" s="24">
        <f t="shared" si="0"/>
        <v>1652</v>
      </c>
      <c r="J7" s="24">
        <f t="shared" si="1"/>
        <v>141.6</v>
      </c>
      <c r="K7" s="24">
        <v>0</v>
      </c>
      <c r="L7" s="24">
        <f t="shared" si="2"/>
        <v>944</v>
      </c>
      <c r="M7" s="24">
        <f t="shared" si="3"/>
        <v>51.919999999999995</v>
      </c>
      <c r="N7" s="24">
        <f t="shared" si="4"/>
        <v>28.32</v>
      </c>
      <c r="O7" s="24">
        <f t="shared" si="5"/>
        <v>94.399999999999991</v>
      </c>
      <c r="P7" s="24">
        <v>26</v>
      </c>
      <c r="Q7" s="24">
        <v>26</v>
      </c>
      <c r="R7" s="24">
        <v>30</v>
      </c>
      <c r="S7" s="24">
        <v>26</v>
      </c>
      <c r="T7" s="24">
        <v>60</v>
      </c>
      <c r="U7" s="24">
        <v>30</v>
      </c>
      <c r="V7" s="24">
        <f t="shared" si="6"/>
        <v>16</v>
      </c>
      <c r="W7" s="24">
        <v>17</v>
      </c>
      <c r="X7" s="24">
        <f t="shared" si="7"/>
        <v>16</v>
      </c>
      <c r="Y7" s="24"/>
      <c r="Z7" s="24">
        <f t="shared" si="18"/>
        <v>65</v>
      </c>
      <c r="AA7" s="24">
        <v>50</v>
      </c>
      <c r="AB7" s="24">
        <v>50</v>
      </c>
      <c r="AC7" s="24">
        <v>640</v>
      </c>
      <c r="AD7" s="24">
        <f t="shared" si="8"/>
        <v>200</v>
      </c>
      <c r="AE7" s="24">
        <v>246</v>
      </c>
      <c r="AF7" s="24">
        <f t="shared" si="9"/>
        <v>4890.24</v>
      </c>
      <c r="AG7" s="24">
        <f t="shared" si="10"/>
        <v>1222.56</v>
      </c>
      <c r="AH7" s="47">
        <f t="shared" si="11"/>
        <v>1467.0719999999999</v>
      </c>
      <c r="AI7" s="24">
        <f t="shared" si="12"/>
        <v>978.04799999999977</v>
      </c>
      <c r="AK7" s="24">
        <v>1148</v>
      </c>
      <c r="AL7" s="24"/>
      <c r="AM7" s="24">
        <v>1360</v>
      </c>
      <c r="AN7" s="24">
        <v>1650</v>
      </c>
      <c r="AO7" s="38"/>
      <c r="AP7" s="38"/>
      <c r="AQ7" s="24">
        <v>1628</v>
      </c>
      <c r="AR7" s="24">
        <v>1688</v>
      </c>
      <c r="AS7" s="24">
        <v>1295</v>
      </c>
      <c r="AU7" s="5">
        <f t="shared" si="13"/>
        <v>1461.5</v>
      </c>
      <c r="AW7" s="5">
        <f t="shared" si="14"/>
        <v>238.94000000000005</v>
      </c>
      <c r="AX7" s="5">
        <f t="shared" si="15"/>
        <v>955.76000000000022</v>
      </c>
    </row>
    <row r="8" spans="2:50" x14ac:dyDescent="0.25">
      <c r="B8" s="38" t="s">
        <v>114</v>
      </c>
      <c r="C8" s="38">
        <v>5</v>
      </c>
      <c r="D8" s="38">
        <v>16</v>
      </c>
      <c r="E8" s="42"/>
      <c r="F8" s="24">
        <f t="shared" si="16"/>
        <v>300</v>
      </c>
      <c r="G8" s="24">
        <f t="shared" si="17"/>
        <v>300</v>
      </c>
      <c r="H8" s="24">
        <v>0</v>
      </c>
      <c r="I8" s="24">
        <f t="shared" si="0"/>
        <v>2065</v>
      </c>
      <c r="J8" s="24">
        <f t="shared" si="1"/>
        <v>188.79999999999998</v>
      </c>
      <c r="K8" s="24">
        <v>0</v>
      </c>
      <c r="L8" s="24">
        <f t="shared" si="2"/>
        <v>1180</v>
      </c>
      <c r="M8" s="24">
        <f t="shared" si="3"/>
        <v>64.899999999999991</v>
      </c>
      <c r="N8" s="24">
        <f t="shared" si="4"/>
        <v>37.76</v>
      </c>
      <c r="O8" s="24">
        <f t="shared" si="5"/>
        <v>118</v>
      </c>
      <c r="P8" s="24">
        <v>26</v>
      </c>
      <c r="Q8" s="24">
        <v>32</v>
      </c>
      <c r="R8" s="24">
        <v>30</v>
      </c>
      <c r="S8" s="24">
        <v>26</v>
      </c>
      <c r="T8" s="24">
        <v>90</v>
      </c>
      <c r="U8" s="24">
        <v>30</v>
      </c>
      <c r="V8" s="24">
        <f t="shared" si="6"/>
        <v>20</v>
      </c>
      <c r="W8" s="24">
        <v>34</v>
      </c>
      <c r="X8" s="24">
        <f t="shared" si="7"/>
        <v>20</v>
      </c>
      <c r="Y8" s="24"/>
      <c r="Z8" s="24">
        <f t="shared" si="18"/>
        <v>65</v>
      </c>
      <c r="AA8" s="24">
        <v>100</v>
      </c>
      <c r="AB8" s="24">
        <v>50</v>
      </c>
      <c r="AC8" s="24">
        <v>720</v>
      </c>
      <c r="AD8" s="24">
        <f t="shared" si="8"/>
        <v>250</v>
      </c>
      <c r="AE8" s="24">
        <v>277</v>
      </c>
      <c r="AF8" s="24">
        <f t="shared" si="9"/>
        <v>6024.46</v>
      </c>
      <c r="AG8" s="24">
        <f t="shared" si="10"/>
        <v>1204.8920000000001</v>
      </c>
      <c r="AH8" s="47">
        <f t="shared" si="11"/>
        <v>1445.8704</v>
      </c>
      <c r="AI8" s="24">
        <f t="shared" si="12"/>
        <v>1204.8919999999998</v>
      </c>
      <c r="AK8" s="24">
        <v>1148</v>
      </c>
      <c r="AL8" s="24"/>
      <c r="AM8" s="24">
        <v>1360</v>
      </c>
      <c r="AN8" s="24">
        <v>1600</v>
      </c>
      <c r="AO8" s="38"/>
      <c r="AP8" s="38"/>
      <c r="AQ8" s="24">
        <v>1628</v>
      </c>
      <c r="AR8" s="24">
        <v>1665</v>
      </c>
      <c r="AS8" s="24">
        <v>1295</v>
      </c>
      <c r="AU8" s="5">
        <f t="shared" si="13"/>
        <v>1449.3333333333333</v>
      </c>
      <c r="AW8" s="5">
        <f t="shared" si="14"/>
        <v>244.4413333333332</v>
      </c>
      <c r="AX8" s="5">
        <f t="shared" si="15"/>
        <v>1222.206666666666</v>
      </c>
    </row>
    <row r="9" spans="2:50" x14ac:dyDescent="0.25">
      <c r="B9" s="38"/>
      <c r="C9" s="38">
        <v>6</v>
      </c>
      <c r="D9" s="38">
        <v>19</v>
      </c>
      <c r="E9" s="42"/>
      <c r="F9" s="24">
        <f t="shared" si="16"/>
        <v>360</v>
      </c>
      <c r="G9" s="24">
        <f t="shared" si="17"/>
        <v>360</v>
      </c>
      <c r="H9" s="24">
        <v>0</v>
      </c>
      <c r="I9" s="24">
        <f t="shared" si="0"/>
        <v>2478</v>
      </c>
      <c r="J9" s="24">
        <f>2*D9*$B$5*1.18</f>
        <v>224.2</v>
      </c>
      <c r="K9" s="24">
        <v>0</v>
      </c>
      <c r="L9" s="24">
        <f t="shared" si="2"/>
        <v>1416</v>
      </c>
      <c r="M9" s="24">
        <f t="shared" si="3"/>
        <v>77.88</v>
      </c>
      <c r="N9" s="24">
        <f t="shared" si="4"/>
        <v>44.839999999999996</v>
      </c>
      <c r="O9" s="24">
        <f t="shared" si="5"/>
        <v>141.6</v>
      </c>
      <c r="P9" s="24">
        <v>26</v>
      </c>
      <c r="Q9" s="24">
        <v>38</v>
      </c>
      <c r="R9" s="24">
        <v>30</v>
      </c>
      <c r="S9" s="24">
        <v>26</v>
      </c>
      <c r="T9" s="24">
        <v>90</v>
      </c>
      <c r="U9" s="24">
        <v>30</v>
      </c>
      <c r="V9" s="24">
        <f t="shared" si="6"/>
        <v>24</v>
      </c>
      <c r="W9" s="24">
        <v>34</v>
      </c>
      <c r="X9" s="24">
        <f t="shared" si="7"/>
        <v>24</v>
      </c>
      <c r="Y9" s="24"/>
      <c r="Z9" s="24">
        <f t="shared" si="18"/>
        <v>65</v>
      </c>
      <c r="AA9" s="24">
        <v>100</v>
      </c>
      <c r="AB9" s="24">
        <v>50</v>
      </c>
      <c r="AC9" s="24">
        <v>880</v>
      </c>
      <c r="AD9" s="24">
        <f t="shared" si="8"/>
        <v>300</v>
      </c>
      <c r="AE9" s="24">
        <v>284</v>
      </c>
      <c r="AF9" s="24">
        <f t="shared" si="9"/>
        <v>7103.52</v>
      </c>
      <c r="AG9" s="24">
        <f t="shared" si="10"/>
        <v>1183.92</v>
      </c>
      <c r="AH9" s="47">
        <f t="shared" si="11"/>
        <v>1420.704</v>
      </c>
      <c r="AI9" s="24">
        <f t="shared" si="12"/>
        <v>1420.7039999999993</v>
      </c>
      <c r="AK9" s="24">
        <v>1148</v>
      </c>
      <c r="AL9" s="24"/>
      <c r="AM9" s="24">
        <v>1325</v>
      </c>
      <c r="AN9" s="24">
        <v>1600</v>
      </c>
      <c r="AO9" s="38"/>
      <c r="AP9" s="38"/>
      <c r="AQ9" s="24">
        <v>1628</v>
      </c>
      <c r="AR9" s="24">
        <v>1597</v>
      </c>
      <c r="AS9" s="24">
        <v>1295</v>
      </c>
      <c r="AU9" s="5">
        <f t="shared" si="13"/>
        <v>1432.1666666666667</v>
      </c>
      <c r="AW9" s="5">
        <f t="shared" si="14"/>
        <v>248.24666666666667</v>
      </c>
      <c r="AX9" s="5">
        <f t="shared" si="15"/>
        <v>1489.48</v>
      </c>
    </row>
    <row r="10" spans="2:50" x14ac:dyDescent="0.25">
      <c r="B10" s="38"/>
      <c r="C10" s="38">
        <v>7</v>
      </c>
      <c r="D10" s="38">
        <v>23</v>
      </c>
      <c r="E10" s="42"/>
      <c r="F10" s="24">
        <f t="shared" si="16"/>
        <v>420</v>
      </c>
      <c r="G10" s="24">
        <f t="shared" si="17"/>
        <v>420</v>
      </c>
      <c r="H10" s="24">
        <v>0</v>
      </c>
      <c r="I10" s="24">
        <f t="shared" si="0"/>
        <v>2891</v>
      </c>
      <c r="J10" s="24">
        <f t="shared" si="1"/>
        <v>271.39999999999998</v>
      </c>
      <c r="K10" s="24">
        <v>0</v>
      </c>
      <c r="L10" s="24">
        <f t="shared" si="2"/>
        <v>1652</v>
      </c>
      <c r="M10" s="24">
        <f t="shared" si="3"/>
        <v>90.86</v>
      </c>
      <c r="N10" s="24">
        <f t="shared" si="4"/>
        <v>54.279999999999994</v>
      </c>
      <c r="O10" s="24">
        <f t="shared" si="5"/>
        <v>165.2</v>
      </c>
      <c r="P10" s="24">
        <v>26</v>
      </c>
      <c r="Q10" s="24">
        <v>44</v>
      </c>
      <c r="R10" s="24">
        <v>30</v>
      </c>
      <c r="S10" s="24">
        <v>26</v>
      </c>
      <c r="T10" s="24">
        <v>120</v>
      </c>
      <c r="U10" s="24">
        <v>30</v>
      </c>
      <c r="V10" s="24">
        <f t="shared" si="6"/>
        <v>28</v>
      </c>
      <c r="W10" s="24">
        <v>34</v>
      </c>
      <c r="X10" s="24">
        <f t="shared" si="7"/>
        <v>28</v>
      </c>
      <c r="Y10" s="24"/>
      <c r="Z10" s="24">
        <f t="shared" si="18"/>
        <v>65</v>
      </c>
      <c r="AA10" s="24">
        <v>150</v>
      </c>
      <c r="AB10" s="24">
        <v>50</v>
      </c>
      <c r="AC10" s="24">
        <v>1040</v>
      </c>
      <c r="AD10" s="24">
        <f t="shared" si="8"/>
        <v>350</v>
      </c>
      <c r="AE10" s="24">
        <v>318</v>
      </c>
      <c r="AF10" s="24">
        <f t="shared" si="9"/>
        <v>8303.739999999998</v>
      </c>
      <c r="AG10" s="24">
        <f t="shared" si="10"/>
        <v>1186.248571428571</v>
      </c>
      <c r="AH10" s="47">
        <f t="shared" si="11"/>
        <v>1423.4982857142852</v>
      </c>
      <c r="AI10" s="24">
        <f t="shared" si="12"/>
        <v>1660.7479999999991</v>
      </c>
      <c r="AK10" s="24">
        <v>1148</v>
      </c>
      <c r="AL10" s="24"/>
      <c r="AM10" s="24">
        <v>1325</v>
      </c>
      <c r="AN10" s="24">
        <v>1600</v>
      </c>
      <c r="AO10" s="38"/>
      <c r="AP10" s="38"/>
      <c r="AQ10" s="24">
        <v>1628</v>
      </c>
      <c r="AR10" s="24">
        <v>1565</v>
      </c>
      <c r="AS10" s="24">
        <v>1295</v>
      </c>
      <c r="AU10" s="5">
        <f t="shared" si="13"/>
        <v>1426.8333333333333</v>
      </c>
      <c r="AW10" s="5">
        <f t="shared" si="14"/>
        <v>240.58476190476222</v>
      </c>
      <c r="AX10" s="5">
        <f t="shared" si="15"/>
        <v>1684.0933333333355</v>
      </c>
    </row>
    <row r="11" spans="2:50" x14ac:dyDescent="0.25">
      <c r="B11" s="38"/>
      <c r="C11" s="38">
        <v>8</v>
      </c>
      <c r="D11" s="38">
        <v>26</v>
      </c>
      <c r="E11" s="42"/>
      <c r="F11" s="24">
        <f t="shared" si="16"/>
        <v>480</v>
      </c>
      <c r="G11" s="24">
        <f t="shared" si="17"/>
        <v>480</v>
      </c>
      <c r="H11" s="24">
        <v>0</v>
      </c>
      <c r="I11" s="24">
        <f t="shared" si="0"/>
        <v>3304</v>
      </c>
      <c r="J11" s="24">
        <f t="shared" si="1"/>
        <v>306.8</v>
      </c>
      <c r="K11" s="24">
        <v>0</v>
      </c>
      <c r="L11" s="24">
        <f t="shared" si="2"/>
        <v>1888</v>
      </c>
      <c r="M11" s="24">
        <f t="shared" si="3"/>
        <v>103.83999999999999</v>
      </c>
      <c r="N11" s="24">
        <f t="shared" si="4"/>
        <v>61.36</v>
      </c>
      <c r="O11" s="24">
        <f t="shared" si="5"/>
        <v>188.79999999999998</v>
      </c>
      <c r="P11" s="24">
        <v>52</v>
      </c>
      <c r="Q11" s="24">
        <v>50</v>
      </c>
      <c r="R11" s="24">
        <v>60</v>
      </c>
      <c r="S11" s="24">
        <v>26</v>
      </c>
      <c r="T11" s="24">
        <v>120</v>
      </c>
      <c r="U11" s="24">
        <v>30</v>
      </c>
      <c r="V11" s="24">
        <f t="shared" si="6"/>
        <v>32</v>
      </c>
      <c r="W11" s="24">
        <v>34</v>
      </c>
      <c r="X11" s="24">
        <f t="shared" si="7"/>
        <v>32</v>
      </c>
      <c r="Y11" s="24"/>
      <c r="Z11" s="24">
        <f t="shared" si="18"/>
        <v>65</v>
      </c>
      <c r="AA11" s="24">
        <v>150</v>
      </c>
      <c r="AB11" s="24">
        <v>50</v>
      </c>
      <c r="AC11" s="24">
        <v>1200</v>
      </c>
      <c r="AD11" s="24">
        <f t="shared" si="8"/>
        <v>400</v>
      </c>
      <c r="AE11" s="24">
        <v>282</v>
      </c>
      <c r="AF11" s="24">
        <f t="shared" si="9"/>
        <v>9395.7999999999993</v>
      </c>
      <c r="AG11" s="24">
        <f t="shared" si="10"/>
        <v>1174.4749999999999</v>
      </c>
      <c r="AH11" s="47">
        <f t="shared" si="11"/>
        <v>1409.37</v>
      </c>
      <c r="AI11" s="24">
        <f t="shared" si="12"/>
        <v>1879.1599999999999</v>
      </c>
      <c r="AK11" s="24">
        <v>1148</v>
      </c>
      <c r="AL11" s="24"/>
      <c r="AM11" s="24">
        <v>1325</v>
      </c>
      <c r="AN11" s="24">
        <v>1550</v>
      </c>
      <c r="AO11" s="38"/>
      <c r="AP11" s="38"/>
      <c r="AQ11" s="24">
        <v>1628</v>
      </c>
      <c r="AR11" s="24">
        <v>1547</v>
      </c>
      <c r="AS11" s="24">
        <v>1295</v>
      </c>
      <c r="AU11" s="5">
        <f t="shared" si="13"/>
        <v>1415.5</v>
      </c>
      <c r="AW11" s="5">
        <f t="shared" si="14"/>
        <v>241.02500000000009</v>
      </c>
      <c r="AX11" s="5">
        <f t="shared" si="15"/>
        <v>1928.2000000000007</v>
      </c>
    </row>
    <row r="12" spans="2:50" x14ac:dyDescent="0.25">
      <c r="B12" s="38"/>
      <c r="C12" s="38">
        <v>9</v>
      </c>
      <c r="D12" s="38">
        <v>31</v>
      </c>
      <c r="E12" s="42"/>
      <c r="F12" s="24">
        <f t="shared" si="16"/>
        <v>540</v>
      </c>
      <c r="G12" s="24">
        <f t="shared" si="17"/>
        <v>540</v>
      </c>
      <c r="H12" s="24">
        <v>0</v>
      </c>
      <c r="I12" s="24">
        <f t="shared" si="0"/>
        <v>3717</v>
      </c>
      <c r="J12" s="24">
        <f t="shared" si="1"/>
        <v>365.79999999999995</v>
      </c>
      <c r="K12" s="24">
        <v>0</v>
      </c>
      <c r="L12" s="24">
        <f t="shared" si="2"/>
        <v>2124</v>
      </c>
      <c r="M12" s="24">
        <f t="shared" si="3"/>
        <v>116.82</v>
      </c>
      <c r="N12" s="24">
        <f t="shared" si="4"/>
        <v>73.16</v>
      </c>
      <c r="O12" s="24">
        <f t="shared" si="5"/>
        <v>212.39999999999998</v>
      </c>
      <c r="P12" s="24">
        <v>52</v>
      </c>
      <c r="Q12" s="24">
        <v>56</v>
      </c>
      <c r="R12" s="24">
        <v>60</v>
      </c>
      <c r="S12" s="24">
        <v>26</v>
      </c>
      <c r="T12" s="24">
        <v>150</v>
      </c>
      <c r="U12" s="24">
        <v>30</v>
      </c>
      <c r="V12" s="24">
        <f t="shared" si="6"/>
        <v>36</v>
      </c>
      <c r="W12" s="24">
        <v>34</v>
      </c>
      <c r="X12" s="24">
        <f t="shared" si="7"/>
        <v>36</v>
      </c>
      <c r="Y12" s="24"/>
      <c r="Z12" s="24">
        <f t="shared" si="18"/>
        <v>65</v>
      </c>
      <c r="AA12" s="24">
        <v>200</v>
      </c>
      <c r="AB12" s="24">
        <v>50</v>
      </c>
      <c r="AC12" s="24">
        <v>1360</v>
      </c>
      <c r="AD12" s="24">
        <f t="shared" si="8"/>
        <v>450</v>
      </c>
      <c r="AE12" s="18">
        <v>384</v>
      </c>
      <c r="AF12" s="24">
        <f t="shared" si="9"/>
        <v>10678.18</v>
      </c>
      <c r="AG12" s="24">
        <f t="shared" si="10"/>
        <v>1186.4644444444446</v>
      </c>
      <c r="AH12" s="46">
        <f t="shared" si="11"/>
        <v>1423.7573333333335</v>
      </c>
      <c r="AI12" s="24">
        <f t="shared" si="12"/>
        <v>2135.6360000000004</v>
      </c>
      <c r="AK12" s="24">
        <v>1148</v>
      </c>
      <c r="AL12" s="18"/>
      <c r="AM12" s="24">
        <v>1325</v>
      </c>
      <c r="AN12" s="24">
        <v>1550</v>
      </c>
      <c r="AO12" s="38"/>
      <c r="AP12" s="38"/>
      <c r="AQ12" s="24">
        <v>1628</v>
      </c>
      <c r="AR12" s="24">
        <v>1547</v>
      </c>
      <c r="AS12" s="24">
        <v>1295</v>
      </c>
      <c r="AU12" s="5">
        <f t="shared" si="13"/>
        <v>1415.5</v>
      </c>
      <c r="AW12" s="5">
        <f t="shared" si="14"/>
        <v>229.03555555555545</v>
      </c>
      <c r="AX12" s="5">
        <f t="shared" si="15"/>
        <v>2061.3199999999988</v>
      </c>
    </row>
    <row r="13" spans="2:50" x14ac:dyDescent="0.25">
      <c r="B13" s="38"/>
      <c r="C13" s="38">
        <v>10</v>
      </c>
      <c r="D13" s="38">
        <v>34</v>
      </c>
      <c r="E13" s="42"/>
      <c r="F13" s="24">
        <f t="shared" si="16"/>
        <v>600</v>
      </c>
      <c r="G13" s="24">
        <f t="shared" si="17"/>
        <v>600</v>
      </c>
      <c r="H13" s="24">
        <v>0</v>
      </c>
      <c r="I13" s="24">
        <f t="shared" si="0"/>
        <v>4130</v>
      </c>
      <c r="J13" s="24">
        <f t="shared" si="1"/>
        <v>401.2</v>
      </c>
      <c r="K13" s="24">
        <v>0</v>
      </c>
      <c r="L13" s="24">
        <f t="shared" si="2"/>
        <v>2360</v>
      </c>
      <c r="M13" s="24">
        <f t="shared" si="3"/>
        <v>129.79999999999998</v>
      </c>
      <c r="N13" s="24">
        <f t="shared" si="4"/>
        <v>80.239999999999995</v>
      </c>
      <c r="O13" s="24">
        <f t="shared" si="5"/>
        <v>236</v>
      </c>
      <c r="P13" s="24">
        <v>52</v>
      </c>
      <c r="Q13" s="24">
        <v>62</v>
      </c>
      <c r="R13" s="24">
        <v>60</v>
      </c>
      <c r="S13" s="24">
        <v>26</v>
      </c>
      <c r="T13" s="24">
        <v>150</v>
      </c>
      <c r="U13" s="24">
        <v>30</v>
      </c>
      <c r="V13" s="24">
        <f t="shared" si="6"/>
        <v>40</v>
      </c>
      <c r="W13" s="24">
        <v>34</v>
      </c>
      <c r="X13" s="24">
        <f t="shared" si="7"/>
        <v>40</v>
      </c>
      <c r="Y13" s="24"/>
      <c r="Z13" s="24">
        <f t="shared" si="18"/>
        <v>65</v>
      </c>
      <c r="AA13" s="24">
        <v>200</v>
      </c>
      <c r="AB13" s="24">
        <v>50</v>
      </c>
      <c r="AC13" s="24">
        <v>1520</v>
      </c>
      <c r="AD13" s="24">
        <f t="shared" si="8"/>
        <v>500</v>
      </c>
      <c r="AE13" s="18">
        <v>433</v>
      </c>
      <c r="AF13" s="24">
        <f t="shared" si="9"/>
        <v>11799.24</v>
      </c>
      <c r="AG13" s="24">
        <f t="shared" si="10"/>
        <v>1179.924</v>
      </c>
      <c r="AH13" s="46">
        <f t="shared" si="11"/>
        <v>1415.9087999999999</v>
      </c>
      <c r="AI13" s="24">
        <f t="shared" si="12"/>
        <v>2359.8479999999995</v>
      </c>
      <c r="AK13" s="24">
        <v>1148</v>
      </c>
      <c r="AL13" s="18"/>
      <c r="AM13" s="24">
        <v>1325</v>
      </c>
      <c r="AN13" s="24">
        <v>1550</v>
      </c>
      <c r="AO13" s="39"/>
      <c r="AP13" s="39"/>
      <c r="AQ13" s="24">
        <v>1628</v>
      </c>
      <c r="AR13" s="24">
        <v>1547</v>
      </c>
      <c r="AS13" s="24">
        <v>1295</v>
      </c>
      <c r="AU13" s="5">
        <f t="shared" si="13"/>
        <v>1415.5</v>
      </c>
      <c r="AW13" s="5">
        <f t="shared" si="14"/>
        <v>235.57600000000002</v>
      </c>
      <c r="AX13" s="5">
        <f t="shared" si="15"/>
        <v>2355.7600000000002</v>
      </c>
    </row>
    <row r="14" spans="2:50" x14ac:dyDescent="0.25">
      <c r="B14" s="38" t="s">
        <v>2</v>
      </c>
      <c r="C14" s="38">
        <v>1</v>
      </c>
      <c r="D14" s="38">
        <v>5</v>
      </c>
      <c r="E14" s="38"/>
      <c r="F14" s="24">
        <f t="shared" si="16"/>
        <v>60</v>
      </c>
      <c r="G14" s="24">
        <f t="shared" si="17"/>
        <v>60</v>
      </c>
      <c r="H14" s="24">
        <v>0</v>
      </c>
      <c r="I14" s="24">
        <f>70*C14*$B$15*1.18</f>
        <v>495.59999999999997</v>
      </c>
      <c r="J14" s="24">
        <f>2*D14*$B$15*1.18</f>
        <v>70.8</v>
      </c>
      <c r="K14" s="24">
        <v>0</v>
      </c>
      <c r="L14" s="24">
        <f>50*C14*$B$17*1.18</f>
        <v>295</v>
      </c>
      <c r="M14" s="24">
        <f t="shared" si="3"/>
        <v>12.979999999999999</v>
      </c>
      <c r="N14" s="24">
        <f t="shared" si="4"/>
        <v>11.799999999999999</v>
      </c>
      <c r="O14" s="24">
        <f t="shared" si="5"/>
        <v>23.599999999999998</v>
      </c>
      <c r="P14" s="24">
        <v>26</v>
      </c>
      <c r="Q14" s="24">
        <v>8</v>
      </c>
      <c r="R14" s="24">
        <v>30</v>
      </c>
      <c r="S14" s="24">
        <v>26</v>
      </c>
      <c r="T14" s="24">
        <f>6*B15</f>
        <v>36</v>
      </c>
      <c r="U14" s="24">
        <v>30</v>
      </c>
      <c r="V14" s="24">
        <f t="shared" si="6"/>
        <v>4</v>
      </c>
      <c r="W14" s="24">
        <v>17</v>
      </c>
      <c r="X14" s="24">
        <f t="shared" si="7"/>
        <v>4</v>
      </c>
      <c r="Y14" s="24"/>
      <c r="Z14" s="24">
        <f>13*$B$15</f>
        <v>78</v>
      </c>
      <c r="AA14" s="24">
        <v>0</v>
      </c>
      <c r="AB14" s="24">
        <v>60</v>
      </c>
      <c r="AC14" s="24">
        <v>186</v>
      </c>
      <c r="AD14" s="24">
        <f t="shared" si="8"/>
        <v>50</v>
      </c>
      <c r="AE14" s="24">
        <v>160</v>
      </c>
      <c r="AF14" s="24">
        <f t="shared" si="9"/>
        <v>1744.7799999999997</v>
      </c>
      <c r="AG14" s="24">
        <f t="shared" si="10"/>
        <v>1744.7799999999997</v>
      </c>
      <c r="AH14" s="46">
        <f t="shared" si="11"/>
        <v>2093.7359999999994</v>
      </c>
      <c r="AI14" s="24">
        <f t="shared" si="12"/>
        <v>348.95599999999968</v>
      </c>
      <c r="AK14" s="18">
        <v>1368</v>
      </c>
      <c r="AL14" s="18"/>
      <c r="AM14" s="24">
        <v>1975</v>
      </c>
      <c r="AN14" s="18">
        <v>1900</v>
      </c>
      <c r="AO14" s="39"/>
      <c r="AP14" s="39"/>
      <c r="AQ14" s="24">
        <v>1938</v>
      </c>
      <c r="AR14" s="24"/>
      <c r="AS14" s="24"/>
      <c r="AU14" s="5">
        <f t="shared" si="13"/>
        <v>1795.25</v>
      </c>
      <c r="AW14" s="5">
        <f t="shared" si="14"/>
        <v>50.470000000000255</v>
      </c>
      <c r="AX14" s="5">
        <f t="shared" si="15"/>
        <v>50.470000000000255</v>
      </c>
    </row>
    <row r="15" spans="2:50" x14ac:dyDescent="0.25">
      <c r="B15" s="38">
        <v>6</v>
      </c>
      <c r="C15" s="38">
        <v>2</v>
      </c>
      <c r="D15" s="38">
        <v>9</v>
      </c>
      <c r="E15" s="24"/>
      <c r="F15" s="24">
        <f t="shared" si="16"/>
        <v>120</v>
      </c>
      <c r="G15" s="24">
        <f t="shared" si="17"/>
        <v>120</v>
      </c>
      <c r="H15" s="24">
        <v>0</v>
      </c>
      <c r="I15" s="24">
        <f t="shared" ref="I15:I23" si="19">70*C15*$B$15*1.18</f>
        <v>991.19999999999993</v>
      </c>
      <c r="J15" s="24">
        <f t="shared" ref="J15:J23" si="20">2*D15*$B$15*1.18</f>
        <v>127.44</v>
      </c>
      <c r="K15" s="24">
        <v>0</v>
      </c>
      <c r="L15" s="24">
        <f t="shared" ref="L15:L23" si="21">50*C15*$B$17*1.18</f>
        <v>590</v>
      </c>
      <c r="M15" s="24">
        <f t="shared" si="3"/>
        <v>25.959999999999997</v>
      </c>
      <c r="N15" s="24">
        <f t="shared" si="4"/>
        <v>21.24</v>
      </c>
      <c r="O15" s="24">
        <f t="shared" si="5"/>
        <v>47.199999999999996</v>
      </c>
      <c r="P15" s="24">
        <v>26</v>
      </c>
      <c r="Q15" s="24">
        <v>14</v>
      </c>
      <c r="R15" s="24">
        <v>30</v>
      </c>
      <c r="S15" s="24">
        <v>26</v>
      </c>
      <c r="T15" s="24">
        <v>36</v>
      </c>
      <c r="U15" s="24">
        <v>30</v>
      </c>
      <c r="V15" s="24">
        <f t="shared" si="6"/>
        <v>8</v>
      </c>
      <c r="W15" s="24">
        <v>17</v>
      </c>
      <c r="X15" s="24">
        <f t="shared" si="7"/>
        <v>8</v>
      </c>
      <c r="Y15" s="24"/>
      <c r="Z15" s="24">
        <f t="shared" ref="Z15:Z23" si="22">13*$B$15</f>
        <v>78</v>
      </c>
      <c r="AA15" s="24">
        <v>60</v>
      </c>
      <c r="AB15" s="24">
        <v>60</v>
      </c>
      <c r="AC15" s="24">
        <v>384</v>
      </c>
      <c r="AD15" s="24">
        <f t="shared" si="8"/>
        <v>100</v>
      </c>
      <c r="AE15" s="24">
        <v>185</v>
      </c>
      <c r="AF15" s="24">
        <f t="shared" si="9"/>
        <v>3105.04</v>
      </c>
      <c r="AG15" s="24">
        <f t="shared" si="10"/>
        <v>1552.52</v>
      </c>
      <c r="AH15" s="46">
        <f t="shared" si="11"/>
        <v>1863.0239999999999</v>
      </c>
      <c r="AI15" s="24">
        <f t="shared" si="12"/>
        <v>621.00799999999981</v>
      </c>
      <c r="AK15" s="18">
        <v>1368</v>
      </c>
      <c r="AL15" s="24"/>
      <c r="AM15" s="24">
        <v>1630</v>
      </c>
      <c r="AN15" s="18">
        <v>1750</v>
      </c>
      <c r="AO15" s="38"/>
      <c r="AP15" s="38"/>
      <c r="AQ15" s="24">
        <v>1938</v>
      </c>
      <c r="AR15" s="24"/>
      <c r="AS15" s="24"/>
      <c r="AU15" s="5">
        <f t="shared" si="13"/>
        <v>1671.5</v>
      </c>
      <c r="AW15" s="5">
        <f t="shared" si="14"/>
        <v>118.98000000000002</v>
      </c>
      <c r="AX15" s="5">
        <f t="shared" si="15"/>
        <v>237.96000000000004</v>
      </c>
    </row>
    <row r="16" spans="2:50" x14ac:dyDescent="0.25">
      <c r="B16" s="38" t="s">
        <v>113</v>
      </c>
      <c r="C16" s="38">
        <v>3</v>
      </c>
      <c r="D16" s="38">
        <v>11</v>
      </c>
      <c r="E16" s="24"/>
      <c r="F16" s="24">
        <f t="shared" si="16"/>
        <v>180</v>
      </c>
      <c r="G16" s="24">
        <f t="shared" si="17"/>
        <v>180</v>
      </c>
      <c r="H16" s="24">
        <v>0</v>
      </c>
      <c r="I16" s="24">
        <f t="shared" si="19"/>
        <v>1486.8</v>
      </c>
      <c r="J16" s="24">
        <f t="shared" si="20"/>
        <v>155.76</v>
      </c>
      <c r="K16" s="24">
        <v>0</v>
      </c>
      <c r="L16" s="24">
        <f t="shared" si="21"/>
        <v>885</v>
      </c>
      <c r="M16" s="24">
        <f t="shared" si="3"/>
        <v>38.94</v>
      </c>
      <c r="N16" s="24">
        <f t="shared" si="4"/>
        <v>25.959999999999997</v>
      </c>
      <c r="O16" s="24">
        <f t="shared" si="5"/>
        <v>70.8</v>
      </c>
      <c r="P16" s="24">
        <v>26</v>
      </c>
      <c r="Q16" s="24">
        <v>20</v>
      </c>
      <c r="R16" s="24">
        <v>30</v>
      </c>
      <c r="S16" s="24">
        <v>26</v>
      </c>
      <c r="T16" s="24">
        <v>72</v>
      </c>
      <c r="U16" s="24">
        <v>30</v>
      </c>
      <c r="V16" s="24">
        <f t="shared" si="6"/>
        <v>12</v>
      </c>
      <c r="W16" s="24">
        <v>17</v>
      </c>
      <c r="X16" s="24">
        <f t="shared" si="7"/>
        <v>12</v>
      </c>
      <c r="Y16" s="24"/>
      <c r="Z16" s="24">
        <f t="shared" si="22"/>
        <v>78</v>
      </c>
      <c r="AA16" s="24">
        <v>60</v>
      </c>
      <c r="AB16" s="24">
        <v>60</v>
      </c>
      <c r="AC16" s="24">
        <v>576</v>
      </c>
      <c r="AD16" s="24">
        <f t="shared" si="8"/>
        <v>150</v>
      </c>
      <c r="AE16" s="24">
        <v>206</v>
      </c>
      <c r="AF16" s="24">
        <f t="shared" si="9"/>
        <v>4398.26</v>
      </c>
      <c r="AG16" s="24">
        <f t="shared" si="10"/>
        <v>1466.0866666666668</v>
      </c>
      <c r="AH16" s="46">
        <f t="shared" si="11"/>
        <v>1759.3040000000001</v>
      </c>
      <c r="AI16" s="24">
        <f t="shared" si="12"/>
        <v>879.65199999999982</v>
      </c>
      <c r="AK16" s="18">
        <v>1368</v>
      </c>
      <c r="AL16" s="24"/>
      <c r="AM16" s="24">
        <v>1630</v>
      </c>
      <c r="AN16" s="18">
        <v>1750</v>
      </c>
      <c r="AO16" s="38"/>
      <c r="AP16" s="38"/>
      <c r="AQ16" s="24">
        <v>1938</v>
      </c>
      <c r="AR16" s="24"/>
      <c r="AS16" s="24"/>
      <c r="AU16" s="5">
        <f t="shared" si="13"/>
        <v>1671.5</v>
      </c>
      <c r="AW16" s="5">
        <f t="shared" si="14"/>
        <v>205.41333333333318</v>
      </c>
      <c r="AX16" s="5">
        <f t="shared" si="15"/>
        <v>616.23999999999955</v>
      </c>
    </row>
    <row r="17" spans="2:50" x14ac:dyDescent="0.25">
      <c r="B17" s="38">
        <v>5</v>
      </c>
      <c r="C17" s="38">
        <v>4</v>
      </c>
      <c r="D17" s="38">
        <v>12</v>
      </c>
      <c r="E17" s="38"/>
      <c r="F17" s="24">
        <f t="shared" si="16"/>
        <v>240</v>
      </c>
      <c r="G17" s="24">
        <f t="shared" si="17"/>
        <v>240</v>
      </c>
      <c r="H17" s="24">
        <v>0</v>
      </c>
      <c r="I17" s="24">
        <f t="shared" si="19"/>
        <v>1982.3999999999999</v>
      </c>
      <c r="J17" s="24">
        <f t="shared" si="20"/>
        <v>169.92</v>
      </c>
      <c r="K17" s="24">
        <v>0</v>
      </c>
      <c r="L17" s="24">
        <f t="shared" si="21"/>
        <v>1180</v>
      </c>
      <c r="M17" s="24">
        <f t="shared" si="3"/>
        <v>51.919999999999995</v>
      </c>
      <c r="N17" s="24">
        <f t="shared" si="4"/>
        <v>28.32</v>
      </c>
      <c r="O17" s="24">
        <f t="shared" si="5"/>
        <v>94.399999999999991</v>
      </c>
      <c r="P17" s="24">
        <v>26</v>
      </c>
      <c r="Q17" s="24">
        <v>26</v>
      </c>
      <c r="R17" s="24">
        <v>30</v>
      </c>
      <c r="S17" s="24">
        <v>26</v>
      </c>
      <c r="T17" s="24">
        <v>72</v>
      </c>
      <c r="U17" s="24">
        <v>30</v>
      </c>
      <c r="V17" s="24">
        <f t="shared" si="6"/>
        <v>16</v>
      </c>
      <c r="W17" s="24">
        <v>17</v>
      </c>
      <c r="X17" s="24">
        <f t="shared" si="7"/>
        <v>16</v>
      </c>
      <c r="Y17" s="24"/>
      <c r="Z17" s="24">
        <f t="shared" si="22"/>
        <v>78</v>
      </c>
      <c r="AA17" s="24">
        <v>60</v>
      </c>
      <c r="AB17" s="24">
        <v>60</v>
      </c>
      <c r="AC17" s="24">
        <v>768</v>
      </c>
      <c r="AD17" s="24">
        <f t="shared" si="8"/>
        <v>200</v>
      </c>
      <c r="AE17" s="24">
        <v>246</v>
      </c>
      <c r="AF17" s="24">
        <f t="shared" si="9"/>
        <v>5657.96</v>
      </c>
      <c r="AG17" s="24">
        <f t="shared" si="10"/>
        <v>1414.49</v>
      </c>
      <c r="AH17" s="46">
        <f t="shared" si="11"/>
        <v>1697.3879999999999</v>
      </c>
      <c r="AI17" s="24">
        <f t="shared" si="12"/>
        <v>1131.5919999999996</v>
      </c>
      <c r="AK17" s="18">
        <v>1368</v>
      </c>
      <c r="AL17" s="24"/>
      <c r="AM17" s="24">
        <v>1630</v>
      </c>
      <c r="AN17" s="18">
        <v>1750</v>
      </c>
      <c r="AO17" s="38"/>
      <c r="AP17" s="38"/>
      <c r="AQ17" s="24">
        <v>1938</v>
      </c>
      <c r="AR17" s="24"/>
      <c r="AS17" s="24"/>
      <c r="AU17" s="5">
        <f t="shared" si="13"/>
        <v>1671.5</v>
      </c>
      <c r="AW17" s="5">
        <f t="shared" si="14"/>
        <v>257.01</v>
      </c>
      <c r="AX17" s="5">
        <f t="shared" si="15"/>
        <v>1028.04</v>
      </c>
    </row>
    <row r="18" spans="2:50" x14ac:dyDescent="0.25">
      <c r="B18" s="38" t="s">
        <v>114</v>
      </c>
      <c r="C18" s="38">
        <v>5</v>
      </c>
      <c r="D18" s="38">
        <v>17</v>
      </c>
      <c r="E18" s="38"/>
      <c r="F18" s="24">
        <f t="shared" si="16"/>
        <v>300</v>
      </c>
      <c r="G18" s="24">
        <f t="shared" si="17"/>
        <v>300</v>
      </c>
      <c r="H18" s="24">
        <v>0</v>
      </c>
      <c r="I18" s="24">
        <f t="shared" si="19"/>
        <v>2478</v>
      </c>
      <c r="J18" s="24">
        <f>2*D18*$B$15*1.18</f>
        <v>240.72</v>
      </c>
      <c r="K18" s="24">
        <v>0</v>
      </c>
      <c r="L18" s="24">
        <f t="shared" si="21"/>
        <v>1475</v>
      </c>
      <c r="M18" s="24">
        <f t="shared" si="3"/>
        <v>64.899999999999991</v>
      </c>
      <c r="N18" s="24">
        <f t="shared" si="4"/>
        <v>40.119999999999997</v>
      </c>
      <c r="O18" s="24">
        <f t="shared" si="5"/>
        <v>118</v>
      </c>
      <c r="P18" s="24">
        <v>26</v>
      </c>
      <c r="Q18" s="24">
        <v>32</v>
      </c>
      <c r="R18" s="24">
        <v>30</v>
      </c>
      <c r="S18" s="24">
        <v>26</v>
      </c>
      <c r="T18" s="24">
        <v>108</v>
      </c>
      <c r="U18" s="24">
        <v>30</v>
      </c>
      <c r="V18" s="24">
        <f t="shared" si="6"/>
        <v>20</v>
      </c>
      <c r="W18" s="24">
        <v>34</v>
      </c>
      <c r="X18" s="24">
        <f t="shared" si="7"/>
        <v>20</v>
      </c>
      <c r="Y18" s="24"/>
      <c r="Z18" s="24">
        <f t="shared" si="22"/>
        <v>78</v>
      </c>
      <c r="AA18" s="24">
        <v>120</v>
      </c>
      <c r="AB18" s="24">
        <v>60</v>
      </c>
      <c r="AC18" s="24">
        <v>864</v>
      </c>
      <c r="AD18" s="24">
        <f t="shared" si="8"/>
        <v>250</v>
      </c>
      <c r="AE18" s="24">
        <v>277</v>
      </c>
      <c r="AF18" s="24">
        <f t="shared" si="9"/>
        <v>6991.7399999999989</v>
      </c>
      <c r="AG18" s="24">
        <f t="shared" si="10"/>
        <v>1398.3479999999997</v>
      </c>
      <c r="AH18" s="46">
        <f t="shared" si="11"/>
        <v>1678.0175999999997</v>
      </c>
      <c r="AI18" s="24">
        <f t="shared" si="12"/>
        <v>1398.3479999999997</v>
      </c>
      <c r="AK18" s="18">
        <v>1368</v>
      </c>
      <c r="AL18" s="24"/>
      <c r="AM18" s="24">
        <v>1630</v>
      </c>
      <c r="AN18" s="18">
        <v>1700</v>
      </c>
      <c r="AO18" s="38"/>
      <c r="AP18" s="38"/>
      <c r="AQ18" s="24">
        <v>1938</v>
      </c>
      <c r="AR18" s="24"/>
      <c r="AS18" s="24"/>
      <c r="AU18" s="5">
        <f t="shared" si="13"/>
        <v>1659</v>
      </c>
      <c r="AW18" s="5">
        <f t="shared" si="14"/>
        <v>260.65200000000027</v>
      </c>
      <c r="AX18" s="5">
        <f t="shared" si="15"/>
        <v>1303.2600000000014</v>
      </c>
    </row>
    <row r="19" spans="2:50" x14ac:dyDescent="0.25">
      <c r="B19" s="38"/>
      <c r="C19" s="38">
        <v>6</v>
      </c>
      <c r="D19" s="38">
        <v>21</v>
      </c>
      <c r="E19" s="38"/>
      <c r="F19" s="24">
        <f t="shared" si="16"/>
        <v>360</v>
      </c>
      <c r="G19" s="24">
        <f t="shared" si="17"/>
        <v>360</v>
      </c>
      <c r="H19" s="24">
        <v>0</v>
      </c>
      <c r="I19" s="24">
        <f t="shared" si="19"/>
        <v>2973.6</v>
      </c>
      <c r="J19" s="24">
        <f t="shared" si="20"/>
        <v>297.35999999999996</v>
      </c>
      <c r="K19" s="24">
        <v>0</v>
      </c>
      <c r="L19" s="24">
        <f t="shared" si="21"/>
        <v>1770</v>
      </c>
      <c r="M19" s="24">
        <f t="shared" si="3"/>
        <v>77.88</v>
      </c>
      <c r="N19" s="24">
        <f t="shared" si="4"/>
        <v>49.559999999999995</v>
      </c>
      <c r="O19" s="24">
        <f t="shared" si="5"/>
        <v>141.6</v>
      </c>
      <c r="P19" s="24">
        <v>26</v>
      </c>
      <c r="Q19" s="24">
        <v>38</v>
      </c>
      <c r="R19" s="24">
        <v>30</v>
      </c>
      <c r="S19" s="24">
        <v>26</v>
      </c>
      <c r="T19" s="24">
        <v>108</v>
      </c>
      <c r="U19" s="24">
        <v>30</v>
      </c>
      <c r="V19" s="24">
        <f t="shared" si="6"/>
        <v>24</v>
      </c>
      <c r="W19" s="24">
        <v>34</v>
      </c>
      <c r="X19" s="24">
        <f t="shared" si="7"/>
        <v>24</v>
      </c>
      <c r="Y19" s="24"/>
      <c r="Z19" s="24">
        <f t="shared" si="22"/>
        <v>78</v>
      </c>
      <c r="AA19" s="24">
        <v>120</v>
      </c>
      <c r="AB19" s="24">
        <v>60</v>
      </c>
      <c r="AC19" s="24">
        <v>1056</v>
      </c>
      <c r="AD19" s="24">
        <f t="shared" si="8"/>
        <v>300</v>
      </c>
      <c r="AE19" s="24">
        <v>284</v>
      </c>
      <c r="AF19" s="24">
        <f t="shared" si="9"/>
        <v>8268</v>
      </c>
      <c r="AG19" s="24">
        <f t="shared" si="10"/>
        <v>1378</v>
      </c>
      <c r="AH19" s="46">
        <f t="shared" si="11"/>
        <v>1653.6</v>
      </c>
      <c r="AI19" s="24">
        <f t="shared" si="12"/>
        <v>1653.5999999999995</v>
      </c>
      <c r="AK19" s="18">
        <v>1368</v>
      </c>
      <c r="AL19" s="24"/>
      <c r="AM19" s="24">
        <v>1590</v>
      </c>
      <c r="AN19" s="18">
        <v>1700</v>
      </c>
      <c r="AO19" s="38"/>
      <c r="AP19" s="38"/>
      <c r="AQ19" s="24">
        <v>1938</v>
      </c>
      <c r="AR19" s="24"/>
      <c r="AS19" s="24"/>
      <c r="AU19" s="5">
        <f t="shared" si="13"/>
        <v>1649</v>
      </c>
      <c r="AW19" s="5">
        <f t="shared" si="14"/>
        <v>271</v>
      </c>
      <c r="AX19" s="5">
        <f t="shared" si="15"/>
        <v>1626</v>
      </c>
    </row>
    <row r="20" spans="2:50" x14ac:dyDescent="0.25">
      <c r="B20" s="38"/>
      <c r="C20" s="38">
        <v>7</v>
      </c>
      <c r="D20" s="38">
        <v>25</v>
      </c>
      <c r="E20" s="38"/>
      <c r="F20" s="24">
        <f t="shared" si="16"/>
        <v>420</v>
      </c>
      <c r="G20" s="24">
        <f t="shared" si="17"/>
        <v>420</v>
      </c>
      <c r="H20" s="24">
        <v>0</v>
      </c>
      <c r="I20" s="24">
        <f t="shared" si="19"/>
        <v>3469.2</v>
      </c>
      <c r="J20" s="24">
        <f t="shared" si="20"/>
        <v>354</v>
      </c>
      <c r="K20" s="24">
        <v>0</v>
      </c>
      <c r="L20" s="24">
        <f t="shared" si="21"/>
        <v>2065</v>
      </c>
      <c r="M20" s="24">
        <f t="shared" si="3"/>
        <v>90.86</v>
      </c>
      <c r="N20" s="24">
        <f t="shared" si="4"/>
        <v>59</v>
      </c>
      <c r="O20" s="24">
        <f t="shared" si="5"/>
        <v>165.2</v>
      </c>
      <c r="P20" s="24">
        <v>26</v>
      </c>
      <c r="Q20" s="24">
        <v>44</v>
      </c>
      <c r="R20" s="24">
        <v>30</v>
      </c>
      <c r="S20" s="24">
        <v>26</v>
      </c>
      <c r="T20" s="24">
        <v>144</v>
      </c>
      <c r="U20" s="24">
        <v>30</v>
      </c>
      <c r="V20" s="24">
        <f t="shared" si="6"/>
        <v>28</v>
      </c>
      <c r="W20" s="24">
        <v>34</v>
      </c>
      <c r="X20" s="24">
        <f t="shared" si="7"/>
        <v>28</v>
      </c>
      <c r="Y20" s="24"/>
      <c r="Z20" s="24">
        <f t="shared" si="22"/>
        <v>78</v>
      </c>
      <c r="AA20" s="24">
        <v>180</v>
      </c>
      <c r="AB20" s="24">
        <v>60</v>
      </c>
      <c r="AC20" s="24">
        <v>1248</v>
      </c>
      <c r="AD20" s="24">
        <f t="shared" si="8"/>
        <v>350</v>
      </c>
      <c r="AE20" s="24">
        <v>318</v>
      </c>
      <c r="AF20" s="24">
        <f t="shared" si="9"/>
        <v>9667.2599999999984</v>
      </c>
      <c r="AG20" s="24">
        <f t="shared" si="10"/>
        <v>1381.0371428571427</v>
      </c>
      <c r="AH20" s="46">
        <f t="shared" si="11"/>
        <v>1657.2445714285711</v>
      </c>
      <c r="AI20" s="24">
        <f t="shared" si="12"/>
        <v>1933.4519999999989</v>
      </c>
      <c r="AK20" s="18">
        <v>1368</v>
      </c>
      <c r="AL20" s="24"/>
      <c r="AM20" s="24">
        <v>1590</v>
      </c>
      <c r="AN20" s="18">
        <v>1700</v>
      </c>
      <c r="AO20" s="38"/>
      <c r="AP20" s="38"/>
      <c r="AQ20" s="24">
        <v>1938</v>
      </c>
      <c r="AR20" s="24"/>
      <c r="AS20" s="24"/>
      <c r="AU20" s="5">
        <f t="shared" si="13"/>
        <v>1649</v>
      </c>
      <c r="AW20" s="5">
        <f t="shared" si="14"/>
        <v>267.96285714285727</v>
      </c>
      <c r="AX20" s="5">
        <f t="shared" si="15"/>
        <v>1875.7400000000009</v>
      </c>
    </row>
    <row r="21" spans="2:50" x14ac:dyDescent="0.25">
      <c r="B21" s="38"/>
      <c r="C21" s="38">
        <v>8</v>
      </c>
      <c r="D21" s="38">
        <v>27</v>
      </c>
      <c r="E21" s="38"/>
      <c r="F21" s="24">
        <f t="shared" si="16"/>
        <v>480</v>
      </c>
      <c r="G21" s="24">
        <f t="shared" si="17"/>
        <v>480</v>
      </c>
      <c r="H21" s="24">
        <v>0</v>
      </c>
      <c r="I21" s="24">
        <f t="shared" si="19"/>
        <v>3964.7999999999997</v>
      </c>
      <c r="J21" s="24">
        <f t="shared" si="20"/>
        <v>382.32</v>
      </c>
      <c r="K21" s="24">
        <v>0</v>
      </c>
      <c r="L21" s="24">
        <f t="shared" si="21"/>
        <v>2360</v>
      </c>
      <c r="M21" s="24">
        <f t="shared" si="3"/>
        <v>103.83999999999999</v>
      </c>
      <c r="N21" s="24">
        <f t="shared" si="4"/>
        <v>63.72</v>
      </c>
      <c r="O21" s="24">
        <f t="shared" si="5"/>
        <v>188.79999999999998</v>
      </c>
      <c r="P21" s="24">
        <v>52</v>
      </c>
      <c r="Q21" s="24">
        <v>50</v>
      </c>
      <c r="R21" s="24">
        <v>60</v>
      </c>
      <c r="S21" s="24">
        <v>26</v>
      </c>
      <c r="T21" s="24">
        <v>144</v>
      </c>
      <c r="U21" s="24">
        <v>30</v>
      </c>
      <c r="V21" s="24">
        <f t="shared" si="6"/>
        <v>32</v>
      </c>
      <c r="W21" s="24">
        <v>34</v>
      </c>
      <c r="X21" s="24">
        <f t="shared" si="7"/>
        <v>32</v>
      </c>
      <c r="Y21" s="24"/>
      <c r="Z21" s="24">
        <f t="shared" si="22"/>
        <v>78</v>
      </c>
      <c r="AA21" s="24">
        <v>180</v>
      </c>
      <c r="AB21" s="24">
        <v>60</v>
      </c>
      <c r="AC21" s="24">
        <v>1440</v>
      </c>
      <c r="AD21" s="24">
        <f t="shared" si="8"/>
        <v>400</v>
      </c>
      <c r="AE21" s="24">
        <v>282</v>
      </c>
      <c r="AF21" s="24">
        <f t="shared" si="9"/>
        <v>10923.48</v>
      </c>
      <c r="AG21" s="24">
        <f t="shared" si="10"/>
        <v>1365.4349999999999</v>
      </c>
      <c r="AH21" s="46">
        <f t="shared" si="11"/>
        <v>1638.5219999999999</v>
      </c>
      <c r="AI21" s="24">
        <f t="shared" si="12"/>
        <v>2184.6959999999999</v>
      </c>
      <c r="AK21" s="18">
        <v>1368</v>
      </c>
      <c r="AL21" s="24"/>
      <c r="AM21" s="24">
        <v>1590</v>
      </c>
      <c r="AN21" s="18">
        <v>1650</v>
      </c>
      <c r="AO21" s="38"/>
      <c r="AP21" s="38"/>
      <c r="AQ21" s="24">
        <v>1938</v>
      </c>
      <c r="AR21" s="24"/>
      <c r="AS21" s="24"/>
      <c r="AU21" s="5">
        <f t="shared" si="13"/>
        <v>1636.5</v>
      </c>
      <c r="AW21" s="5">
        <f t="shared" si="14"/>
        <v>271.06500000000005</v>
      </c>
      <c r="AX21" s="5">
        <f t="shared" si="15"/>
        <v>2168.5200000000004</v>
      </c>
    </row>
    <row r="22" spans="2:50" x14ac:dyDescent="0.25">
      <c r="B22" s="38"/>
      <c r="C22" s="38">
        <v>9</v>
      </c>
      <c r="D22" s="38">
        <v>33</v>
      </c>
      <c r="E22" s="38"/>
      <c r="F22" s="24">
        <f t="shared" si="16"/>
        <v>540</v>
      </c>
      <c r="G22" s="24">
        <f t="shared" si="17"/>
        <v>540</v>
      </c>
      <c r="H22" s="24">
        <v>0</v>
      </c>
      <c r="I22" s="24">
        <f t="shared" si="19"/>
        <v>4460.3999999999996</v>
      </c>
      <c r="J22" s="24">
        <f t="shared" si="20"/>
        <v>467.28</v>
      </c>
      <c r="K22" s="24">
        <v>0</v>
      </c>
      <c r="L22" s="24">
        <f t="shared" si="21"/>
        <v>2655</v>
      </c>
      <c r="M22" s="24">
        <f t="shared" si="3"/>
        <v>116.82</v>
      </c>
      <c r="N22" s="24">
        <f t="shared" si="4"/>
        <v>77.88</v>
      </c>
      <c r="O22" s="24">
        <f t="shared" si="5"/>
        <v>212.39999999999998</v>
      </c>
      <c r="P22" s="24">
        <v>52</v>
      </c>
      <c r="Q22" s="24">
        <v>56</v>
      </c>
      <c r="R22" s="24">
        <v>60</v>
      </c>
      <c r="S22" s="24">
        <v>26</v>
      </c>
      <c r="T22" s="24">
        <v>180</v>
      </c>
      <c r="U22" s="24">
        <v>30</v>
      </c>
      <c r="V22" s="24">
        <f t="shared" si="6"/>
        <v>36</v>
      </c>
      <c r="W22" s="24">
        <v>34</v>
      </c>
      <c r="X22" s="24">
        <f t="shared" si="7"/>
        <v>36</v>
      </c>
      <c r="Y22" s="24"/>
      <c r="Z22" s="24">
        <f t="shared" si="22"/>
        <v>78</v>
      </c>
      <c r="AA22" s="24">
        <v>240</v>
      </c>
      <c r="AB22" s="24">
        <v>60</v>
      </c>
      <c r="AC22" s="24">
        <v>1632</v>
      </c>
      <c r="AD22" s="24">
        <f t="shared" si="8"/>
        <v>450</v>
      </c>
      <c r="AE22" s="18">
        <v>384</v>
      </c>
      <c r="AF22" s="24">
        <f t="shared" si="9"/>
        <v>12423.779999999999</v>
      </c>
      <c r="AG22" s="24">
        <f t="shared" si="10"/>
        <v>1380.4199999999998</v>
      </c>
      <c r="AH22" s="46">
        <f t="shared" si="11"/>
        <v>1656.5039999999997</v>
      </c>
      <c r="AI22" s="24">
        <f t="shared" si="12"/>
        <v>2484.7559999999985</v>
      </c>
      <c r="AK22" s="18">
        <v>1368</v>
      </c>
      <c r="AL22" s="18"/>
      <c r="AM22" s="24">
        <v>1590</v>
      </c>
      <c r="AN22" s="18">
        <v>1650</v>
      </c>
      <c r="AO22" s="38"/>
      <c r="AP22" s="38"/>
      <c r="AQ22" s="24">
        <v>1938</v>
      </c>
      <c r="AR22" s="24"/>
      <c r="AS22" s="24"/>
      <c r="AU22" s="5">
        <f t="shared" si="13"/>
        <v>1636.5</v>
      </c>
      <c r="AW22" s="5">
        <f t="shared" si="14"/>
        <v>256.08000000000015</v>
      </c>
      <c r="AX22" s="5">
        <f t="shared" si="15"/>
        <v>2304.7200000000012</v>
      </c>
    </row>
    <row r="23" spans="2:50" x14ac:dyDescent="0.25">
      <c r="B23" s="38"/>
      <c r="C23" s="38">
        <v>10</v>
      </c>
      <c r="D23" s="38">
        <v>37</v>
      </c>
      <c r="E23" s="38"/>
      <c r="F23" s="24">
        <f t="shared" si="16"/>
        <v>600</v>
      </c>
      <c r="G23" s="24">
        <f t="shared" si="17"/>
        <v>600</v>
      </c>
      <c r="H23" s="24">
        <v>0</v>
      </c>
      <c r="I23" s="24">
        <f t="shared" si="19"/>
        <v>4956</v>
      </c>
      <c r="J23" s="24">
        <f t="shared" si="20"/>
        <v>523.91999999999996</v>
      </c>
      <c r="K23" s="24">
        <v>0</v>
      </c>
      <c r="L23" s="24">
        <f t="shared" si="21"/>
        <v>2950</v>
      </c>
      <c r="M23" s="24">
        <f t="shared" si="3"/>
        <v>129.79999999999998</v>
      </c>
      <c r="N23" s="24">
        <f t="shared" si="4"/>
        <v>87.32</v>
      </c>
      <c r="O23" s="24">
        <f t="shared" si="5"/>
        <v>236</v>
      </c>
      <c r="P23" s="24">
        <v>52</v>
      </c>
      <c r="Q23" s="24">
        <v>62</v>
      </c>
      <c r="R23" s="24">
        <v>60</v>
      </c>
      <c r="S23" s="24">
        <v>26</v>
      </c>
      <c r="T23" s="24">
        <v>180</v>
      </c>
      <c r="U23" s="24">
        <v>30</v>
      </c>
      <c r="V23" s="24">
        <f t="shared" si="6"/>
        <v>40</v>
      </c>
      <c r="W23" s="24">
        <v>34</v>
      </c>
      <c r="X23" s="24">
        <f t="shared" si="7"/>
        <v>40</v>
      </c>
      <c r="Y23" s="24"/>
      <c r="Z23" s="24">
        <f t="shared" si="22"/>
        <v>78</v>
      </c>
      <c r="AA23" s="24">
        <v>240</v>
      </c>
      <c r="AB23" s="24">
        <v>60</v>
      </c>
      <c r="AC23" s="24">
        <v>1824</v>
      </c>
      <c r="AD23" s="24">
        <f t="shared" si="8"/>
        <v>500</v>
      </c>
      <c r="AE23" s="18">
        <v>433</v>
      </c>
      <c r="AF23" s="24">
        <f t="shared" si="9"/>
        <v>13742.039999999999</v>
      </c>
      <c r="AG23" s="24">
        <f t="shared" si="10"/>
        <v>1374.204</v>
      </c>
      <c r="AH23" s="46">
        <f t="shared" si="11"/>
        <v>1649.0447999999999</v>
      </c>
      <c r="AI23" s="24">
        <f t="shared" si="12"/>
        <v>2748.4079999999994</v>
      </c>
      <c r="AK23" s="18">
        <v>1368</v>
      </c>
      <c r="AL23" s="18"/>
      <c r="AM23" s="24">
        <v>1590</v>
      </c>
      <c r="AN23" s="18">
        <v>1650</v>
      </c>
      <c r="AO23" s="39"/>
      <c r="AP23" s="39"/>
      <c r="AQ23" s="24">
        <v>1938</v>
      </c>
      <c r="AR23" s="24"/>
      <c r="AS23" s="24"/>
      <c r="AU23" s="5">
        <f t="shared" si="13"/>
        <v>1636.5</v>
      </c>
      <c r="AW23" s="5">
        <f t="shared" si="14"/>
        <v>262.29600000000005</v>
      </c>
      <c r="AX23" s="5">
        <f t="shared" si="15"/>
        <v>2622.9600000000005</v>
      </c>
    </row>
    <row r="24" spans="2:50" s="34" customFormat="1" x14ac:dyDescent="0.25">
      <c r="B24" s="39" t="s">
        <v>3</v>
      </c>
      <c r="C24" s="39">
        <v>1</v>
      </c>
      <c r="D24" s="39">
        <v>6</v>
      </c>
      <c r="E24" s="24"/>
      <c r="F24" s="24">
        <f t="shared" si="16"/>
        <v>60</v>
      </c>
      <c r="G24" s="24">
        <f t="shared" si="17"/>
        <v>60</v>
      </c>
      <c r="H24" s="24">
        <v>0</v>
      </c>
      <c r="I24" s="24">
        <f>70*C24*$B$25*1.18</f>
        <v>495.59999999999997</v>
      </c>
      <c r="J24" s="24">
        <f>2*D24*$B$25*1.18</f>
        <v>84.96</v>
      </c>
      <c r="K24" s="24">
        <f>50*C24*$B$27*1.18</f>
        <v>295</v>
      </c>
      <c r="L24" s="24">
        <v>0</v>
      </c>
      <c r="M24" s="24">
        <f t="shared" si="3"/>
        <v>12.979999999999999</v>
      </c>
      <c r="N24" s="24">
        <f t="shared" si="4"/>
        <v>14.16</v>
      </c>
      <c r="O24" s="24">
        <f t="shared" si="5"/>
        <v>23.599999999999998</v>
      </c>
      <c r="P24" s="24">
        <v>26</v>
      </c>
      <c r="Q24" s="24">
        <v>8</v>
      </c>
      <c r="R24" s="24">
        <v>30</v>
      </c>
      <c r="S24" s="24">
        <v>26</v>
      </c>
      <c r="T24" s="24">
        <f>6*B25</f>
        <v>36</v>
      </c>
      <c r="U24" s="24">
        <v>30</v>
      </c>
      <c r="V24" s="24">
        <f t="shared" si="6"/>
        <v>4</v>
      </c>
      <c r="W24" s="24">
        <v>17</v>
      </c>
      <c r="X24" s="24">
        <f t="shared" si="7"/>
        <v>4</v>
      </c>
      <c r="Y24" s="24"/>
      <c r="Z24" s="24">
        <f>13*$B$25</f>
        <v>78</v>
      </c>
      <c r="AA24" s="24">
        <v>0</v>
      </c>
      <c r="AB24" s="24">
        <v>60</v>
      </c>
      <c r="AC24" s="24">
        <v>186</v>
      </c>
      <c r="AD24" s="24">
        <f t="shared" si="8"/>
        <v>50</v>
      </c>
      <c r="AE24" s="24">
        <v>160</v>
      </c>
      <c r="AF24" s="24">
        <f>SUM(F24:AE24)</f>
        <v>1761.3</v>
      </c>
      <c r="AG24" s="24">
        <f t="shared" si="10"/>
        <v>1761.3</v>
      </c>
      <c r="AH24" s="46">
        <f t="shared" si="11"/>
        <v>2113.56</v>
      </c>
      <c r="AI24" s="24">
        <f t="shared" si="12"/>
        <v>352.26</v>
      </c>
      <c r="AK24" s="24">
        <v>1551</v>
      </c>
      <c r="AL24" s="24">
        <v>1750</v>
      </c>
      <c r="AM24" s="24">
        <v>1950</v>
      </c>
      <c r="AN24" s="24">
        <v>1825</v>
      </c>
      <c r="AO24" s="24">
        <v>2760</v>
      </c>
      <c r="AP24" s="24"/>
      <c r="AQ24" s="24">
        <v>1887</v>
      </c>
      <c r="AR24" s="24">
        <v>2724</v>
      </c>
      <c r="AS24" s="24"/>
      <c r="AU24" s="5">
        <f t="shared" si="13"/>
        <v>2063.8571428571427</v>
      </c>
      <c r="AW24" s="5">
        <f t="shared" si="14"/>
        <v>302.55714285714271</v>
      </c>
      <c r="AX24" s="5">
        <f t="shared" si="15"/>
        <v>302.55714285714271</v>
      </c>
    </row>
    <row r="25" spans="2:50" s="34" customFormat="1" x14ac:dyDescent="0.25">
      <c r="B25" s="39">
        <v>6</v>
      </c>
      <c r="C25" s="39">
        <v>2</v>
      </c>
      <c r="D25" s="39">
        <v>11</v>
      </c>
      <c r="E25" s="24"/>
      <c r="F25" s="24">
        <f t="shared" si="16"/>
        <v>120</v>
      </c>
      <c r="G25" s="24">
        <f t="shared" si="17"/>
        <v>120</v>
      </c>
      <c r="H25" s="24">
        <v>0</v>
      </c>
      <c r="I25" s="24">
        <f>70*C25*$B$5*1.18</f>
        <v>826</v>
      </c>
      <c r="J25" s="24">
        <f t="shared" ref="J25:J33" si="23">2*D25*$B$25*1.18</f>
        <v>155.76</v>
      </c>
      <c r="K25" s="24">
        <f t="shared" ref="K25:K33" si="24">50*C25*$B$27*1.18</f>
        <v>590</v>
      </c>
      <c r="L25" s="24">
        <v>0</v>
      </c>
      <c r="M25" s="24">
        <f t="shared" si="3"/>
        <v>25.959999999999997</v>
      </c>
      <c r="N25" s="24">
        <f t="shared" si="4"/>
        <v>25.959999999999997</v>
      </c>
      <c r="O25" s="24">
        <f t="shared" si="5"/>
        <v>47.199999999999996</v>
      </c>
      <c r="P25" s="24">
        <v>26</v>
      </c>
      <c r="Q25" s="24">
        <v>14</v>
      </c>
      <c r="R25" s="24">
        <v>30</v>
      </c>
      <c r="S25" s="24">
        <v>26</v>
      </c>
      <c r="T25" s="24">
        <v>36</v>
      </c>
      <c r="U25" s="24">
        <v>30</v>
      </c>
      <c r="V25" s="24">
        <f t="shared" si="6"/>
        <v>8</v>
      </c>
      <c r="W25" s="24">
        <v>17</v>
      </c>
      <c r="X25" s="24">
        <f t="shared" si="7"/>
        <v>8</v>
      </c>
      <c r="Y25" s="24"/>
      <c r="Z25" s="24">
        <f t="shared" ref="Z25:Z33" si="25">13*$B$25</f>
        <v>78</v>
      </c>
      <c r="AA25" s="24">
        <v>60</v>
      </c>
      <c r="AB25" s="24">
        <v>60</v>
      </c>
      <c r="AC25" s="24">
        <v>384</v>
      </c>
      <c r="AD25" s="24">
        <f t="shared" si="8"/>
        <v>100</v>
      </c>
      <c r="AE25" s="24">
        <v>185</v>
      </c>
      <c r="AF25" s="24">
        <f t="shared" ref="AF25:AF88" si="26">SUM(F25:AE25)</f>
        <v>2972.88</v>
      </c>
      <c r="AG25" s="24">
        <f t="shared" si="10"/>
        <v>1486.44</v>
      </c>
      <c r="AH25" s="47">
        <f t="shared" si="11"/>
        <v>1783.7280000000001</v>
      </c>
      <c r="AI25" s="24">
        <f t="shared" si="12"/>
        <v>594.57600000000002</v>
      </c>
      <c r="AK25" s="24">
        <v>1501</v>
      </c>
      <c r="AL25" s="24">
        <v>1590</v>
      </c>
      <c r="AM25" s="24">
        <v>1645</v>
      </c>
      <c r="AN25" s="24">
        <v>1665</v>
      </c>
      <c r="AO25" s="24">
        <v>2070</v>
      </c>
      <c r="AP25" s="24"/>
      <c r="AQ25" s="24">
        <v>1887</v>
      </c>
      <c r="AR25" s="24">
        <v>2176</v>
      </c>
      <c r="AS25" s="24"/>
      <c r="AU25" s="5">
        <f t="shared" si="13"/>
        <v>1790.5714285714287</v>
      </c>
      <c r="AW25" s="5">
        <f t="shared" si="14"/>
        <v>304.13142857142861</v>
      </c>
      <c r="AX25" s="5">
        <f t="shared" si="15"/>
        <v>608.26285714285723</v>
      </c>
    </row>
    <row r="26" spans="2:50" s="34" customFormat="1" x14ac:dyDescent="0.25">
      <c r="B26" s="39" t="s">
        <v>113</v>
      </c>
      <c r="C26" s="39">
        <v>3</v>
      </c>
      <c r="D26" s="39">
        <v>12</v>
      </c>
      <c r="E26" s="24"/>
      <c r="F26" s="24">
        <f t="shared" si="16"/>
        <v>180</v>
      </c>
      <c r="G26" s="24">
        <f t="shared" si="17"/>
        <v>180</v>
      </c>
      <c r="H26" s="24">
        <v>0</v>
      </c>
      <c r="I26" s="24">
        <f t="shared" ref="I26:I33" si="27">70*C26*$B$5*1.18</f>
        <v>1239</v>
      </c>
      <c r="J26" s="24">
        <f t="shared" si="23"/>
        <v>169.92</v>
      </c>
      <c r="K26" s="24">
        <f t="shared" si="24"/>
        <v>885</v>
      </c>
      <c r="L26" s="24">
        <v>0</v>
      </c>
      <c r="M26" s="24">
        <f t="shared" si="3"/>
        <v>38.94</v>
      </c>
      <c r="N26" s="24">
        <f t="shared" si="4"/>
        <v>28.32</v>
      </c>
      <c r="O26" s="24">
        <f t="shared" si="5"/>
        <v>70.8</v>
      </c>
      <c r="P26" s="24">
        <v>26</v>
      </c>
      <c r="Q26" s="24">
        <v>20</v>
      </c>
      <c r="R26" s="24">
        <v>30</v>
      </c>
      <c r="S26" s="24">
        <v>26</v>
      </c>
      <c r="T26" s="24">
        <v>72</v>
      </c>
      <c r="U26" s="24">
        <v>30</v>
      </c>
      <c r="V26" s="24">
        <f t="shared" si="6"/>
        <v>12</v>
      </c>
      <c r="W26" s="24">
        <v>17</v>
      </c>
      <c r="X26" s="24">
        <f t="shared" si="7"/>
        <v>12</v>
      </c>
      <c r="Y26" s="24"/>
      <c r="Z26" s="24">
        <f t="shared" si="25"/>
        <v>78</v>
      </c>
      <c r="AA26" s="24">
        <v>60</v>
      </c>
      <c r="AB26" s="24">
        <v>60</v>
      </c>
      <c r="AC26" s="24">
        <v>576</v>
      </c>
      <c r="AD26" s="24">
        <f t="shared" si="8"/>
        <v>150</v>
      </c>
      <c r="AE26" s="24">
        <v>206</v>
      </c>
      <c r="AF26" s="24">
        <f t="shared" si="26"/>
        <v>4166.9800000000005</v>
      </c>
      <c r="AG26" s="24">
        <f t="shared" si="10"/>
        <v>1388.9933333333336</v>
      </c>
      <c r="AH26" s="47">
        <f t="shared" si="11"/>
        <v>1666.7920000000001</v>
      </c>
      <c r="AI26" s="24">
        <f t="shared" si="12"/>
        <v>833.39599999999973</v>
      </c>
      <c r="AK26" s="24">
        <v>1455</v>
      </c>
      <c r="AL26" s="24">
        <v>1590</v>
      </c>
      <c r="AM26" s="24">
        <v>1645</v>
      </c>
      <c r="AN26" s="24">
        <v>1665</v>
      </c>
      <c r="AO26" s="24">
        <v>2015</v>
      </c>
      <c r="AP26" s="24"/>
      <c r="AQ26" s="24">
        <v>1887</v>
      </c>
      <c r="AR26" s="24">
        <v>2033</v>
      </c>
      <c r="AS26" s="24"/>
      <c r="AU26" s="5">
        <f t="shared" si="13"/>
        <v>1755.7142857142858</v>
      </c>
      <c r="AW26" s="5">
        <f t="shared" si="14"/>
        <v>366.72095238095221</v>
      </c>
      <c r="AX26" s="5">
        <f t="shared" si="15"/>
        <v>1100.1628571428566</v>
      </c>
    </row>
    <row r="27" spans="2:50" s="34" customFormat="1" x14ac:dyDescent="0.25">
      <c r="B27" s="39">
        <v>5</v>
      </c>
      <c r="C27" s="39">
        <v>4</v>
      </c>
      <c r="D27" s="39">
        <v>15</v>
      </c>
      <c r="E27" s="39"/>
      <c r="F27" s="24">
        <f t="shared" si="16"/>
        <v>240</v>
      </c>
      <c r="G27" s="24">
        <f t="shared" si="17"/>
        <v>240</v>
      </c>
      <c r="H27" s="24">
        <v>0</v>
      </c>
      <c r="I27" s="24">
        <f t="shared" si="27"/>
        <v>1652</v>
      </c>
      <c r="J27" s="24">
        <f t="shared" si="23"/>
        <v>212.39999999999998</v>
      </c>
      <c r="K27" s="24">
        <f t="shared" si="24"/>
        <v>1180</v>
      </c>
      <c r="L27" s="24">
        <v>0</v>
      </c>
      <c r="M27" s="24">
        <f t="shared" si="3"/>
        <v>51.919999999999995</v>
      </c>
      <c r="N27" s="24">
        <f t="shared" si="4"/>
        <v>35.4</v>
      </c>
      <c r="O27" s="24">
        <f t="shared" si="5"/>
        <v>94.399999999999991</v>
      </c>
      <c r="P27" s="24">
        <v>26</v>
      </c>
      <c r="Q27" s="24">
        <v>26</v>
      </c>
      <c r="R27" s="24">
        <v>30</v>
      </c>
      <c r="S27" s="24">
        <v>26</v>
      </c>
      <c r="T27" s="24">
        <v>72</v>
      </c>
      <c r="U27" s="24">
        <v>30</v>
      </c>
      <c r="V27" s="24">
        <f t="shared" si="6"/>
        <v>16</v>
      </c>
      <c r="W27" s="24">
        <v>17</v>
      </c>
      <c r="X27" s="24">
        <f t="shared" si="7"/>
        <v>16</v>
      </c>
      <c r="Y27" s="24"/>
      <c r="Z27" s="24">
        <f t="shared" si="25"/>
        <v>78</v>
      </c>
      <c r="AA27" s="24">
        <v>60</v>
      </c>
      <c r="AB27" s="24">
        <v>60</v>
      </c>
      <c r="AC27" s="24">
        <v>768</v>
      </c>
      <c r="AD27" s="24">
        <f t="shared" si="8"/>
        <v>200</v>
      </c>
      <c r="AE27" s="24">
        <v>246</v>
      </c>
      <c r="AF27" s="24">
        <f t="shared" si="26"/>
        <v>5377.1200000000008</v>
      </c>
      <c r="AG27" s="24">
        <f t="shared" si="10"/>
        <v>1344.2800000000002</v>
      </c>
      <c r="AH27" s="48">
        <f t="shared" si="11"/>
        <v>1613.1360000000002</v>
      </c>
      <c r="AI27" s="24">
        <f t="shared" si="12"/>
        <v>1075.424</v>
      </c>
      <c r="AK27" s="24">
        <v>1419</v>
      </c>
      <c r="AL27" s="24">
        <v>1590</v>
      </c>
      <c r="AM27" s="24">
        <v>1645</v>
      </c>
      <c r="AN27" s="24">
        <v>1665</v>
      </c>
      <c r="AO27" s="24">
        <v>1990</v>
      </c>
      <c r="AP27" s="24"/>
      <c r="AQ27" s="24">
        <v>1887</v>
      </c>
      <c r="AR27" s="24">
        <v>1933</v>
      </c>
      <c r="AS27" s="24"/>
      <c r="AU27" s="5">
        <f t="shared" si="13"/>
        <v>1732.7142857142858</v>
      </c>
      <c r="AW27" s="5">
        <f t="shared" si="14"/>
        <v>388.43428571428558</v>
      </c>
      <c r="AX27" s="5">
        <f t="shared" si="15"/>
        <v>1553.7371428571423</v>
      </c>
    </row>
    <row r="28" spans="2:50" s="34" customFormat="1" x14ac:dyDescent="0.25">
      <c r="B28" s="39" t="s">
        <v>114</v>
      </c>
      <c r="C28" s="39">
        <v>5</v>
      </c>
      <c r="D28" s="39">
        <v>19</v>
      </c>
      <c r="E28" s="39"/>
      <c r="F28" s="24">
        <f t="shared" si="16"/>
        <v>300</v>
      </c>
      <c r="G28" s="24">
        <f t="shared" si="17"/>
        <v>300</v>
      </c>
      <c r="H28" s="24">
        <v>0</v>
      </c>
      <c r="I28" s="24">
        <f t="shared" si="27"/>
        <v>2065</v>
      </c>
      <c r="J28" s="24">
        <f t="shared" si="23"/>
        <v>269.03999999999996</v>
      </c>
      <c r="K28" s="24">
        <f t="shared" si="24"/>
        <v>1475</v>
      </c>
      <c r="L28" s="24">
        <v>0</v>
      </c>
      <c r="M28" s="24">
        <f t="shared" si="3"/>
        <v>64.899999999999991</v>
      </c>
      <c r="N28" s="24">
        <f t="shared" si="4"/>
        <v>44.839999999999996</v>
      </c>
      <c r="O28" s="24">
        <f t="shared" si="5"/>
        <v>118</v>
      </c>
      <c r="P28" s="24">
        <v>26</v>
      </c>
      <c r="Q28" s="24">
        <v>32</v>
      </c>
      <c r="R28" s="24">
        <v>30</v>
      </c>
      <c r="S28" s="24">
        <v>26</v>
      </c>
      <c r="T28" s="24">
        <v>108</v>
      </c>
      <c r="U28" s="24">
        <v>30</v>
      </c>
      <c r="V28" s="24">
        <f t="shared" si="6"/>
        <v>20</v>
      </c>
      <c r="W28" s="24">
        <v>34</v>
      </c>
      <c r="X28" s="24">
        <f t="shared" si="7"/>
        <v>20</v>
      </c>
      <c r="Y28" s="24"/>
      <c r="Z28" s="24">
        <f t="shared" si="25"/>
        <v>78</v>
      </c>
      <c r="AA28" s="24">
        <v>120</v>
      </c>
      <c r="AB28" s="24">
        <v>60</v>
      </c>
      <c r="AC28" s="24">
        <v>864</v>
      </c>
      <c r="AD28" s="24">
        <f t="shared" si="8"/>
        <v>250</v>
      </c>
      <c r="AE28" s="24">
        <v>277</v>
      </c>
      <c r="AF28" s="24">
        <f t="shared" si="26"/>
        <v>6611.78</v>
      </c>
      <c r="AG28" s="24">
        <f t="shared" si="10"/>
        <v>1322.356</v>
      </c>
      <c r="AH28" s="48">
        <f t="shared" si="11"/>
        <v>1586.8271999999999</v>
      </c>
      <c r="AI28" s="24">
        <f t="shared" si="12"/>
        <v>1322.3559999999998</v>
      </c>
      <c r="AK28" s="24">
        <v>1388</v>
      </c>
      <c r="AL28" s="24">
        <v>1520</v>
      </c>
      <c r="AM28" s="24">
        <v>1645</v>
      </c>
      <c r="AN28" s="24">
        <v>1630</v>
      </c>
      <c r="AO28" s="24">
        <v>1955</v>
      </c>
      <c r="AP28" s="24"/>
      <c r="AQ28" s="24">
        <v>1887</v>
      </c>
      <c r="AR28" s="24">
        <v>1873</v>
      </c>
      <c r="AS28" s="24"/>
      <c r="AU28" s="5">
        <f t="shared" si="13"/>
        <v>1699.7142857142858</v>
      </c>
      <c r="AW28" s="5">
        <f t="shared" si="14"/>
        <v>377.35828571428578</v>
      </c>
      <c r="AX28" s="5">
        <f t="shared" si="15"/>
        <v>1886.7914285714289</v>
      </c>
    </row>
    <row r="29" spans="2:50" s="34" customFormat="1" x14ac:dyDescent="0.25">
      <c r="B29" s="39"/>
      <c r="C29" s="39">
        <v>6</v>
      </c>
      <c r="D29" s="39">
        <v>22</v>
      </c>
      <c r="E29" s="39"/>
      <c r="F29" s="24">
        <f t="shared" si="16"/>
        <v>360</v>
      </c>
      <c r="G29" s="24">
        <f t="shared" si="17"/>
        <v>360</v>
      </c>
      <c r="H29" s="24">
        <v>0</v>
      </c>
      <c r="I29" s="24">
        <f t="shared" si="27"/>
        <v>2478</v>
      </c>
      <c r="J29" s="24">
        <f t="shared" si="23"/>
        <v>311.52</v>
      </c>
      <c r="K29" s="24">
        <f t="shared" si="24"/>
        <v>1770</v>
      </c>
      <c r="L29" s="24">
        <v>0</v>
      </c>
      <c r="M29" s="24">
        <f t="shared" si="3"/>
        <v>77.88</v>
      </c>
      <c r="N29" s="24">
        <f t="shared" si="4"/>
        <v>51.919999999999995</v>
      </c>
      <c r="O29" s="24">
        <f t="shared" si="5"/>
        <v>141.6</v>
      </c>
      <c r="P29" s="24">
        <v>26</v>
      </c>
      <c r="Q29" s="24">
        <v>38</v>
      </c>
      <c r="R29" s="24">
        <v>30</v>
      </c>
      <c r="S29" s="24">
        <v>26</v>
      </c>
      <c r="T29" s="24">
        <v>108</v>
      </c>
      <c r="U29" s="24">
        <v>30</v>
      </c>
      <c r="V29" s="24">
        <f t="shared" si="6"/>
        <v>24</v>
      </c>
      <c r="W29" s="24">
        <v>34</v>
      </c>
      <c r="X29" s="24">
        <f t="shared" si="7"/>
        <v>24</v>
      </c>
      <c r="Y29" s="24"/>
      <c r="Z29" s="24">
        <f t="shared" si="25"/>
        <v>78</v>
      </c>
      <c r="AA29" s="24">
        <v>120</v>
      </c>
      <c r="AB29" s="24">
        <v>60</v>
      </c>
      <c r="AC29" s="24">
        <v>1056</v>
      </c>
      <c r="AD29" s="24">
        <f t="shared" si="8"/>
        <v>300</v>
      </c>
      <c r="AE29" s="24">
        <v>284</v>
      </c>
      <c r="AF29" s="24">
        <f t="shared" si="26"/>
        <v>7788.920000000001</v>
      </c>
      <c r="AG29" s="24">
        <f t="shared" si="10"/>
        <v>1298.1533333333334</v>
      </c>
      <c r="AH29" s="48">
        <f t="shared" si="11"/>
        <v>1557.7840000000001</v>
      </c>
      <c r="AI29" s="24">
        <f t="shared" si="12"/>
        <v>1557.7840000000001</v>
      </c>
      <c r="AK29" s="24">
        <v>1376</v>
      </c>
      <c r="AL29" s="24">
        <v>1520</v>
      </c>
      <c r="AM29" s="24">
        <v>1550</v>
      </c>
      <c r="AN29" s="24">
        <v>1630</v>
      </c>
      <c r="AO29" s="24">
        <v>1920</v>
      </c>
      <c r="AP29" s="24"/>
      <c r="AQ29" s="24">
        <v>1887</v>
      </c>
      <c r="AR29" s="24">
        <v>1822</v>
      </c>
      <c r="AS29" s="24"/>
      <c r="AU29" s="5">
        <f t="shared" si="13"/>
        <v>1672.1428571428571</v>
      </c>
      <c r="AW29" s="5">
        <f t="shared" si="14"/>
        <v>373.98952380952369</v>
      </c>
      <c r="AX29" s="5">
        <f t="shared" si="15"/>
        <v>2243.9371428571421</v>
      </c>
    </row>
    <row r="30" spans="2:50" s="34" customFormat="1" x14ac:dyDescent="0.25">
      <c r="B30" s="39"/>
      <c r="C30" s="39">
        <v>7</v>
      </c>
      <c r="D30" s="39">
        <v>27</v>
      </c>
      <c r="E30" s="39"/>
      <c r="F30" s="24">
        <f t="shared" si="16"/>
        <v>420</v>
      </c>
      <c r="G30" s="24">
        <f t="shared" si="17"/>
        <v>420</v>
      </c>
      <c r="H30" s="24">
        <v>0</v>
      </c>
      <c r="I30" s="24">
        <f t="shared" si="27"/>
        <v>2891</v>
      </c>
      <c r="J30" s="24">
        <f>2*D30*$B$25*1.18</f>
        <v>382.32</v>
      </c>
      <c r="K30" s="24">
        <f t="shared" si="24"/>
        <v>2065</v>
      </c>
      <c r="L30" s="24">
        <v>0</v>
      </c>
      <c r="M30" s="24">
        <f t="shared" si="3"/>
        <v>90.86</v>
      </c>
      <c r="N30" s="24">
        <f t="shared" si="4"/>
        <v>63.72</v>
      </c>
      <c r="O30" s="24">
        <f t="shared" si="5"/>
        <v>165.2</v>
      </c>
      <c r="P30" s="24">
        <v>26</v>
      </c>
      <c r="Q30" s="24">
        <v>44</v>
      </c>
      <c r="R30" s="24">
        <v>30</v>
      </c>
      <c r="S30" s="24">
        <v>26</v>
      </c>
      <c r="T30" s="24">
        <v>144</v>
      </c>
      <c r="U30" s="24">
        <v>30</v>
      </c>
      <c r="V30" s="24">
        <f t="shared" si="6"/>
        <v>28</v>
      </c>
      <c r="W30" s="24">
        <v>34</v>
      </c>
      <c r="X30" s="24">
        <f t="shared" si="7"/>
        <v>28</v>
      </c>
      <c r="Y30" s="24"/>
      <c r="Z30" s="24">
        <f t="shared" si="25"/>
        <v>78</v>
      </c>
      <c r="AA30" s="24">
        <v>180</v>
      </c>
      <c r="AB30" s="24">
        <v>60</v>
      </c>
      <c r="AC30" s="24">
        <v>1248</v>
      </c>
      <c r="AD30" s="24">
        <f t="shared" si="8"/>
        <v>350</v>
      </c>
      <c r="AE30" s="24">
        <v>318</v>
      </c>
      <c r="AF30" s="24">
        <f t="shared" si="26"/>
        <v>9122.0999999999985</v>
      </c>
      <c r="AG30" s="24">
        <f t="shared" si="10"/>
        <v>1303.1571428571426</v>
      </c>
      <c r="AH30" s="48">
        <f t="shared" si="11"/>
        <v>1563.788571428571</v>
      </c>
      <c r="AI30" s="24">
        <f t="shared" si="12"/>
        <v>1824.4199999999987</v>
      </c>
      <c r="AK30" s="24">
        <v>1373</v>
      </c>
      <c r="AL30" s="24">
        <v>1520</v>
      </c>
      <c r="AM30" s="24">
        <v>1550</v>
      </c>
      <c r="AN30" s="24">
        <v>1630</v>
      </c>
      <c r="AO30" s="24">
        <v>1895</v>
      </c>
      <c r="AP30" s="24"/>
      <c r="AQ30" s="24">
        <v>1887</v>
      </c>
      <c r="AR30" s="24">
        <v>1786</v>
      </c>
      <c r="AS30" s="24"/>
      <c r="AU30" s="5">
        <f t="shared" si="13"/>
        <v>1663</v>
      </c>
      <c r="AW30" s="5">
        <f t="shared" si="14"/>
        <v>359.84285714285738</v>
      </c>
      <c r="AX30" s="5">
        <f t="shared" si="15"/>
        <v>2518.9000000000015</v>
      </c>
    </row>
    <row r="31" spans="2:50" s="34" customFormat="1" x14ac:dyDescent="0.25">
      <c r="B31" s="39"/>
      <c r="C31" s="39">
        <v>8</v>
      </c>
      <c r="D31" s="39">
        <v>29</v>
      </c>
      <c r="E31" s="39"/>
      <c r="F31" s="24">
        <f t="shared" si="16"/>
        <v>480</v>
      </c>
      <c r="G31" s="24">
        <f t="shared" si="17"/>
        <v>480</v>
      </c>
      <c r="H31" s="24">
        <v>0</v>
      </c>
      <c r="I31" s="24">
        <f t="shared" si="27"/>
        <v>3304</v>
      </c>
      <c r="J31" s="24">
        <f t="shared" si="23"/>
        <v>410.64</v>
      </c>
      <c r="K31" s="24">
        <f t="shared" si="24"/>
        <v>2360</v>
      </c>
      <c r="L31" s="24">
        <v>0</v>
      </c>
      <c r="M31" s="24">
        <f t="shared" si="3"/>
        <v>103.83999999999999</v>
      </c>
      <c r="N31" s="24">
        <f t="shared" si="4"/>
        <v>68.44</v>
      </c>
      <c r="O31" s="24">
        <f t="shared" si="5"/>
        <v>188.79999999999998</v>
      </c>
      <c r="P31" s="24">
        <v>52</v>
      </c>
      <c r="Q31" s="24">
        <v>50</v>
      </c>
      <c r="R31" s="24">
        <v>60</v>
      </c>
      <c r="S31" s="24">
        <v>26</v>
      </c>
      <c r="T31" s="24">
        <v>144</v>
      </c>
      <c r="U31" s="24">
        <v>30</v>
      </c>
      <c r="V31" s="24">
        <f t="shared" si="6"/>
        <v>32</v>
      </c>
      <c r="W31" s="24">
        <v>34</v>
      </c>
      <c r="X31" s="24">
        <f t="shared" si="7"/>
        <v>32</v>
      </c>
      <c r="Y31" s="24"/>
      <c r="Z31" s="24">
        <f t="shared" si="25"/>
        <v>78</v>
      </c>
      <c r="AA31" s="24">
        <v>180</v>
      </c>
      <c r="AB31" s="24">
        <v>60</v>
      </c>
      <c r="AC31" s="24">
        <v>1440</v>
      </c>
      <c r="AD31" s="24">
        <f t="shared" si="8"/>
        <v>400</v>
      </c>
      <c r="AE31" s="24">
        <v>282</v>
      </c>
      <c r="AF31" s="24">
        <f t="shared" si="26"/>
        <v>10295.720000000001</v>
      </c>
      <c r="AG31" s="24">
        <f t="shared" si="10"/>
        <v>1286.9650000000001</v>
      </c>
      <c r="AH31" s="48">
        <f t="shared" si="11"/>
        <v>1544.3580000000002</v>
      </c>
      <c r="AI31" s="24">
        <f t="shared" si="12"/>
        <v>2059.1440000000002</v>
      </c>
      <c r="AK31" s="24">
        <v>1369</v>
      </c>
      <c r="AL31" s="24">
        <v>1520</v>
      </c>
      <c r="AM31" s="24">
        <v>1550</v>
      </c>
      <c r="AN31" s="24">
        <v>1580</v>
      </c>
      <c r="AO31" s="24">
        <v>1870</v>
      </c>
      <c r="AP31" s="24"/>
      <c r="AQ31" s="24">
        <v>1887</v>
      </c>
      <c r="AR31" s="24">
        <v>1754</v>
      </c>
      <c r="AS31" s="24"/>
      <c r="AU31" s="5">
        <f t="shared" si="13"/>
        <v>1647.1428571428571</v>
      </c>
      <c r="AW31" s="5">
        <f t="shared" si="14"/>
        <v>360.17785714285696</v>
      </c>
      <c r="AX31" s="5">
        <f t="shared" si="15"/>
        <v>2881.4228571428557</v>
      </c>
    </row>
    <row r="32" spans="2:50" s="34" customFormat="1" x14ac:dyDescent="0.25">
      <c r="B32" s="39"/>
      <c r="C32" s="39">
        <v>9</v>
      </c>
      <c r="D32" s="39">
        <v>34</v>
      </c>
      <c r="E32" s="39"/>
      <c r="F32" s="24">
        <f t="shared" si="16"/>
        <v>540</v>
      </c>
      <c r="G32" s="24">
        <f t="shared" si="17"/>
        <v>540</v>
      </c>
      <c r="H32" s="24">
        <v>0</v>
      </c>
      <c r="I32" s="24">
        <f t="shared" si="27"/>
        <v>3717</v>
      </c>
      <c r="J32" s="24">
        <f t="shared" si="23"/>
        <v>481.44</v>
      </c>
      <c r="K32" s="24">
        <f t="shared" si="24"/>
        <v>2655</v>
      </c>
      <c r="L32" s="24">
        <v>0</v>
      </c>
      <c r="M32" s="24">
        <f t="shared" si="3"/>
        <v>116.82</v>
      </c>
      <c r="N32" s="24">
        <f t="shared" si="4"/>
        <v>80.239999999999995</v>
      </c>
      <c r="O32" s="24">
        <f t="shared" si="5"/>
        <v>212.39999999999998</v>
      </c>
      <c r="P32" s="24">
        <v>52</v>
      </c>
      <c r="Q32" s="24">
        <v>56</v>
      </c>
      <c r="R32" s="24">
        <v>60</v>
      </c>
      <c r="S32" s="24">
        <v>26</v>
      </c>
      <c r="T32" s="24">
        <v>180</v>
      </c>
      <c r="U32" s="24">
        <v>30</v>
      </c>
      <c r="V32" s="24">
        <f t="shared" si="6"/>
        <v>36</v>
      </c>
      <c r="W32" s="24">
        <v>34</v>
      </c>
      <c r="X32" s="24">
        <f t="shared" si="7"/>
        <v>36</v>
      </c>
      <c r="Y32" s="24"/>
      <c r="Z32" s="24">
        <f t="shared" si="25"/>
        <v>78</v>
      </c>
      <c r="AA32" s="24">
        <v>240</v>
      </c>
      <c r="AB32" s="24">
        <v>60</v>
      </c>
      <c r="AC32" s="24">
        <v>1632</v>
      </c>
      <c r="AD32" s="24">
        <f t="shared" si="8"/>
        <v>450</v>
      </c>
      <c r="AE32" s="24">
        <v>384</v>
      </c>
      <c r="AF32" s="24">
        <f t="shared" si="26"/>
        <v>11696.9</v>
      </c>
      <c r="AG32" s="24">
        <f t="shared" si="10"/>
        <v>1299.6555555555556</v>
      </c>
      <c r="AH32" s="47">
        <f t="shared" si="11"/>
        <v>1559.5866666666666</v>
      </c>
      <c r="AI32" s="24">
        <f t="shared" si="12"/>
        <v>2339.3799999999992</v>
      </c>
      <c r="AK32" s="24">
        <v>1363</v>
      </c>
      <c r="AL32" s="24">
        <v>1520</v>
      </c>
      <c r="AM32" s="24">
        <v>1550</v>
      </c>
      <c r="AN32" s="24">
        <v>1580</v>
      </c>
      <c r="AO32" s="24">
        <v>1850</v>
      </c>
      <c r="AP32" s="24"/>
      <c r="AQ32" s="24">
        <v>1887</v>
      </c>
      <c r="AR32" s="24">
        <v>1754</v>
      </c>
      <c r="AS32" s="24"/>
      <c r="AU32" s="5">
        <f t="shared" si="13"/>
        <v>1643.4285714285713</v>
      </c>
      <c r="AW32" s="5">
        <f t="shared" si="14"/>
        <v>343.77301587301577</v>
      </c>
      <c r="AX32" s="5">
        <f t="shared" si="15"/>
        <v>3093.9571428571417</v>
      </c>
    </row>
    <row r="33" spans="2:50" s="34" customFormat="1" x14ac:dyDescent="0.25">
      <c r="B33" s="39"/>
      <c r="C33" s="39">
        <v>10</v>
      </c>
      <c r="D33" s="39">
        <v>37</v>
      </c>
      <c r="E33" s="39"/>
      <c r="F33" s="24">
        <f t="shared" si="16"/>
        <v>600</v>
      </c>
      <c r="G33" s="24">
        <f t="shared" si="17"/>
        <v>600</v>
      </c>
      <c r="H33" s="24">
        <v>0</v>
      </c>
      <c r="I33" s="24">
        <f t="shared" si="27"/>
        <v>4130</v>
      </c>
      <c r="J33" s="24">
        <f t="shared" si="23"/>
        <v>523.91999999999996</v>
      </c>
      <c r="K33" s="24">
        <f t="shared" si="24"/>
        <v>2950</v>
      </c>
      <c r="L33" s="24">
        <v>0</v>
      </c>
      <c r="M33" s="24">
        <f t="shared" si="3"/>
        <v>129.79999999999998</v>
      </c>
      <c r="N33" s="24">
        <f t="shared" si="4"/>
        <v>87.32</v>
      </c>
      <c r="O33" s="24">
        <f t="shared" si="5"/>
        <v>236</v>
      </c>
      <c r="P33" s="24">
        <v>52</v>
      </c>
      <c r="Q33" s="24">
        <v>62</v>
      </c>
      <c r="R33" s="24">
        <v>60</v>
      </c>
      <c r="S33" s="24">
        <v>26</v>
      </c>
      <c r="T33" s="24">
        <v>180</v>
      </c>
      <c r="U33" s="24">
        <v>30</v>
      </c>
      <c r="V33" s="24">
        <f t="shared" si="6"/>
        <v>40</v>
      </c>
      <c r="W33" s="24">
        <v>34</v>
      </c>
      <c r="X33" s="24">
        <f t="shared" si="7"/>
        <v>40</v>
      </c>
      <c r="Y33" s="24"/>
      <c r="Z33" s="24">
        <f t="shared" si="25"/>
        <v>78</v>
      </c>
      <c r="AA33" s="24">
        <v>240</v>
      </c>
      <c r="AB33" s="24">
        <v>60</v>
      </c>
      <c r="AC33" s="24">
        <v>1824</v>
      </c>
      <c r="AD33" s="24">
        <f t="shared" si="8"/>
        <v>500</v>
      </c>
      <c r="AE33" s="24">
        <v>433</v>
      </c>
      <c r="AF33" s="24">
        <f t="shared" si="26"/>
        <v>12916.039999999999</v>
      </c>
      <c r="AG33" s="24">
        <f t="shared" si="10"/>
        <v>1291.6039999999998</v>
      </c>
      <c r="AH33" s="47">
        <f t="shared" si="11"/>
        <v>1549.9247999999998</v>
      </c>
      <c r="AI33" s="24">
        <f t="shared" si="12"/>
        <v>2583.2079999999996</v>
      </c>
      <c r="AK33" s="24">
        <v>1360</v>
      </c>
      <c r="AL33" s="24">
        <v>1520</v>
      </c>
      <c r="AM33" s="24">
        <v>1550</v>
      </c>
      <c r="AN33" s="24">
        <v>1580</v>
      </c>
      <c r="AO33" s="24">
        <v>1830</v>
      </c>
      <c r="AP33" s="24"/>
      <c r="AQ33" s="24">
        <v>1887</v>
      </c>
      <c r="AR33" s="24">
        <v>1754</v>
      </c>
      <c r="AS33" s="24"/>
      <c r="AU33" s="5">
        <f t="shared" si="13"/>
        <v>1640.1428571428571</v>
      </c>
      <c r="AW33" s="5">
        <f t="shared" si="14"/>
        <v>348.5388571428573</v>
      </c>
      <c r="AX33" s="5">
        <f t="shared" si="15"/>
        <v>3485.388571428573</v>
      </c>
    </row>
    <row r="34" spans="2:50" x14ac:dyDescent="0.25">
      <c r="B34" s="38" t="s">
        <v>5</v>
      </c>
      <c r="C34" s="38">
        <v>1</v>
      </c>
      <c r="D34" s="38">
        <v>7</v>
      </c>
      <c r="E34" s="38"/>
      <c r="F34" s="24">
        <f t="shared" si="16"/>
        <v>60</v>
      </c>
      <c r="G34" s="24">
        <f t="shared" si="17"/>
        <v>60</v>
      </c>
      <c r="H34" s="24">
        <v>0</v>
      </c>
      <c r="I34" s="24">
        <f>70*C34*$B$35*1.18</f>
        <v>578.19999999999993</v>
      </c>
      <c r="J34" s="24">
        <f>2*D34*$B$35*1.18</f>
        <v>115.64</v>
      </c>
      <c r="K34" s="24">
        <f>50*C34*$B$37*1.18</f>
        <v>354</v>
      </c>
      <c r="L34" s="18">
        <v>0</v>
      </c>
      <c r="M34" s="24">
        <f t="shared" si="3"/>
        <v>12.979999999999999</v>
      </c>
      <c r="N34" s="24">
        <f t="shared" si="4"/>
        <v>16.52</v>
      </c>
      <c r="O34" s="24">
        <f t="shared" si="5"/>
        <v>23.599999999999998</v>
      </c>
      <c r="P34" s="24">
        <v>26</v>
      </c>
      <c r="Q34" s="24">
        <v>8</v>
      </c>
      <c r="R34" s="24">
        <v>30</v>
      </c>
      <c r="S34" s="24">
        <v>26</v>
      </c>
      <c r="T34" s="24">
        <v>42</v>
      </c>
      <c r="U34" s="24">
        <v>30</v>
      </c>
      <c r="V34" s="24">
        <f t="shared" si="6"/>
        <v>4</v>
      </c>
      <c r="W34" s="24">
        <v>17</v>
      </c>
      <c r="X34" s="24">
        <f t="shared" si="7"/>
        <v>4</v>
      </c>
      <c r="Y34" s="24"/>
      <c r="Z34" s="24">
        <f>13*$B$35</f>
        <v>91</v>
      </c>
      <c r="AA34" s="24">
        <v>0</v>
      </c>
      <c r="AB34" s="24">
        <v>70</v>
      </c>
      <c r="AC34" s="24">
        <v>217</v>
      </c>
      <c r="AD34" s="24">
        <f t="shared" si="8"/>
        <v>50</v>
      </c>
      <c r="AE34" s="24">
        <v>160</v>
      </c>
      <c r="AF34" s="18">
        <f t="shared" si="26"/>
        <v>1995.9399999999998</v>
      </c>
      <c r="AG34" s="24">
        <f t="shared" si="10"/>
        <v>1995.9399999999998</v>
      </c>
      <c r="AH34" s="46">
        <f t="shared" si="11"/>
        <v>2395.1279999999997</v>
      </c>
      <c r="AI34" s="24">
        <f t="shared" si="12"/>
        <v>399.18799999999987</v>
      </c>
      <c r="AK34" s="24">
        <v>1786</v>
      </c>
      <c r="AL34" s="24">
        <v>1945</v>
      </c>
      <c r="AM34" s="24">
        <v>2185</v>
      </c>
      <c r="AN34" s="24"/>
      <c r="AO34" s="24">
        <v>3070</v>
      </c>
      <c r="AP34" s="24"/>
      <c r="AQ34" s="24">
        <v>2169</v>
      </c>
      <c r="AR34" s="24"/>
      <c r="AS34" s="24">
        <v>1395</v>
      </c>
      <c r="AU34" s="5">
        <f t="shared" si="13"/>
        <v>2091.6666666666665</v>
      </c>
      <c r="AW34" s="5">
        <f t="shared" si="14"/>
        <v>95.726666666666688</v>
      </c>
      <c r="AX34" s="5">
        <f t="shared" si="15"/>
        <v>95.726666666666688</v>
      </c>
    </row>
    <row r="35" spans="2:50" x14ac:dyDescent="0.25">
      <c r="B35" s="38">
        <v>7</v>
      </c>
      <c r="C35" s="38">
        <v>2</v>
      </c>
      <c r="D35" s="38">
        <v>11</v>
      </c>
      <c r="E35" s="38"/>
      <c r="F35" s="24">
        <f t="shared" si="16"/>
        <v>120</v>
      </c>
      <c r="G35" s="24">
        <f t="shared" si="17"/>
        <v>120</v>
      </c>
      <c r="H35" s="24">
        <v>0</v>
      </c>
      <c r="I35" s="24">
        <f t="shared" ref="I35:I43" si="28">70*C35*$B$35*1.18</f>
        <v>1156.3999999999999</v>
      </c>
      <c r="J35" s="24">
        <f t="shared" ref="J35:J43" si="29">2*D35*$B$35*1.18</f>
        <v>181.72</v>
      </c>
      <c r="K35" s="24">
        <f t="shared" ref="K35:K43" si="30">50*C35*$B$37*1.18</f>
        <v>708</v>
      </c>
      <c r="L35" s="18">
        <v>0</v>
      </c>
      <c r="M35" s="24">
        <f t="shared" si="3"/>
        <v>25.959999999999997</v>
      </c>
      <c r="N35" s="24">
        <f t="shared" si="4"/>
        <v>25.959999999999997</v>
      </c>
      <c r="O35" s="24">
        <f t="shared" si="5"/>
        <v>47.199999999999996</v>
      </c>
      <c r="P35" s="24">
        <v>26</v>
      </c>
      <c r="Q35" s="24">
        <v>14</v>
      </c>
      <c r="R35" s="24">
        <v>30</v>
      </c>
      <c r="S35" s="24">
        <v>26</v>
      </c>
      <c r="T35" s="24">
        <v>42</v>
      </c>
      <c r="U35" s="24">
        <v>30</v>
      </c>
      <c r="V35" s="24">
        <f t="shared" si="6"/>
        <v>8</v>
      </c>
      <c r="W35" s="24">
        <v>17</v>
      </c>
      <c r="X35" s="24">
        <f t="shared" si="7"/>
        <v>8</v>
      </c>
      <c r="Y35" s="24"/>
      <c r="Z35" s="24">
        <f t="shared" ref="Z35:Z43" si="31">13*$B$35</f>
        <v>91</v>
      </c>
      <c r="AA35" s="24">
        <v>70</v>
      </c>
      <c r="AB35" s="24">
        <v>70</v>
      </c>
      <c r="AC35" s="24">
        <v>448</v>
      </c>
      <c r="AD35" s="24">
        <f t="shared" si="8"/>
        <v>100</v>
      </c>
      <c r="AE35" s="24">
        <v>185</v>
      </c>
      <c r="AF35" s="18">
        <f t="shared" si="26"/>
        <v>3550.24</v>
      </c>
      <c r="AG35" s="24">
        <f t="shared" si="10"/>
        <v>1775.12</v>
      </c>
      <c r="AH35" s="46">
        <f t="shared" si="11"/>
        <v>2130.1439999999998</v>
      </c>
      <c r="AI35" s="24">
        <f t="shared" si="12"/>
        <v>710.04799999999977</v>
      </c>
      <c r="AK35" s="24">
        <v>1651</v>
      </c>
      <c r="AL35" s="24">
        <v>1780</v>
      </c>
      <c r="AM35" s="24">
        <v>1850</v>
      </c>
      <c r="AN35" s="24"/>
      <c r="AO35" s="24">
        <v>2335</v>
      </c>
      <c r="AP35" s="24"/>
      <c r="AQ35" s="24">
        <v>2169</v>
      </c>
      <c r="AR35" s="24"/>
      <c r="AS35" s="24">
        <v>1395</v>
      </c>
      <c r="AU35" s="5">
        <f t="shared" si="13"/>
        <v>1863.3333333333333</v>
      </c>
      <c r="AW35" s="5">
        <f t="shared" si="14"/>
        <v>88.213333333333367</v>
      </c>
      <c r="AX35" s="5">
        <f t="shared" si="15"/>
        <v>176.42666666666673</v>
      </c>
    </row>
    <row r="36" spans="2:50" x14ac:dyDescent="0.25">
      <c r="B36" s="38" t="s">
        <v>113</v>
      </c>
      <c r="C36" s="38">
        <v>3</v>
      </c>
      <c r="D36" s="38">
        <v>13</v>
      </c>
      <c r="E36" s="38"/>
      <c r="F36" s="24">
        <f t="shared" si="16"/>
        <v>180</v>
      </c>
      <c r="G36" s="24">
        <f t="shared" si="17"/>
        <v>180</v>
      </c>
      <c r="H36" s="24">
        <v>0</v>
      </c>
      <c r="I36" s="24">
        <f t="shared" si="28"/>
        <v>1734.6</v>
      </c>
      <c r="J36" s="24">
        <f t="shared" si="29"/>
        <v>214.76</v>
      </c>
      <c r="K36" s="24">
        <f t="shared" si="30"/>
        <v>1062</v>
      </c>
      <c r="L36" s="18">
        <v>0</v>
      </c>
      <c r="M36" s="24">
        <f t="shared" si="3"/>
        <v>38.94</v>
      </c>
      <c r="N36" s="24">
        <f t="shared" si="4"/>
        <v>30.68</v>
      </c>
      <c r="O36" s="24">
        <f t="shared" si="5"/>
        <v>70.8</v>
      </c>
      <c r="P36" s="24">
        <v>26</v>
      </c>
      <c r="Q36" s="24">
        <v>20</v>
      </c>
      <c r="R36" s="24">
        <v>30</v>
      </c>
      <c r="S36" s="24">
        <v>26</v>
      </c>
      <c r="T36" s="24">
        <v>84</v>
      </c>
      <c r="U36" s="24">
        <v>30</v>
      </c>
      <c r="V36" s="24">
        <f t="shared" si="6"/>
        <v>12</v>
      </c>
      <c r="W36" s="24">
        <v>17</v>
      </c>
      <c r="X36" s="24">
        <f t="shared" si="7"/>
        <v>12</v>
      </c>
      <c r="Y36" s="24"/>
      <c r="Z36" s="24">
        <f t="shared" si="31"/>
        <v>91</v>
      </c>
      <c r="AA36" s="24">
        <v>70</v>
      </c>
      <c r="AB36" s="24">
        <v>70</v>
      </c>
      <c r="AC36" s="24">
        <v>672</v>
      </c>
      <c r="AD36" s="24">
        <f t="shared" si="8"/>
        <v>150</v>
      </c>
      <c r="AE36" s="24">
        <v>206</v>
      </c>
      <c r="AF36" s="18">
        <f t="shared" si="26"/>
        <v>5027.78</v>
      </c>
      <c r="AG36" s="24">
        <f t="shared" si="10"/>
        <v>1675.9266666666665</v>
      </c>
      <c r="AH36" s="46">
        <f t="shared" si="11"/>
        <v>2011.1119999999996</v>
      </c>
      <c r="AI36" s="24">
        <f t="shared" si="12"/>
        <v>1005.5559999999994</v>
      </c>
      <c r="AK36" s="24">
        <v>1598</v>
      </c>
      <c r="AL36" s="24">
        <v>1780</v>
      </c>
      <c r="AM36" s="24">
        <v>1850</v>
      </c>
      <c r="AN36" s="24"/>
      <c r="AO36" s="24">
        <v>2280</v>
      </c>
      <c r="AP36" s="24"/>
      <c r="AQ36" s="24">
        <v>2169</v>
      </c>
      <c r="AR36" s="24"/>
      <c r="AS36" s="24">
        <v>1395</v>
      </c>
      <c r="AU36" s="5">
        <f t="shared" si="13"/>
        <v>1845.3333333333333</v>
      </c>
      <c r="AW36" s="5">
        <f t="shared" si="14"/>
        <v>169.40666666666675</v>
      </c>
      <c r="AX36" s="5">
        <f t="shared" si="15"/>
        <v>508.22000000000025</v>
      </c>
    </row>
    <row r="37" spans="2:50" x14ac:dyDescent="0.25">
      <c r="B37" s="38">
        <v>6</v>
      </c>
      <c r="C37" s="38">
        <v>4</v>
      </c>
      <c r="D37" s="38">
        <v>15</v>
      </c>
      <c r="E37" s="38"/>
      <c r="F37" s="24">
        <f t="shared" si="16"/>
        <v>240</v>
      </c>
      <c r="G37" s="24">
        <f t="shared" si="17"/>
        <v>240</v>
      </c>
      <c r="H37" s="24">
        <v>0</v>
      </c>
      <c r="I37" s="24">
        <f t="shared" si="28"/>
        <v>2312.7999999999997</v>
      </c>
      <c r="J37" s="24">
        <f t="shared" si="29"/>
        <v>247.79999999999998</v>
      </c>
      <c r="K37" s="24">
        <f t="shared" si="30"/>
        <v>1416</v>
      </c>
      <c r="L37" s="18">
        <v>0</v>
      </c>
      <c r="M37" s="24">
        <f t="shared" si="3"/>
        <v>51.919999999999995</v>
      </c>
      <c r="N37" s="24">
        <f t="shared" si="4"/>
        <v>35.4</v>
      </c>
      <c r="O37" s="24">
        <f t="shared" si="5"/>
        <v>94.399999999999991</v>
      </c>
      <c r="P37" s="24">
        <v>26</v>
      </c>
      <c r="Q37" s="24">
        <v>26</v>
      </c>
      <c r="R37" s="24">
        <v>30</v>
      </c>
      <c r="S37" s="24">
        <v>26</v>
      </c>
      <c r="T37" s="24">
        <v>84</v>
      </c>
      <c r="U37" s="24">
        <v>30</v>
      </c>
      <c r="V37" s="24">
        <f t="shared" si="6"/>
        <v>16</v>
      </c>
      <c r="W37" s="24">
        <v>17</v>
      </c>
      <c r="X37" s="24">
        <f t="shared" si="7"/>
        <v>16</v>
      </c>
      <c r="Y37" s="24"/>
      <c r="Z37" s="24">
        <f t="shared" si="31"/>
        <v>91</v>
      </c>
      <c r="AA37" s="24">
        <v>70</v>
      </c>
      <c r="AB37" s="24">
        <v>70</v>
      </c>
      <c r="AC37" s="24">
        <v>896</v>
      </c>
      <c r="AD37" s="24">
        <f t="shared" si="8"/>
        <v>200</v>
      </c>
      <c r="AE37" s="24">
        <v>246</v>
      </c>
      <c r="AF37" s="18">
        <f t="shared" si="26"/>
        <v>6482.32</v>
      </c>
      <c r="AG37" s="24">
        <f t="shared" si="10"/>
        <v>1620.58</v>
      </c>
      <c r="AH37" s="46">
        <f t="shared" si="11"/>
        <v>1944.6959999999999</v>
      </c>
      <c r="AI37" s="24">
        <f t="shared" si="12"/>
        <v>1296.4639999999999</v>
      </c>
      <c r="AK37" s="24">
        <v>1586</v>
      </c>
      <c r="AL37" s="24">
        <v>1780</v>
      </c>
      <c r="AM37" s="24">
        <v>1850</v>
      </c>
      <c r="AN37" s="24"/>
      <c r="AO37" s="24">
        <v>2220</v>
      </c>
      <c r="AP37" s="24"/>
      <c r="AQ37" s="24">
        <v>2169</v>
      </c>
      <c r="AR37" s="24"/>
      <c r="AS37" s="24">
        <v>1395</v>
      </c>
      <c r="AU37" s="5">
        <f t="shared" si="13"/>
        <v>1833.3333333333333</v>
      </c>
      <c r="AW37" s="5">
        <f t="shared" si="14"/>
        <v>212.75333333333333</v>
      </c>
      <c r="AX37" s="5">
        <f t="shared" si="15"/>
        <v>851.01333333333332</v>
      </c>
    </row>
    <row r="38" spans="2:50" x14ac:dyDescent="0.25">
      <c r="B38" s="38" t="s">
        <v>114</v>
      </c>
      <c r="C38" s="38">
        <v>5</v>
      </c>
      <c r="D38" s="38">
        <v>20</v>
      </c>
      <c r="E38" s="38"/>
      <c r="F38" s="24">
        <f t="shared" si="16"/>
        <v>300</v>
      </c>
      <c r="G38" s="24">
        <f t="shared" si="17"/>
        <v>300</v>
      </c>
      <c r="H38" s="24">
        <v>0</v>
      </c>
      <c r="I38" s="24">
        <f t="shared" si="28"/>
        <v>2891</v>
      </c>
      <c r="J38" s="24">
        <f t="shared" si="29"/>
        <v>330.4</v>
      </c>
      <c r="K38" s="24">
        <f t="shared" si="30"/>
        <v>1770</v>
      </c>
      <c r="L38" s="18">
        <v>0</v>
      </c>
      <c r="M38" s="24">
        <f t="shared" si="3"/>
        <v>64.899999999999991</v>
      </c>
      <c r="N38" s="24">
        <f t="shared" si="4"/>
        <v>47.199999999999996</v>
      </c>
      <c r="O38" s="24">
        <f t="shared" si="5"/>
        <v>118</v>
      </c>
      <c r="P38" s="24">
        <v>26</v>
      </c>
      <c r="Q38" s="24">
        <v>32</v>
      </c>
      <c r="R38" s="24">
        <v>30</v>
      </c>
      <c r="S38" s="24">
        <v>26</v>
      </c>
      <c r="T38" s="24">
        <v>126</v>
      </c>
      <c r="U38" s="24">
        <v>30</v>
      </c>
      <c r="V38" s="24">
        <f t="shared" si="6"/>
        <v>20</v>
      </c>
      <c r="W38" s="24">
        <v>34</v>
      </c>
      <c r="X38" s="24">
        <f t="shared" si="7"/>
        <v>20</v>
      </c>
      <c r="Y38" s="24"/>
      <c r="Z38" s="24">
        <f t="shared" si="31"/>
        <v>91</v>
      </c>
      <c r="AA38" s="24">
        <v>140</v>
      </c>
      <c r="AB38" s="24">
        <v>70</v>
      </c>
      <c r="AC38" s="24">
        <v>1008</v>
      </c>
      <c r="AD38" s="24">
        <f t="shared" si="8"/>
        <v>250</v>
      </c>
      <c r="AE38" s="24">
        <v>277</v>
      </c>
      <c r="AF38" s="18">
        <f t="shared" si="26"/>
        <v>8001.4999999999991</v>
      </c>
      <c r="AG38" s="24">
        <f t="shared" si="10"/>
        <v>1600.2999999999997</v>
      </c>
      <c r="AH38" s="46">
        <f t="shared" si="11"/>
        <v>1920.3599999999997</v>
      </c>
      <c r="AI38" s="24">
        <f t="shared" si="12"/>
        <v>1600.2999999999997</v>
      </c>
      <c r="AK38" s="24">
        <v>1553</v>
      </c>
      <c r="AL38" s="24">
        <v>1710</v>
      </c>
      <c r="AM38" s="24">
        <v>1850</v>
      </c>
      <c r="AN38" s="24"/>
      <c r="AO38" s="24">
        <v>2185</v>
      </c>
      <c r="AP38" s="24"/>
      <c r="AQ38" s="24">
        <v>2169</v>
      </c>
      <c r="AR38" s="24"/>
      <c r="AS38" s="24">
        <v>1395</v>
      </c>
      <c r="AU38" s="5">
        <f t="shared" si="13"/>
        <v>1810.3333333333333</v>
      </c>
      <c r="AW38" s="5">
        <f t="shared" si="14"/>
        <v>210.03333333333353</v>
      </c>
      <c r="AX38" s="5">
        <f t="shared" si="15"/>
        <v>1050.1666666666677</v>
      </c>
    </row>
    <row r="39" spans="2:50" x14ac:dyDescent="0.25">
      <c r="B39" s="38"/>
      <c r="C39" s="38">
        <v>6</v>
      </c>
      <c r="D39" s="38">
        <v>23</v>
      </c>
      <c r="E39" s="38"/>
      <c r="F39" s="24">
        <f t="shared" si="16"/>
        <v>360</v>
      </c>
      <c r="G39" s="24">
        <f t="shared" si="17"/>
        <v>360</v>
      </c>
      <c r="H39" s="24">
        <v>0</v>
      </c>
      <c r="I39" s="24">
        <f t="shared" si="28"/>
        <v>3469.2</v>
      </c>
      <c r="J39" s="24">
        <f t="shared" si="29"/>
        <v>379.96</v>
      </c>
      <c r="K39" s="24">
        <f t="shared" si="30"/>
        <v>2124</v>
      </c>
      <c r="L39" s="18">
        <v>0</v>
      </c>
      <c r="M39" s="24">
        <f t="shared" si="3"/>
        <v>77.88</v>
      </c>
      <c r="N39" s="24">
        <f t="shared" si="4"/>
        <v>54.279999999999994</v>
      </c>
      <c r="O39" s="24">
        <f t="shared" si="5"/>
        <v>141.6</v>
      </c>
      <c r="P39" s="24">
        <v>26</v>
      </c>
      <c r="Q39" s="24">
        <v>38</v>
      </c>
      <c r="R39" s="24">
        <v>30</v>
      </c>
      <c r="S39" s="24">
        <v>26</v>
      </c>
      <c r="T39" s="24">
        <v>126</v>
      </c>
      <c r="U39" s="24">
        <v>30</v>
      </c>
      <c r="V39" s="24">
        <f t="shared" si="6"/>
        <v>24</v>
      </c>
      <c r="W39" s="24">
        <v>34</v>
      </c>
      <c r="X39" s="24">
        <f t="shared" si="7"/>
        <v>24</v>
      </c>
      <c r="Y39" s="24"/>
      <c r="Z39" s="24">
        <f t="shared" si="31"/>
        <v>91</v>
      </c>
      <c r="AA39" s="24">
        <v>140</v>
      </c>
      <c r="AB39" s="24">
        <v>70</v>
      </c>
      <c r="AC39" s="24">
        <v>1232</v>
      </c>
      <c r="AD39" s="24">
        <f t="shared" si="8"/>
        <v>300</v>
      </c>
      <c r="AE39" s="24">
        <v>284</v>
      </c>
      <c r="AF39" s="18">
        <f t="shared" si="26"/>
        <v>9441.92</v>
      </c>
      <c r="AG39" s="24">
        <f t="shared" si="10"/>
        <v>1573.6533333333334</v>
      </c>
      <c r="AH39" s="46">
        <f t="shared" si="11"/>
        <v>1888.384</v>
      </c>
      <c r="AI39" s="24">
        <f t="shared" si="12"/>
        <v>1888.3839999999996</v>
      </c>
      <c r="AK39" s="24">
        <v>1581</v>
      </c>
      <c r="AL39" s="24">
        <v>1710</v>
      </c>
      <c r="AM39" s="24">
        <v>1760</v>
      </c>
      <c r="AN39" s="24"/>
      <c r="AO39" s="24">
        <v>2160</v>
      </c>
      <c r="AP39" s="24"/>
      <c r="AQ39" s="24">
        <v>2169</v>
      </c>
      <c r="AR39" s="24"/>
      <c r="AS39" s="24">
        <v>1395</v>
      </c>
      <c r="AU39" s="5">
        <f t="shared" si="13"/>
        <v>1795.8333333333333</v>
      </c>
      <c r="AW39" s="5">
        <f t="shared" si="14"/>
        <v>222.17999999999984</v>
      </c>
      <c r="AX39" s="5">
        <f t="shared" si="15"/>
        <v>1333.079999999999</v>
      </c>
    </row>
    <row r="40" spans="2:50" x14ac:dyDescent="0.25">
      <c r="B40" s="38"/>
      <c r="C40" s="38">
        <v>7</v>
      </c>
      <c r="D40" s="38">
        <v>27</v>
      </c>
      <c r="E40" s="38"/>
      <c r="F40" s="24">
        <f t="shared" si="16"/>
        <v>420</v>
      </c>
      <c r="G40" s="24">
        <f t="shared" si="17"/>
        <v>420</v>
      </c>
      <c r="H40" s="24">
        <v>0</v>
      </c>
      <c r="I40" s="24">
        <f t="shared" si="28"/>
        <v>4047.3999999999996</v>
      </c>
      <c r="J40" s="24">
        <f t="shared" si="29"/>
        <v>446.03999999999996</v>
      </c>
      <c r="K40" s="24">
        <f t="shared" si="30"/>
        <v>2478</v>
      </c>
      <c r="L40" s="18">
        <v>0</v>
      </c>
      <c r="M40" s="24">
        <f t="shared" si="3"/>
        <v>90.86</v>
      </c>
      <c r="N40" s="24">
        <f t="shared" si="4"/>
        <v>63.72</v>
      </c>
      <c r="O40" s="24">
        <f t="shared" si="5"/>
        <v>165.2</v>
      </c>
      <c r="P40" s="24">
        <v>26</v>
      </c>
      <c r="Q40" s="24">
        <v>44</v>
      </c>
      <c r="R40" s="24">
        <v>30</v>
      </c>
      <c r="S40" s="24">
        <v>26</v>
      </c>
      <c r="T40" s="24">
        <v>168</v>
      </c>
      <c r="U40" s="24">
        <v>30</v>
      </c>
      <c r="V40" s="24">
        <f t="shared" si="6"/>
        <v>28</v>
      </c>
      <c r="W40" s="24">
        <v>34</v>
      </c>
      <c r="X40" s="24">
        <f t="shared" si="7"/>
        <v>28</v>
      </c>
      <c r="Y40" s="24"/>
      <c r="Z40" s="24">
        <f t="shared" si="31"/>
        <v>91</v>
      </c>
      <c r="AA40" s="24">
        <v>210</v>
      </c>
      <c r="AB40" s="24">
        <v>70</v>
      </c>
      <c r="AC40" s="24">
        <v>1456</v>
      </c>
      <c r="AD40" s="24">
        <f t="shared" si="8"/>
        <v>350</v>
      </c>
      <c r="AE40" s="24">
        <v>318</v>
      </c>
      <c r="AF40" s="18">
        <f t="shared" si="26"/>
        <v>11040.22</v>
      </c>
      <c r="AG40" s="24">
        <f t="shared" si="10"/>
        <v>1577.1742857142856</v>
      </c>
      <c r="AH40" s="46">
        <f t="shared" si="11"/>
        <v>1892.6091428571426</v>
      </c>
      <c r="AI40" s="24">
        <f t="shared" si="12"/>
        <v>2208.043999999999</v>
      </c>
      <c r="AK40" s="24">
        <v>1577</v>
      </c>
      <c r="AL40" s="24">
        <v>1710</v>
      </c>
      <c r="AM40" s="24">
        <v>1760</v>
      </c>
      <c r="AN40" s="24"/>
      <c r="AO40" s="24">
        <v>2140</v>
      </c>
      <c r="AP40" s="24"/>
      <c r="AQ40" s="24">
        <v>2169</v>
      </c>
      <c r="AR40" s="24"/>
      <c r="AS40" s="24">
        <v>1395</v>
      </c>
      <c r="AU40" s="5">
        <f t="shared" si="13"/>
        <v>1791.8333333333333</v>
      </c>
      <c r="AW40" s="5">
        <f t="shared" si="14"/>
        <v>214.65904761904767</v>
      </c>
      <c r="AX40" s="5">
        <f t="shared" si="15"/>
        <v>1502.6133333333337</v>
      </c>
    </row>
    <row r="41" spans="2:50" x14ac:dyDescent="0.25">
      <c r="B41" s="38"/>
      <c r="C41" s="38">
        <v>8</v>
      </c>
      <c r="D41" s="38">
        <v>30</v>
      </c>
      <c r="E41" s="38"/>
      <c r="F41" s="24">
        <f t="shared" si="16"/>
        <v>480</v>
      </c>
      <c r="G41" s="24">
        <f t="shared" si="17"/>
        <v>480</v>
      </c>
      <c r="H41" s="24">
        <v>0</v>
      </c>
      <c r="I41" s="24">
        <f t="shared" si="28"/>
        <v>4625.5999999999995</v>
      </c>
      <c r="J41" s="24">
        <f>2*D41*$B$35*1.18</f>
        <v>495.59999999999997</v>
      </c>
      <c r="K41" s="24">
        <f t="shared" si="30"/>
        <v>2832</v>
      </c>
      <c r="L41" s="18">
        <v>0</v>
      </c>
      <c r="M41" s="24">
        <f t="shared" si="3"/>
        <v>103.83999999999999</v>
      </c>
      <c r="N41" s="24">
        <f t="shared" si="4"/>
        <v>70.8</v>
      </c>
      <c r="O41" s="24">
        <f t="shared" si="5"/>
        <v>188.79999999999998</v>
      </c>
      <c r="P41" s="24">
        <v>52</v>
      </c>
      <c r="Q41" s="24">
        <v>50</v>
      </c>
      <c r="R41" s="24">
        <v>60</v>
      </c>
      <c r="S41" s="24">
        <v>26</v>
      </c>
      <c r="T41" s="24">
        <v>168</v>
      </c>
      <c r="U41" s="24">
        <v>30</v>
      </c>
      <c r="V41" s="24">
        <f t="shared" si="6"/>
        <v>32</v>
      </c>
      <c r="W41" s="24">
        <v>34</v>
      </c>
      <c r="X41" s="24">
        <f t="shared" si="7"/>
        <v>32</v>
      </c>
      <c r="Y41" s="24"/>
      <c r="Z41" s="24">
        <f t="shared" si="31"/>
        <v>91</v>
      </c>
      <c r="AA41" s="24">
        <v>210</v>
      </c>
      <c r="AB41" s="24">
        <v>70</v>
      </c>
      <c r="AC41" s="24">
        <v>1680</v>
      </c>
      <c r="AD41" s="24">
        <f t="shared" si="8"/>
        <v>400</v>
      </c>
      <c r="AE41" s="24">
        <v>282</v>
      </c>
      <c r="AF41" s="18">
        <f t="shared" si="26"/>
        <v>12493.64</v>
      </c>
      <c r="AG41" s="24">
        <f t="shared" si="10"/>
        <v>1561.7049999999999</v>
      </c>
      <c r="AH41" s="46">
        <f t="shared" si="11"/>
        <v>1874.0459999999998</v>
      </c>
      <c r="AI41" s="24">
        <f t="shared" si="12"/>
        <v>2498.7279999999992</v>
      </c>
      <c r="AK41" s="24">
        <v>1576</v>
      </c>
      <c r="AL41" s="24">
        <v>1710</v>
      </c>
      <c r="AM41" s="24">
        <v>1760</v>
      </c>
      <c r="AN41" s="24"/>
      <c r="AO41" s="24">
        <v>2120</v>
      </c>
      <c r="AP41" s="24"/>
      <c r="AQ41" s="24">
        <v>2169</v>
      </c>
      <c r="AR41" s="24"/>
      <c r="AS41" s="24">
        <v>1395</v>
      </c>
      <c r="AU41" s="5">
        <f t="shared" si="13"/>
        <v>1788.3333333333333</v>
      </c>
      <c r="AW41" s="5">
        <f t="shared" si="14"/>
        <v>226.62833333333333</v>
      </c>
      <c r="AX41" s="5">
        <f t="shared" si="15"/>
        <v>1813.0266666666666</v>
      </c>
    </row>
    <row r="42" spans="2:50" x14ac:dyDescent="0.25">
      <c r="B42" s="38"/>
      <c r="C42" s="38">
        <v>9</v>
      </c>
      <c r="D42" s="38">
        <v>35</v>
      </c>
      <c r="E42" s="38"/>
      <c r="F42" s="24">
        <f t="shared" si="16"/>
        <v>540</v>
      </c>
      <c r="G42" s="24">
        <f t="shared" si="17"/>
        <v>540</v>
      </c>
      <c r="H42" s="24">
        <v>0</v>
      </c>
      <c r="I42" s="24">
        <f t="shared" si="28"/>
        <v>5203.7999999999993</v>
      </c>
      <c r="J42" s="24">
        <f t="shared" si="29"/>
        <v>578.19999999999993</v>
      </c>
      <c r="K42" s="24">
        <f t="shared" si="30"/>
        <v>3186</v>
      </c>
      <c r="L42" s="18">
        <v>0</v>
      </c>
      <c r="M42" s="24">
        <f t="shared" si="3"/>
        <v>116.82</v>
      </c>
      <c r="N42" s="24">
        <f t="shared" si="4"/>
        <v>82.6</v>
      </c>
      <c r="O42" s="24">
        <f t="shared" si="5"/>
        <v>212.39999999999998</v>
      </c>
      <c r="P42" s="24">
        <v>52</v>
      </c>
      <c r="Q42" s="24">
        <v>56</v>
      </c>
      <c r="R42" s="24">
        <v>60</v>
      </c>
      <c r="S42" s="24">
        <v>26</v>
      </c>
      <c r="T42" s="24">
        <v>210</v>
      </c>
      <c r="U42" s="24">
        <v>30</v>
      </c>
      <c r="V42" s="24">
        <f t="shared" si="6"/>
        <v>36</v>
      </c>
      <c r="W42" s="24">
        <v>34</v>
      </c>
      <c r="X42" s="24">
        <f t="shared" si="7"/>
        <v>36</v>
      </c>
      <c r="Y42" s="24"/>
      <c r="Z42" s="24">
        <f t="shared" si="31"/>
        <v>91</v>
      </c>
      <c r="AA42" s="24">
        <v>280</v>
      </c>
      <c r="AB42" s="24">
        <v>70</v>
      </c>
      <c r="AC42" s="24">
        <v>1904</v>
      </c>
      <c r="AD42" s="24">
        <f t="shared" si="8"/>
        <v>450</v>
      </c>
      <c r="AE42" s="18">
        <v>384</v>
      </c>
      <c r="AF42" s="18">
        <f t="shared" si="26"/>
        <v>14178.82</v>
      </c>
      <c r="AG42" s="24">
        <f t="shared" si="10"/>
        <v>1575.4244444444444</v>
      </c>
      <c r="AH42" s="46">
        <f t="shared" si="11"/>
        <v>1890.5093333333332</v>
      </c>
      <c r="AI42" s="24">
        <f t="shared" si="12"/>
        <v>2835.7639999999992</v>
      </c>
      <c r="AK42" s="24">
        <v>1567</v>
      </c>
      <c r="AL42" s="24">
        <v>1710</v>
      </c>
      <c r="AM42" s="24">
        <v>1760</v>
      </c>
      <c r="AN42" s="24"/>
      <c r="AO42" s="24">
        <v>2100</v>
      </c>
      <c r="AP42" s="24"/>
      <c r="AQ42" s="24">
        <v>2169</v>
      </c>
      <c r="AR42" s="24"/>
      <c r="AS42" s="24">
        <v>1395</v>
      </c>
      <c r="AU42" s="5">
        <f t="shared" si="13"/>
        <v>1783.5</v>
      </c>
      <c r="AW42" s="5">
        <f t="shared" si="14"/>
        <v>208.07555555555564</v>
      </c>
      <c r="AX42" s="5">
        <f t="shared" si="15"/>
        <v>1872.6800000000007</v>
      </c>
    </row>
    <row r="43" spans="2:50" x14ac:dyDescent="0.25">
      <c r="B43" s="38"/>
      <c r="C43" s="38">
        <v>10</v>
      </c>
      <c r="D43" s="38">
        <v>39</v>
      </c>
      <c r="E43" s="38"/>
      <c r="F43" s="24">
        <f t="shared" si="16"/>
        <v>600</v>
      </c>
      <c r="G43" s="24">
        <f t="shared" si="17"/>
        <v>600</v>
      </c>
      <c r="H43" s="24">
        <v>0</v>
      </c>
      <c r="I43" s="24">
        <f t="shared" si="28"/>
        <v>5782</v>
      </c>
      <c r="J43" s="24">
        <f t="shared" si="29"/>
        <v>644.28</v>
      </c>
      <c r="K43" s="24">
        <f t="shared" si="30"/>
        <v>3540</v>
      </c>
      <c r="L43" s="18">
        <v>0</v>
      </c>
      <c r="M43" s="24">
        <f t="shared" si="3"/>
        <v>129.79999999999998</v>
      </c>
      <c r="N43" s="24">
        <f t="shared" si="4"/>
        <v>92.039999999999992</v>
      </c>
      <c r="O43" s="24">
        <f t="shared" si="5"/>
        <v>236</v>
      </c>
      <c r="P43" s="24">
        <v>52</v>
      </c>
      <c r="Q43" s="24">
        <v>62</v>
      </c>
      <c r="R43" s="24">
        <v>60</v>
      </c>
      <c r="S43" s="24">
        <v>26</v>
      </c>
      <c r="T43" s="24">
        <v>210</v>
      </c>
      <c r="U43" s="24">
        <v>30</v>
      </c>
      <c r="V43" s="24">
        <f t="shared" si="6"/>
        <v>40</v>
      </c>
      <c r="W43" s="24">
        <v>34</v>
      </c>
      <c r="X43" s="24">
        <f t="shared" si="7"/>
        <v>40</v>
      </c>
      <c r="Y43" s="24"/>
      <c r="Z43" s="24">
        <f t="shared" si="31"/>
        <v>91</v>
      </c>
      <c r="AA43" s="24">
        <v>280</v>
      </c>
      <c r="AB43" s="24">
        <v>70</v>
      </c>
      <c r="AC43" s="24">
        <v>2128</v>
      </c>
      <c r="AD43" s="24">
        <f t="shared" si="8"/>
        <v>500</v>
      </c>
      <c r="AE43" s="18">
        <v>433</v>
      </c>
      <c r="AF43" s="18">
        <f t="shared" si="26"/>
        <v>15680.119999999999</v>
      </c>
      <c r="AG43" s="24">
        <f t="shared" si="10"/>
        <v>1568.0119999999999</v>
      </c>
      <c r="AH43" s="46">
        <f t="shared" si="11"/>
        <v>1881.6143999999999</v>
      </c>
      <c r="AI43" s="24">
        <f t="shared" si="12"/>
        <v>3136.0239999999999</v>
      </c>
      <c r="AK43" s="24">
        <v>1565</v>
      </c>
      <c r="AL43" s="24">
        <v>1710</v>
      </c>
      <c r="AM43" s="24">
        <v>1760</v>
      </c>
      <c r="AN43" s="24"/>
      <c r="AO43" s="24">
        <v>2070</v>
      </c>
      <c r="AP43" s="24"/>
      <c r="AQ43" s="24">
        <v>2169</v>
      </c>
      <c r="AR43" s="24"/>
      <c r="AS43" s="24">
        <v>1395</v>
      </c>
      <c r="AU43" s="5">
        <f t="shared" si="13"/>
        <v>1778.1666666666667</v>
      </c>
      <c r="AW43" s="5">
        <f t="shared" si="14"/>
        <v>210.1546666666668</v>
      </c>
      <c r="AX43" s="5">
        <f t="shared" si="15"/>
        <v>2101.546666666668</v>
      </c>
    </row>
    <row r="44" spans="2:50" x14ac:dyDescent="0.25">
      <c r="B44" s="38" t="s">
        <v>6</v>
      </c>
      <c r="C44" s="38">
        <v>1</v>
      </c>
      <c r="D44" s="38">
        <v>7</v>
      </c>
      <c r="E44" s="38" t="s">
        <v>139</v>
      </c>
      <c r="F44" s="24">
        <f t="shared" si="16"/>
        <v>60</v>
      </c>
      <c r="G44" s="24">
        <f t="shared" si="17"/>
        <v>60</v>
      </c>
      <c r="H44" s="18">
        <v>100</v>
      </c>
      <c r="I44" s="24">
        <f>70*C44*$B$45*1.18</f>
        <v>578.19999999999993</v>
      </c>
      <c r="J44" s="24">
        <f>2*D44*$B$45*1.18</f>
        <v>115.64</v>
      </c>
      <c r="K44" s="24">
        <f>50*C44*$B$47*1.18</f>
        <v>354</v>
      </c>
      <c r="L44" s="18">
        <v>0</v>
      </c>
      <c r="M44" s="24">
        <f t="shared" si="3"/>
        <v>12.979999999999999</v>
      </c>
      <c r="N44" s="24">
        <f t="shared" si="4"/>
        <v>16.52</v>
      </c>
      <c r="O44" s="24">
        <f t="shared" si="5"/>
        <v>23.599999999999998</v>
      </c>
      <c r="P44" s="24">
        <v>26</v>
      </c>
      <c r="Q44" s="24">
        <v>8</v>
      </c>
      <c r="R44" s="24">
        <v>30</v>
      </c>
      <c r="S44" s="24">
        <v>26</v>
      </c>
      <c r="T44" s="24">
        <v>42</v>
      </c>
      <c r="U44" s="24">
        <v>30</v>
      </c>
      <c r="V44" s="24">
        <f t="shared" si="6"/>
        <v>4</v>
      </c>
      <c r="W44" s="24">
        <v>17</v>
      </c>
      <c r="X44" s="24">
        <f t="shared" si="7"/>
        <v>4</v>
      </c>
      <c r="Y44" s="24"/>
      <c r="Z44" s="24">
        <f>13*$B$45</f>
        <v>91</v>
      </c>
      <c r="AA44" s="24">
        <v>0</v>
      </c>
      <c r="AB44" s="24">
        <v>70</v>
      </c>
      <c r="AC44" s="24">
        <v>217</v>
      </c>
      <c r="AD44" s="24">
        <f t="shared" si="8"/>
        <v>50</v>
      </c>
      <c r="AE44" s="24">
        <v>160</v>
      </c>
      <c r="AF44" s="18">
        <f t="shared" si="26"/>
        <v>2095.9399999999996</v>
      </c>
      <c r="AG44" s="24">
        <f t="shared" si="10"/>
        <v>2095.9399999999996</v>
      </c>
      <c r="AH44" s="45">
        <f t="shared" si="11"/>
        <v>2515.1279999999992</v>
      </c>
      <c r="AI44" s="24">
        <f t="shared" si="12"/>
        <v>419.18799999999965</v>
      </c>
      <c r="AK44" s="18"/>
      <c r="AL44" s="18">
        <v>2045</v>
      </c>
      <c r="AM44" s="24">
        <v>2300</v>
      </c>
      <c r="AN44" s="18">
        <v>2050</v>
      </c>
      <c r="AO44" s="38"/>
      <c r="AP44" s="38"/>
      <c r="AQ44" s="38"/>
      <c r="AR44" s="38"/>
      <c r="AS44" s="24">
        <v>1520</v>
      </c>
      <c r="AU44" s="5">
        <f t="shared" si="13"/>
        <v>1978.75</v>
      </c>
      <c r="AW44" s="5">
        <f t="shared" si="14"/>
        <v>-117.1899999999996</v>
      </c>
      <c r="AX44" s="5">
        <f t="shared" si="15"/>
        <v>-117.1899999999996</v>
      </c>
    </row>
    <row r="45" spans="2:50" x14ac:dyDescent="0.25">
      <c r="B45" s="38">
        <v>7</v>
      </c>
      <c r="C45" s="38">
        <v>2</v>
      </c>
      <c r="D45" s="38">
        <v>11</v>
      </c>
      <c r="E45" s="38" t="s">
        <v>140</v>
      </c>
      <c r="F45" s="24">
        <f t="shared" si="16"/>
        <v>120</v>
      </c>
      <c r="G45" s="24">
        <f t="shared" si="17"/>
        <v>120</v>
      </c>
      <c r="H45" s="24">
        <v>100</v>
      </c>
      <c r="I45" s="24">
        <f t="shared" ref="I45:I53" si="32">70*C45*$B$45*1.18</f>
        <v>1156.3999999999999</v>
      </c>
      <c r="J45" s="24">
        <f t="shared" ref="J45:J53" si="33">2*D45*$B$45*1.18</f>
        <v>181.72</v>
      </c>
      <c r="K45" s="24">
        <f t="shared" ref="K45:K53" si="34">50*C45*$B$47*1.18</f>
        <v>708</v>
      </c>
      <c r="L45" s="18">
        <v>0</v>
      </c>
      <c r="M45" s="24">
        <f t="shared" si="3"/>
        <v>25.959999999999997</v>
      </c>
      <c r="N45" s="24">
        <f t="shared" si="4"/>
        <v>25.959999999999997</v>
      </c>
      <c r="O45" s="24">
        <f t="shared" si="5"/>
        <v>47.199999999999996</v>
      </c>
      <c r="P45" s="24">
        <v>26</v>
      </c>
      <c r="Q45" s="24">
        <v>14</v>
      </c>
      <c r="R45" s="24">
        <v>30</v>
      </c>
      <c r="S45" s="24">
        <v>26</v>
      </c>
      <c r="T45" s="24">
        <v>42</v>
      </c>
      <c r="U45" s="24">
        <v>30</v>
      </c>
      <c r="V45" s="24">
        <f t="shared" si="6"/>
        <v>8</v>
      </c>
      <c r="W45" s="24">
        <v>17</v>
      </c>
      <c r="X45" s="24">
        <f t="shared" si="7"/>
        <v>8</v>
      </c>
      <c r="Y45" s="24"/>
      <c r="Z45" s="24">
        <f t="shared" ref="Z45:Z53" si="35">13*$B$45</f>
        <v>91</v>
      </c>
      <c r="AA45" s="24">
        <v>70</v>
      </c>
      <c r="AB45" s="24">
        <v>70</v>
      </c>
      <c r="AC45" s="24">
        <v>448</v>
      </c>
      <c r="AD45" s="24">
        <f t="shared" si="8"/>
        <v>100</v>
      </c>
      <c r="AE45" s="24">
        <v>185</v>
      </c>
      <c r="AF45" s="18">
        <f t="shared" si="26"/>
        <v>3650.24</v>
      </c>
      <c r="AG45" s="24">
        <f t="shared" si="10"/>
        <v>1825.12</v>
      </c>
      <c r="AH45" s="46">
        <f t="shared" si="11"/>
        <v>2190.1439999999998</v>
      </c>
      <c r="AI45" s="24">
        <f t="shared" si="12"/>
        <v>730.04799999999977</v>
      </c>
      <c r="AK45" s="24"/>
      <c r="AL45" s="18">
        <v>2045</v>
      </c>
      <c r="AM45" s="24">
        <v>1900</v>
      </c>
      <c r="AN45" s="24">
        <v>1950</v>
      </c>
      <c r="AO45" s="38"/>
      <c r="AP45" s="38"/>
      <c r="AQ45" s="38"/>
      <c r="AR45" s="38"/>
      <c r="AS45" s="24">
        <v>1520</v>
      </c>
      <c r="AU45" s="5">
        <f t="shared" si="13"/>
        <v>1853.75</v>
      </c>
      <c r="AW45" s="5">
        <f t="shared" si="14"/>
        <v>28.630000000000109</v>
      </c>
      <c r="AX45" s="5">
        <f t="shared" si="15"/>
        <v>57.260000000000218</v>
      </c>
    </row>
    <row r="46" spans="2:50" x14ac:dyDescent="0.25">
      <c r="B46" s="38" t="s">
        <v>113</v>
      </c>
      <c r="C46" s="38">
        <v>3</v>
      </c>
      <c r="D46" s="38">
        <v>13</v>
      </c>
      <c r="E46" s="38" t="s">
        <v>140</v>
      </c>
      <c r="F46" s="24">
        <f t="shared" si="16"/>
        <v>180</v>
      </c>
      <c r="G46" s="24">
        <f t="shared" si="17"/>
        <v>180</v>
      </c>
      <c r="H46" s="24">
        <v>100</v>
      </c>
      <c r="I46" s="24">
        <f t="shared" si="32"/>
        <v>1734.6</v>
      </c>
      <c r="J46" s="24">
        <f t="shared" si="33"/>
        <v>214.76</v>
      </c>
      <c r="K46" s="24">
        <f t="shared" si="34"/>
        <v>1062</v>
      </c>
      <c r="L46" s="18">
        <v>0</v>
      </c>
      <c r="M46" s="24">
        <f t="shared" si="3"/>
        <v>38.94</v>
      </c>
      <c r="N46" s="24">
        <f t="shared" si="4"/>
        <v>30.68</v>
      </c>
      <c r="O46" s="24">
        <f t="shared" si="5"/>
        <v>70.8</v>
      </c>
      <c r="P46" s="24">
        <v>26</v>
      </c>
      <c r="Q46" s="24">
        <v>20</v>
      </c>
      <c r="R46" s="24">
        <v>30</v>
      </c>
      <c r="S46" s="24">
        <v>26</v>
      </c>
      <c r="T46" s="24">
        <v>84</v>
      </c>
      <c r="U46" s="24">
        <v>30</v>
      </c>
      <c r="V46" s="24">
        <f t="shared" si="6"/>
        <v>12</v>
      </c>
      <c r="W46" s="24">
        <v>17</v>
      </c>
      <c r="X46" s="24">
        <f t="shared" si="7"/>
        <v>12</v>
      </c>
      <c r="Y46" s="24"/>
      <c r="Z46" s="24">
        <f t="shared" si="35"/>
        <v>91</v>
      </c>
      <c r="AA46" s="24">
        <v>70</v>
      </c>
      <c r="AB46" s="24">
        <v>70</v>
      </c>
      <c r="AC46" s="24">
        <v>672</v>
      </c>
      <c r="AD46" s="24">
        <f t="shared" si="8"/>
        <v>150</v>
      </c>
      <c r="AE46" s="24">
        <v>206</v>
      </c>
      <c r="AF46" s="18">
        <f t="shared" si="26"/>
        <v>5127.78</v>
      </c>
      <c r="AG46" s="24">
        <f t="shared" si="10"/>
        <v>1709.26</v>
      </c>
      <c r="AH46" s="46">
        <f t="shared" si="11"/>
        <v>2051.1120000000001</v>
      </c>
      <c r="AI46" s="24">
        <f t="shared" si="12"/>
        <v>1025.5560000000003</v>
      </c>
      <c r="AK46" s="24"/>
      <c r="AL46" s="18">
        <v>2045</v>
      </c>
      <c r="AM46" s="24">
        <v>1900</v>
      </c>
      <c r="AN46" s="24">
        <v>1950</v>
      </c>
      <c r="AO46" s="38"/>
      <c r="AP46" s="38"/>
      <c r="AQ46" s="38"/>
      <c r="AR46" s="38"/>
      <c r="AS46" s="24">
        <v>1520</v>
      </c>
      <c r="AU46" s="5">
        <f t="shared" si="13"/>
        <v>1853.75</v>
      </c>
      <c r="AW46" s="5">
        <f t="shared" si="14"/>
        <v>144.49</v>
      </c>
      <c r="AX46" s="5">
        <f t="shared" si="15"/>
        <v>433.47</v>
      </c>
    </row>
    <row r="47" spans="2:50" x14ac:dyDescent="0.25">
      <c r="B47" s="38">
        <v>6</v>
      </c>
      <c r="C47" s="38">
        <v>4</v>
      </c>
      <c r="D47" s="38">
        <v>15</v>
      </c>
      <c r="E47" s="38" t="s">
        <v>141</v>
      </c>
      <c r="F47" s="24">
        <f t="shared" si="16"/>
        <v>240</v>
      </c>
      <c r="G47" s="24">
        <f t="shared" si="17"/>
        <v>240</v>
      </c>
      <c r="H47" s="24">
        <v>150</v>
      </c>
      <c r="I47" s="24">
        <f t="shared" si="32"/>
        <v>2312.7999999999997</v>
      </c>
      <c r="J47" s="24">
        <f t="shared" si="33"/>
        <v>247.79999999999998</v>
      </c>
      <c r="K47" s="24">
        <f t="shared" si="34"/>
        <v>1416</v>
      </c>
      <c r="L47" s="18">
        <v>0</v>
      </c>
      <c r="M47" s="24">
        <f t="shared" si="3"/>
        <v>51.919999999999995</v>
      </c>
      <c r="N47" s="24">
        <f t="shared" si="4"/>
        <v>35.4</v>
      </c>
      <c r="O47" s="24">
        <f t="shared" si="5"/>
        <v>94.399999999999991</v>
      </c>
      <c r="P47" s="24">
        <v>26</v>
      </c>
      <c r="Q47" s="24">
        <v>26</v>
      </c>
      <c r="R47" s="24">
        <v>30</v>
      </c>
      <c r="S47" s="24">
        <v>26</v>
      </c>
      <c r="T47" s="24">
        <v>84</v>
      </c>
      <c r="U47" s="24">
        <v>30</v>
      </c>
      <c r="V47" s="24">
        <f t="shared" si="6"/>
        <v>16</v>
      </c>
      <c r="W47" s="24">
        <v>17</v>
      </c>
      <c r="X47" s="24">
        <f t="shared" si="7"/>
        <v>16</v>
      </c>
      <c r="Y47" s="24"/>
      <c r="Z47" s="24">
        <f t="shared" si="35"/>
        <v>91</v>
      </c>
      <c r="AA47" s="24">
        <v>70</v>
      </c>
      <c r="AB47" s="24">
        <v>70</v>
      </c>
      <c r="AC47" s="24">
        <v>896</v>
      </c>
      <c r="AD47" s="24">
        <f t="shared" si="8"/>
        <v>200</v>
      </c>
      <c r="AE47" s="24">
        <v>246</v>
      </c>
      <c r="AF47" s="18">
        <f t="shared" si="26"/>
        <v>6632.32</v>
      </c>
      <c r="AG47" s="24">
        <f t="shared" si="10"/>
        <v>1658.08</v>
      </c>
      <c r="AH47" s="46">
        <f t="shared" si="11"/>
        <v>1989.6959999999999</v>
      </c>
      <c r="AI47" s="24">
        <f t="shared" si="12"/>
        <v>1326.4639999999999</v>
      </c>
      <c r="AK47" s="24"/>
      <c r="AL47" s="18">
        <v>2045</v>
      </c>
      <c r="AM47" s="24">
        <v>1900</v>
      </c>
      <c r="AN47" s="24">
        <v>1950</v>
      </c>
      <c r="AO47" s="38"/>
      <c r="AP47" s="38"/>
      <c r="AQ47" s="38"/>
      <c r="AR47" s="38"/>
      <c r="AS47" s="24">
        <v>1520</v>
      </c>
      <c r="AU47" s="5">
        <f t="shared" si="13"/>
        <v>1853.75</v>
      </c>
      <c r="AW47" s="5">
        <f t="shared" si="14"/>
        <v>195.67000000000007</v>
      </c>
      <c r="AX47" s="5">
        <f t="shared" si="15"/>
        <v>782.68000000000029</v>
      </c>
    </row>
    <row r="48" spans="2:50" x14ac:dyDescent="0.25">
      <c r="B48" s="38" t="s">
        <v>114</v>
      </c>
      <c r="C48" s="38">
        <v>5</v>
      </c>
      <c r="D48" s="38">
        <v>20</v>
      </c>
      <c r="E48" s="38" t="s">
        <v>141</v>
      </c>
      <c r="F48" s="24">
        <f t="shared" si="16"/>
        <v>300</v>
      </c>
      <c r="G48" s="24">
        <f t="shared" si="17"/>
        <v>300</v>
      </c>
      <c r="H48" s="24">
        <v>150</v>
      </c>
      <c r="I48" s="24">
        <f>70*C48*$B$45*1.18</f>
        <v>2891</v>
      </c>
      <c r="J48" s="24">
        <f t="shared" si="33"/>
        <v>330.4</v>
      </c>
      <c r="K48" s="24">
        <f t="shared" si="34"/>
        <v>1770</v>
      </c>
      <c r="L48" s="18">
        <v>0</v>
      </c>
      <c r="M48" s="24">
        <f t="shared" si="3"/>
        <v>64.899999999999991</v>
      </c>
      <c r="N48" s="24">
        <f t="shared" si="4"/>
        <v>47.199999999999996</v>
      </c>
      <c r="O48" s="24">
        <f t="shared" si="5"/>
        <v>118</v>
      </c>
      <c r="P48" s="24">
        <v>26</v>
      </c>
      <c r="Q48" s="24">
        <v>32</v>
      </c>
      <c r="R48" s="24">
        <v>30</v>
      </c>
      <c r="S48" s="24">
        <v>26</v>
      </c>
      <c r="T48" s="24">
        <v>126</v>
      </c>
      <c r="U48" s="24">
        <v>30</v>
      </c>
      <c r="V48" s="24">
        <f t="shared" si="6"/>
        <v>20</v>
      </c>
      <c r="W48" s="24">
        <v>34</v>
      </c>
      <c r="X48" s="24">
        <f t="shared" si="7"/>
        <v>20</v>
      </c>
      <c r="Y48" s="24"/>
      <c r="Z48" s="24">
        <f t="shared" si="35"/>
        <v>91</v>
      </c>
      <c r="AA48" s="24">
        <v>140</v>
      </c>
      <c r="AB48" s="24">
        <v>70</v>
      </c>
      <c r="AC48" s="24">
        <v>1008</v>
      </c>
      <c r="AD48" s="24">
        <f t="shared" si="8"/>
        <v>250</v>
      </c>
      <c r="AE48" s="24">
        <v>277</v>
      </c>
      <c r="AF48" s="18">
        <f t="shared" si="26"/>
        <v>8151.4999999999991</v>
      </c>
      <c r="AG48" s="24">
        <f t="shared" si="10"/>
        <v>1630.2999999999997</v>
      </c>
      <c r="AH48" s="46">
        <f t="shared" si="11"/>
        <v>1956.3599999999997</v>
      </c>
      <c r="AI48" s="24">
        <f t="shared" si="12"/>
        <v>1630.2999999999997</v>
      </c>
      <c r="AK48" s="24"/>
      <c r="AL48" s="18">
        <v>2045</v>
      </c>
      <c r="AM48" s="24">
        <v>1900</v>
      </c>
      <c r="AN48" s="24">
        <v>1900</v>
      </c>
      <c r="AO48" s="38"/>
      <c r="AP48" s="38"/>
      <c r="AQ48" s="38"/>
      <c r="AR48" s="38"/>
      <c r="AS48" s="24">
        <v>1520</v>
      </c>
      <c r="AU48" s="5">
        <f t="shared" si="13"/>
        <v>1841.25</v>
      </c>
      <c r="AW48" s="5">
        <f t="shared" si="14"/>
        <v>210.95000000000027</v>
      </c>
      <c r="AX48" s="5">
        <f t="shared" si="15"/>
        <v>1054.7500000000014</v>
      </c>
    </row>
    <row r="49" spans="2:52" x14ac:dyDescent="0.25">
      <c r="B49" s="38"/>
      <c r="C49" s="38">
        <v>6</v>
      </c>
      <c r="D49" s="38">
        <v>23</v>
      </c>
      <c r="E49" s="38" t="s">
        <v>141</v>
      </c>
      <c r="F49" s="24">
        <f t="shared" si="16"/>
        <v>360</v>
      </c>
      <c r="G49" s="24">
        <f t="shared" si="17"/>
        <v>360</v>
      </c>
      <c r="H49" s="24">
        <v>150</v>
      </c>
      <c r="I49" s="24">
        <f t="shared" si="32"/>
        <v>3469.2</v>
      </c>
      <c r="J49" s="24">
        <f t="shared" si="33"/>
        <v>379.96</v>
      </c>
      <c r="K49" s="24">
        <f t="shared" si="34"/>
        <v>2124</v>
      </c>
      <c r="L49" s="18">
        <v>0</v>
      </c>
      <c r="M49" s="24">
        <f t="shared" si="3"/>
        <v>77.88</v>
      </c>
      <c r="N49" s="24">
        <f t="shared" si="4"/>
        <v>54.279999999999994</v>
      </c>
      <c r="O49" s="24">
        <f t="shared" si="5"/>
        <v>141.6</v>
      </c>
      <c r="P49" s="24">
        <v>26</v>
      </c>
      <c r="Q49" s="24">
        <v>38</v>
      </c>
      <c r="R49" s="24">
        <v>30</v>
      </c>
      <c r="S49" s="24">
        <v>26</v>
      </c>
      <c r="T49" s="24">
        <v>126</v>
      </c>
      <c r="U49" s="24">
        <v>30</v>
      </c>
      <c r="V49" s="24">
        <f t="shared" si="6"/>
        <v>24</v>
      </c>
      <c r="W49" s="24">
        <v>34</v>
      </c>
      <c r="X49" s="24">
        <f t="shared" si="7"/>
        <v>24</v>
      </c>
      <c r="Y49" s="24"/>
      <c r="Z49" s="24">
        <f t="shared" si="35"/>
        <v>91</v>
      </c>
      <c r="AA49" s="24">
        <v>140</v>
      </c>
      <c r="AB49" s="24">
        <v>70</v>
      </c>
      <c r="AC49" s="24">
        <v>1232</v>
      </c>
      <c r="AD49" s="24">
        <f t="shared" si="8"/>
        <v>300</v>
      </c>
      <c r="AE49" s="24">
        <v>284</v>
      </c>
      <c r="AF49" s="18">
        <f t="shared" si="26"/>
        <v>9591.92</v>
      </c>
      <c r="AG49" s="24">
        <f t="shared" si="10"/>
        <v>1598.6533333333334</v>
      </c>
      <c r="AH49" s="46">
        <f t="shared" si="11"/>
        <v>1918.384</v>
      </c>
      <c r="AI49" s="24">
        <f t="shared" si="12"/>
        <v>1918.3839999999996</v>
      </c>
      <c r="AK49" s="24"/>
      <c r="AL49" s="18">
        <v>2045</v>
      </c>
      <c r="AM49" s="24">
        <v>1850</v>
      </c>
      <c r="AN49" s="24">
        <v>1900</v>
      </c>
      <c r="AO49" s="38"/>
      <c r="AP49" s="38"/>
      <c r="AQ49" s="38"/>
      <c r="AR49" s="38"/>
      <c r="AS49" s="24">
        <v>1520</v>
      </c>
      <c r="AU49" s="5">
        <f t="shared" si="13"/>
        <v>1828.75</v>
      </c>
      <c r="AW49" s="5">
        <f t="shared" si="14"/>
        <v>230.09666666666658</v>
      </c>
      <c r="AX49" s="5">
        <f t="shared" si="15"/>
        <v>1380.5799999999995</v>
      </c>
    </row>
    <row r="50" spans="2:52" x14ac:dyDescent="0.25">
      <c r="B50" s="38"/>
      <c r="C50" s="38">
        <v>7</v>
      </c>
      <c r="D50" s="38">
        <v>27</v>
      </c>
      <c r="E50" s="42" t="s">
        <v>142</v>
      </c>
      <c r="F50" s="24">
        <f t="shared" si="16"/>
        <v>420</v>
      </c>
      <c r="G50" s="24">
        <f t="shared" si="17"/>
        <v>420</v>
      </c>
      <c r="H50" s="24">
        <v>250</v>
      </c>
      <c r="I50" s="24">
        <f t="shared" si="32"/>
        <v>4047.3999999999996</v>
      </c>
      <c r="J50" s="24">
        <f t="shared" si="33"/>
        <v>446.03999999999996</v>
      </c>
      <c r="K50" s="24">
        <f t="shared" si="34"/>
        <v>2478</v>
      </c>
      <c r="L50" s="18">
        <v>0</v>
      </c>
      <c r="M50" s="24">
        <f t="shared" si="3"/>
        <v>90.86</v>
      </c>
      <c r="N50" s="24">
        <f t="shared" si="4"/>
        <v>63.72</v>
      </c>
      <c r="O50" s="24">
        <f t="shared" si="5"/>
        <v>165.2</v>
      </c>
      <c r="P50" s="24">
        <v>26</v>
      </c>
      <c r="Q50" s="24">
        <v>44</v>
      </c>
      <c r="R50" s="24">
        <v>30</v>
      </c>
      <c r="S50" s="24">
        <v>26</v>
      </c>
      <c r="T50" s="24">
        <v>168</v>
      </c>
      <c r="U50" s="24">
        <v>30</v>
      </c>
      <c r="V50" s="24">
        <f t="shared" si="6"/>
        <v>28</v>
      </c>
      <c r="W50" s="24">
        <v>34</v>
      </c>
      <c r="X50" s="24">
        <f t="shared" si="7"/>
        <v>28</v>
      </c>
      <c r="Y50" s="24"/>
      <c r="Z50" s="24">
        <f t="shared" si="35"/>
        <v>91</v>
      </c>
      <c r="AA50" s="24">
        <v>210</v>
      </c>
      <c r="AB50" s="24">
        <v>70</v>
      </c>
      <c r="AC50" s="24">
        <v>1456</v>
      </c>
      <c r="AD50" s="24">
        <f t="shared" si="8"/>
        <v>350</v>
      </c>
      <c r="AE50" s="24">
        <v>318</v>
      </c>
      <c r="AF50" s="18">
        <f t="shared" si="26"/>
        <v>11290.22</v>
      </c>
      <c r="AG50" s="24">
        <f t="shared" si="10"/>
        <v>1612.8885714285714</v>
      </c>
      <c r="AH50" s="47">
        <f t="shared" si="11"/>
        <v>1935.4662857142855</v>
      </c>
      <c r="AI50" s="24">
        <f t="shared" si="12"/>
        <v>2258.043999999999</v>
      </c>
      <c r="AK50" s="24"/>
      <c r="AL50" s="18">
        <v>2045</v>
      </c>
      <c r="AM50" s="24">
        <v>1850</v>
      </c>
      <c r="AN50" s="24">
        <v>1900</v>
      </c>
      <c r="AO50" s="38"/>
      <c r="AP50" s="38"/>
      <c r="AQ50" s="38"/>
      <c r="AR50" s="38"/>
      <c r="AS50" s="24">
        <v>1520</v>
      </c>
      <c r="AU50" s="5">
        <f t="shared" si="13"/>
        <v>1828.75</v>
      </c>
      <c r="AW50" s="5">
        <f t="shared" si="14"/>
        <v>215.86142857142863</v>
      </c>
      <c r="AX50" s="5">
        <f t="shared" si="15"/>
        <v>1511.0300000000004</v>
      </c>
    </row>
    <row r="51" spans="2:52" x14ac:dyDescent="0.25">
      <c r="B51" s="38"/>
      <c r="C51" s="38">
        <v>8</v>
      </c>
      <c r="D51" s="38">
        <v>30</v>
      </c>
      <c r="E51" s="42" t="s">
        <v>142</v>
      </c>
      <c r="F51" s="24">
        <f t="shared" si="16"/>
        <v>480</v>
      </c>
      <c r="G51" s="24">
        <f t="shared" si="17"/>
        <v>480</v>
      </c>
      <c r="H51" s="24">
        <v>250</v>
      </c>
      <c r="I51" s="24">
        <f t="shared" si="32"/>
        <v>4625.5999999999995</v>
      </c>
      <c r="J51" s="24">
        <f>2*D51*$B$45*1.18</f>
        <v>495.59999999999997</v>
      </c>
      <c r="K51" s="24">
        <f t="shared" si="34"/>
        <v>2832</v>
      </c>
      <c r="L51" s="18">
        <v>0</v>
      </c>
      <c r="M51" s="24">
        <f t="shared" si="3"/>
        <v>103.83999999999999</v>
      </c>
      <c r="N51" s="24">
        <f t="shared" si="4"/>
        <v>70.8</v>
      </c>
      <c r="O51" s="24">
        <f t="shared" si="5"/>
        <v>188.79999999999998</v>
      </c>
      <c r="P51" s="24">
        <v>52</v>
      </c>
      <c r="Q51" s="24">
        <v>50</v>
      </c>
      <c r="R51" s="24">
        <v>60</v>
      </c>
      <c r="S51" s="24">
        <v>26</v>
      </c>
      <c r="T51" s="24">
        <v>168</v>
      </c>
      <c r="U51" s="24">
        <v>30</v>
      </c>
      <c r="V51" s="24">
        <f t="shared" si="6"/>
        <v>32</v>
      </c>
      <c r="W51" s="24">
        <v>34</v>
      </c>
      <c r="X51" s="24">
        <f t="shared" si="7"/>
        <v>32</v>
      </c>
      <c r="Y51" s="24"/>
      <c r="Z51" s="24">
        <f t="shared" si="35"/>
        <v>91</v>
      </c>
      <c r="AA51" s="24">
        <v>210</v>
      </c>
      <c r="AB51" s="24">
        <v>70</v>
      </c>
      <c r="AC51" s="24">
        <v>1680</v>
      </c>
      <c r="AD51" s="24">
        <f t="shared" si="8"/>
        <v>400</v>
      </c>
      <c r="AE51" s="24">
        <v>282</v>
      </c>
      <c r="AF51" s="18">
        <f t="shared" si="26"/>
        <v>12743.64</v>
      </c>
      <c r="AG51" s="24">
        <f t="shared" si="10"/>
        <v>1592.9549999999999</v>
      </c>
      <c r="AH51" s="47">
        <f t="shared" si="11"/>
        <v>1911.5459999999998</v>
      </c>
      <c r="AI51" s="24">
        <f t="shared" si="12"/>
        <v>2548.7279999999992</v>
      </c>
      <c r="AK51" s="24"/>
      <c r="AL51" s="18">
        <v>2045</v>
      </c>
      <c r="AM51" s="24">
        <v>1850</v>
      </c>
      <c r="AN51" s="24">
        <v>1850</v>
      </c>
      <c r="AO51" s="38"/>
      <c r="AP51" s="38"/>
      <c r="AQ51" s="38"/>
      <c r="AR51" s="38"/>
      <c r="AS51" s="24">
        <v>1520</v>
      </c>
      <c r="AU51" s="5">
        <f t="shared" si="13"/>
        <v>1816.25</v>
      </c>
      <c r="AW51" s="5">
        <f t="shared" si="14"/>
        <v>223.29500000000007</v>
      </c>
      <c r="AX51" s="5">
        <f t="shared" si="15"/>
        <v>1786.3600000000006</v>
      </c>
    </row>
    <row r="52" spans="2:52" x14ac:dyDescent="0.25">
      <c r="B52" s="38"/>
      <c r="C52" s="38">
        <v>9</v>
      </c>
      <c r="D52" s="38">
        <v>35</v>
      </c>
      <c r="E52" s="42" t="s">
        <v>143</v>
      </c>
      <c r="F52" s="24">
        <f t="shared" si="16"/>
        <v>540</v>
      </c>
      <c r="G52" s="24">
        <f t="shared" si="17"/>
        <v>540</v>
      </c>
      <c r="H52" s="18">
        <v>250</v>
      </c>
      <c r="I52" s="24">
        <f t="shared" si="32"/>
        <v>5203.7999999999993</v>
      </c>
      <c r="J52" s="24">
        <f t="shared" si="33"/>
        <v>578.19999999999993</v>
      </c>
      <c r="K52" s="24">
        <f t="shared" si="34"/>
        <v>3186</v>
      </c>
      <c r="L52" s="18">
        <v>0</v>
      </c>
      <c r="M52" s="24">
        <f t="shared" si="3"/>
        <v>116.82</v>
      </c>
      <c r="N52" s="24">
        <f t="shared" si="4"/>
        <v>82.6</v>
      </c>
      <c r="O52" s="24">
        <f t="shared" si="5"/>
        <v>212.39999999999998</v>
      </c>
      <c r="P52" s="24">
        <v>52</v>
      </c>
      <c r="Q52" s="24">
        <v>56</v>
      </c>
      <c r="R52" s="24">
        <v>60</v>
      </c>
      <c r="S52" s="24">
        <v>26</v>
      </c>
      <c r="T52" s="24">
        <v>210</v>
      </c>
      <c r="U52" s="24">
        <v>30</v>
      </c>
      <c r="V52" s="24">
        <f t="shared" si="6"/>
        <v>36</v>
      </c>
      <c r="W52" s="24">
        <v>34</v>
      </c>
      <c r="X52" s="24">
        <f t="shared" si="7"/>
        <v>36</v>
      </c>
      <c r="Y52" s="24"/>
      <c r="Z52" s="24">
        <f t="shared" si="35"/>
        <v>91</v>
      </c>
      <c r="AA52" s="24">
        <v>280</v>
      </c>
      <c r="AB52" s="24">
        <v>70</v>
      </c>
      <c r="AC52" s="24">
        <v>1904</v>
      </c>
      <c r="AD52" s="24">
        <f t="shared" si="8"/>
        <v>450</v>
      </c>
      <c r="AE52" s="18">
        <v>384</v>
      </c>
      <c r="AF52" s="18">
        <f t="shared" si="26"/>
        <v>14428.82</v>
      </c>
      <c r="AG52" s="24">
        <f t="shared" si="10"/>
        <v>1603.2022222222222</v>
      </c>
      <c r="AH52" s="46">
        <f t="shared" si="11"/>
        <v>1923.8426666666664</v>
      </c>
      <c r="AI52" s="24">
        <f t="shared" si="12"/>
        <v>2885.7639999999983</v>
      </c>
      <c r="AK52" s="18"/>
      <c r="AL52" s="18">
        <v>2045</v>
      </c>
      <c r="AM52" s="24">
        <v>1850</v>
      </c>
      <c r="AN52" s="24">
        <v>1850</v>
      </c>
      <c r="AO52" s="38"/>
      <c r="AP52" s="38"/>
      <c r="AQ52" s="38"/>
      <c r="AR52" s="38"/>
      <c r="AS52" s="24">
        <v>1520</v>
      </c>
      <c r="AU52" s="5">
        <f t="shared" si="13"/>
        <v>1816.25</v>
      </c>
      <c r="AW52" s="5">
        <f t="shared" si="14"/>
        <v>213.04777777777781</v>
      </c>
      <c r="AX52" s="5">
        <f t="shared" si="15"/>
        <v>1917.4300000000003</v>
      </c>
    </row>
    <row r="53" spans="2:52" x14ac:dyDescent="0.25">
      <c r="B53" s="38"/>
      <c r="C53" s="38">
        <v>10</v>
      </c>
      <c r="D53" s="38">
        <v>39</v>
      </c>
      <c r="E53" s="42" t="s">
        <v>143</v>
      </c>
      <c r="F53" s="24">
        <f t="shared" si="16"/>
        <v>600</v>
      </c>
      <c r="G53" s="24">
        <f t="shared" si="17"/>
        <v>600</v>
      </c>
      <c r="H53" s="18">
        <v>250</v>
      </c>
      <c r="I53" s="24">
        <f t="shared" si="32"/>
        <v>5782</v>
      </c>
      <c r="J53" s="24">
        <f t="shared" si="33"/>
        <v>644.28</v>
      </c>
      <c r="K53" s="24">
        <f t="shared" si="34"/>
        <v>3540</v>
      </c>
      <c r="L53" s="18">
        <v>0</v>
      </c>
      <c r="M53" s="24">
        <f t="shared" si="3"/>
        <v>129.79999999999998</v>
      </c>
      <c r="N53" s="24">
        <f t="shared" si="4"/>
        <v>92.039999999999992</v>
      </c>
      <c r="O53" s="24">
        <f t="shared" si="5"/>
        <v>236</v>
      </c>
      <c r="P53" s="24">
        <v>52</v>
      </c>
      <c r="Q53" s="24">
        <v>62</v>
      </c>
      <c r="R53" s="24">
        <v>60</v>
      </c>
      <c r="S53" s="24">
        <v>26</v>
      </c>
      <c r="T53" s="24">
        <v>210</v>
      </c>
      <c r="U53" s="24">
        <v>30</v>
      </c>
      <c r="V53" s="24">
        <f t="shared" si="6"/>
        <v>40</v>
      </c>
      <c r="W53" s="24">
        <v>34</v>
      </c>
      <c r="X53" s="24">
        <f t="shared" si="7"/>
        <v>40</v>
      </c>
      <c r="Y53" s="24"/>
      <c r="Z53" s="24">
        <f t="shared" si="35"/>
        <v>91</v>
      </c>
      <c r="AA53" s="24">
        <v>280</v>
      </c>
      <c r="AB53" s="24">
        <v>70</v>
      </c>
      <c r="AC53" s="24">
        <v>2128</v>
      </c>
      <c r="AD53" s="24">
        <f t="shared" si="8"/>
        <v>500</v>
      </c>
      <c r="AE53" s="18">
        <v>433</v>
      </c>
      <c r="AF53" s="18">
        <f t="shared" si="26"/>
        <v>15930.119999999999</v>
      </c>
      <c r="AG53" s="24">
        <f t="shared" si="10"/>
        <v>1593.0119999999999</v>
      </c>
      <c r="AH53" s="46">
        <f t="shared" si="11"/>
        <v>1911.6143999999999</v>
      </c>
      <c r="AI53" s="24">
        <f t="shared" si="12"/>
        <v>3186.0239999999999</v>
      </c>
      <c r="AK53" s="18"/>
      <c r="AL53" s="18">
        <v>2045</v>
      </c>
      <c r="AM53" s="24">
        <v>1850</v>
      </c>
      <c r="AN53" s="24">
        <v>1850</v>
      </c>
      <c r="AO53" s="39"/>
      <c r="AP53" s="39"/>
      <c r="AQ53" s="39"/>
      <c r="AR53" s="39"/>
      <c r="AS53" s="24">
        <v>1520</v>
      </c>
      <c r="AU53" s="5">
        <f t="shared" si="13"/>
        <v>1816.25</v>
      </c>
      <c r="AW53" s="5">
        <f t="shared" si="14"/>
        <v>223.23800000000006</v>
      </c>
      <c r="AX53" s="5">
        <f t="shared" si="15"/>
        <v>2232.3800000000006</v>
      </c>
    </row>
    <row r="54" spans="2:52" x14ac:dyDescent="0.25">
      <c r="B54" s="38" t="s">
        <v>7</v>
      </c>
      <c r="C54" s="38">
        <v>1</v>
      </c>
      <c r="D54" s="38">
        <v>8</v>
      </c>
      <c r="E54" s="38" t="s">
        <v>139</v>
      </c>
      <c r="F54" s="24">
        <f t="shared" si="16"/>
        <v>60</v>
      </c>
      <c r="G54" s="24">
        <f t="shared" si="17"/>
        <v>60</v>
      </c>
      <c r="H54" s="18">
        <v>100</v>
      </c>
      <c r="I54" s="24">
        <f>70*C54*$B$55*1.18</f>
        <v>660.8</v>
      </c>
      <c r="J54" s="24">
        <f>2*D54*$B$55*1.18</f>
        <v>151.04</v>
      </c>
      <c r="K54" s="24">
        <f>50*C54*$B$57*1.18</f>
        <v>413</v>
      </c>
      <c r="L54" s="18">
        <v>0</v>
      </c>
      <c r="M54" s="24">
        <f t="shared" si="3"/>
        <v>12.979999999999999</v>
      </c>
      <c r="N54" s="24">
        <f t="shared" si="4"/>
        <v>18.88</v>
      </c>
      <c r="O54" s="24">
        <f t="shared" si="5"/>
        <v>23.599999999999998</v>
      </c>
      <c r="P54" s="24">
        <v>26</v>
      </c>
      <c r="Q54" s="24">
        <v>8</v>
      </c>
      <c r="R54" s="24">
        <v>30</v>
      </c>
      <c r="S54" s="24">
        <v>26</v>
      </c>
      <c r="T54" s="24">
        <v>48</v>
      </c>
      <c r="U54" s="24">
        <v>30</v>
      </c>
      <c r="V54" s="24">
        <f t="shared" si="6"/>
        <v>4</v>
      </c>
      <c r="W54" s="24">
        <v>17</v>
      </c>
      <c r="X54" s="24">
        <f t="shared" si="7"/>
        <v>4</v>
      </c>
      <c r="Y54" s="24"/>
      <c r="Z54" s="24">
        <f>13*$B$55</f>
        <v>104</v>
      </c>
      <c r="AA54" s="24">
        <v>0</v>
      </c>
      <c r="AB54" s="24">
        <v>80</v>
      </c>
      <c r="AC54" s="24">
        <v>248</v>
      </c>
      <c r="AD54" s="24">
        <f t="shared" si="8"/>
        <v>50</v>
      </c>
      <c r="AE54" s="24">
        <v>160</v>
      </c>
      <c r="AF54" s="18">
        <f t="shared" si="26"/>
        <v>2335.3000000000002</v>
      </c>
      <c r="AG54" s="24">
        <f t="shared" si="10"/>
        <v>2335.3000000000002</v>
      </c>
      <c r="AH54" s="45">
        <f t="shared" si="11"/>
        <v>2802.36</v>
      </c>
      <c r="AI54" s="24">
        <f t="shared" si="12"/>
        <v>467.05999999999995</v>
      </c>
      <c r="AK54" s="18"/>
      <c r="AL54" s="18">
        <v>2245</v>
      </c>
      <c r="AM54" s="24">
        <v>2630</v>
      </c>
      <c r="AN54" s="18">
        <v>2150</v>
      </c>
      <c r="AO54" s="38"/>
      <c r="AP54" s="18">
        <v>2999</v>
      </c>
      <c r="AQ54" s="18">
        <v>2451</v>
      </c>
      <c r="AR54" s="18"/>
      <c r="AS54" s="18"/>
      <c r="AU54" s="5">
        <f t="shared" si="13"/>
        <v>2495</v>
      </c>
      <c r="AW54" s="5">
        <f t="shared" si="14"/>
        <v>159.69999999999982</v>
      </c>
      <c r="AX54" s="5">
        <f t="shared" si="15"/>
        <v>159.69999999999982</v>
      </c>
    </row>
    <row r="55" spans="2:52" x14ac:dyDescent="0.25">
      <c r="B55" s="38">
        <v>8</v>
      </c>
      <c r="C55" s="38">
        <v>2</v>
      </c>
      <c r="D55" s="38">
        <v>10</v>
      </c>
      <c r="E55" s="38" t="s">
        <v>140</v>
      </c>
      <c r="F55" s="24">
        <f t="shared" si="16"/>
        <v>120</v>
      </c>
      <c r="G55" s="24">
        <f t="shared" si="17"/>
        <v>120</v>
      </c>
      <c r="H55" s="24">
        <v>100</v>
      </c>
      <c r="I55" s="24">
        <f t="shared" ref="I55:I63" si="36">70*C55*$B$55*1.18</f>
        <v>1321.6</v>
      </c>
      <c r="J55" s="24">
        <f t="shared" ref="J55:J63" si="37">2*D55*$B$55*1.18</f>
        <v>188.79999999999998</v>
      </c>
      <c r="K55" s="24">
        <f t="shared" ref="K55:K63" si="38">50*C55*$B$57*1.18</f>
        <v>826</v>
      </c>
      <c r="L55" s="18">
        <v>0</v>
      </c>
      <c r="M55" s="24">
        <f t="shared" si="3"/>
        <v>25.959999999999997</v>
      </c>
      <c r="N55" s="24">
        <f t="shared" si="4"/>
        <v>23.599999999999998</v>
      </c>
      <c r="O55" s="24">
        <f t="shared" si="5"/>
        <v>47.199999999999996</v>
      </c>
      <c r="P55" s="24">
        <v>26</v>
      </c>
      <c r="Q55" s="24">
        <v>14</v>
      </c>
      <c r="R55" s="24">
        <v>30</v>
      </c>
      <c r="S55" s="24">
        <v>26</v>
      </c>
      <c r="T55" s="24">
        <v>48</v>
      </c>
      <c r="U55" s="24">
        <v>30</v>
      </c>
      <c r="V55" s="24">
        <f t="shared" si="6"/>
        <v>8</v>
      </c>
      <c r="W55" s="24">
        <v>17</v>
      </c>
      <c r="X55" s="24">
        <f t="shared" si="7"/>
        <v>8</v>
      </c>
      <c r="Y55" s="24"/>
      <c r="Z55" s="24">
        <f t="shared" ref="Z55:Z63" si="39">13*$B$55</f>
        <v>104</v>
      </c>
      <c r="AA55" s="24">
        <v>80</v>
      </c>
      <c r="AB55" s="24">
        <v>80</v>
      </c>
      <c r="AC55" s="24">
        <v>512</v>
      </c>
      <c r="AD55" s="24">
        <f t="shared" si="8"/>
        <v>100</v>
      </c>
      <c r="AE55" s="24">
        <v>185</v>
      </c>
      <c r="AF55" s="18">
        <f t="shared" si="26"/>
        <v>4041.1599999999994</v>
      </c>
      <c r="AG55" s="24">
        <f t="shared" si="10"/>
        <v>2020.5799999999997</v>
      </c>
      <c r="AH55" s="46">
        <f t="shared" si="11"/>
        <v>2424.6959999999995</v>
      </c>
      <c r="AI55" s="24">
        <f t="shared" si="12"/>
        <v>808.23199999999952</v>
      </c>
      <c r="AK55" s="24"/>
      <c r="AL55" s="18">
        <v>2245</v>
      </c>
      <c r="AM55" s="24">
        <v>2175</v>
      </c>
      <c r="AN55" s="24">
        <v>2050</v>
      </c>
      <c r="AO55" s="38"/>
      <c r="AP55" s="18">
        <v>2999</v>
      </c>
      <c r="AQ55" s="18">
        <v>2451</v>
      </c>
      <c r="AR55" s="18"/>
      <c r="AS55" s="18"/>
      <c r="AU55" s="5">
        <f t="shared" si="13"/>
        <v>2384</v>
      </c>
      <c r="AW55" s="5">
        <f t="shared" si="14"/>
        <v>363.4200000000003</v>
      </c>
      <c r="AX55" s="5">
        <f t="shared" si="15"/>
        <v>726.8400000000006</v>
      </c>
    </row>
    <row r="56" spans="2:52" x14ac:dyDescent="0.25">
      <c r="B56" s="38" t="s">
        <v>113</v>
      </c>
      <c r="C56" s="38">
        <v>3</v>
      </c>
      <c r="D56" s="38">
        <v>13</v>
      </c>
      <c r="E56" s="38" t="s">
        <v>140</v>
      </c>
      <c r="F56" s="24">
        <f t="shared" si="16"/>
        <v>180</v>
      </c>
      <c r="G56" s="24">
        <f t="shared" si="17"/>
        <v>180</v>
      </c>
      <c r="H56" s="24">
        <v>100</v>
      </c>
      <c r="I56" s="24">
        <f t="shared" si="36"/>
        <v>1982.3999999999999</v>
      </c>
      <c r="J56" s="24">
        <f t="shared" si="37"/>
        <v>245.44</v>
      </c>
      <c r="K56" s="24">
        <f t="shared" si="38"/>
        <v>1239</v>
      </c>
      <c r="L56" s="18">
        <v>0</v>
      </c>
      <c r="M56" s="24">
        <f t="shared" si="3"/>
        <v>38.94</v>
      </c>
      <c r="N56" s="24">
        <f t="shared" si="4"/>
        <v>30.68</v>
      </c>
      <c r="O56" s="24">
        <f t="shared" si="5"/>
        <v>70.8</v>
      </c>
      <c r="P56" s="24">
        <v>26</v>
      </c>
      <c r="Q56" s="24">
        <v>20</v>
      </c>
      <c r="R56" s="24">
        <v>30</v>
      </c>
      <c r="S56" s="24">
        <v>26</v>
      </c>
      <c r="T56" s="24">
        <v>96</v>
      </c>
      <c r="U56" s="24">
        <v>30</v>
      </c>
      <c r="V56" s="24">
        <f t="shared" si="6"/>
        <v>12</v>
      </c>
      <c r="W56" s="24">
        <v>17</v>
      </c>
      <c r="X56" s="24">
        <f t="shared" si="7"/>
        <v>12</v>
      </c>
      <c r="Y56" s="24"/>
      <c r="Z56" s="24">
        <f t="shared" si="39"/>
        <v>104</v>
      </c>
      <c r="AA56" s="24">
        <v>80</v>
      </c>
      <c r="AB56" s="24">
        <v>80</v>
      </c>
      <c r="AC56" s="24">
        <v>768</v>
      </c>
      <c r="AD56" s="24">
        <f t="shared" si="8"/>
        <v>150</v>
      </c>
      <c r="AE56" s="24">
        <v>206</v>
      </c>
      <c r="AF56" s="18">
        <f t="shared" si="26"/>
        <v>5724.26</v>
      </c>
      <c r="AG56" s="24">
        <f t="shared" si="10"/>
        <v>1908.0866666666668</v>
      </c>
      <c r="AH56" s="47">
        <f t="shared" si="11"/>
        <v>2289.7040000000002</v>
      </c>
      <c r="AI56" s="24">
        <f t="shared" si="12"/>
        <v>1144.8520000000001</v>
      </c>
      <c r="AK56" s="24"/>
      <c r="AL56" s="18">
        <v>2245</v>
      </c>
      <c r="AM56" s="24">
        <v>2175</v>
      </c>
      <c r="AN56" s="24">
        <v>2050</v>
      </c>
      <c r="AO56" s="38"/>
      <c r="AP56" s="18">
        <v>2999</v>
      </c>
      <c r="AQ56" s="18">
        <v>2451</v>
      </c>
      <c r="AR56" s="18"/>
      <c r="AS56" s="18"/>
      <c r="AU56" s="5">
        <f t="shared" si="13"/>
        <v>2384</v>
      </c>
      <c r="AW56" s="5">
        <f t="shared" si="14"/>
        <v>475.91333333333318</v>
      </c>
      <c r="AX56" s="5">
        <f t="shared" si="15"/>
        <v>1427.7399999999996</v>
      </c>
    </row>
    <row r="57" spans="2:52" x14ac:dyDescent="0.25">
      <c r="B57" s="38">
        <v>7</v>
      </c>
      <c r="C57" s="38">
        <v>4</v>
      </c>
      <c r="D57" s="38">
        <v>16</v>
      </c>
      <c r="E57" s="38" t="s">
        <v>141</v>
      </c>
      <c r="F57" s="24">
        <f t="shared" si="16"/>
        <v>240</v>
      </c>
      <c r="G57" s="24">
        <f t="shared" si="17"/>
        <v>240</v>
      </c>
      <c r="H57" s="24">
        <v>150</v>
      </c>
      <c r="I57" s="24">
        <f t="shared" si="36"/>
        <v>2643.2</v>
      </c>
      <c r="J57" s="24">
        <f t="shared" si="37"/>
        <v>302.08</v>
      </c>
      <c r="K57" s="24">
        <f t="shared" si="38"/>
        <v>1652</v>
      </c>
      <c r="L57" s="18">
        <v>0</v>
      </c>
      <c r="M57" s="24">
        <f t="shared" si="3"/>
        <v>51.919999999999995</v>
      </c>
      <c r="N57" s="24">
        <f t="shared" si="4"/>
        <v>37.76</v>
      </c>
      <c r="O57" s="24">
        <f t="shared" si="5"/>
        <v>94.399999999999991</v>
      </c>
      <c r="P57" s="24">
        <v>26</v>
      </c>
      <c r="Q57" s="24">
        <v>26</v>
      </c>
      <c r="R57" s="24">
        <v>30</v>
      </c>
      <c r="S57" s="24">
        <v>26</v>
      </c>
      <c r="T57" s="24">
        <v>96</v>
      </c>
      <c r="U57" s="24">
        <v>30</v>
      </c>
      <c r="V57" s="24">
        <f t="shared" si="6"/>
        <v>16</v>
      </c>
      <c r="W57" s="24">
        <v>17</v>
      </c>
      <c r="X57" s="24">
        <f t="shared" si="7"/>
        <v>16</v>
      </c>
      <c r="Y57" s="24"/>
      <c r="Z57" s="24">
        <f t="shared" si="39"/>
        <v>104</v>
      </c>
      <c r="AA57" s="24">
        <v>80</v>
      </c>
      <c r="AB57" s="24">
        <v>80</v>
      </c>
      <c r="AC57" s="24">
        <v>1024</v>
      </c>
      <c r="AD57" s="24">
        <f t="shared" si="8"/>
        <v>200</v>
      </c>
      <c r="AE57" s="24">
        <v>246</v>
      </c>
      <c r="AF57" s="18">
        <f t="shared" si="26"/>
        <v>7428.36</v>
      </c>
      <c r="AG57" s="24">
        <f t="shared" si="10"/>
        <v>1857.09</v>
      </c>
      <c r="AH57" s="47">
        <f t="shared" si="11"/>
        <v>2228.5079999999998</v>
      </c>
      <c r="AI57" s="24">
        <f t="shared" si="12"/>
        <v>1485.6719999999996</v>
      </c>
      <c r="AK57" s="24"/>
      <c r="AL57" s="18">
        <v>2245</v>
      </c>
      <c r="AM57" s="24">
        <v>2175</v>
      </c>
      <c r="AN57" s="24">
        <v>2050</v>
      </c>
      <c r="AO57" s="38"/>
      <c r="AP57" s="18">
        <v>2999</v>
      </c>
      <c r="AQ57" s="18">
        <v>2451</v>
      </c>
      <c r="AR57" s="18"/>
      <c r="AS57" s="18"/>
      <c r="AU57" s="5">
        <f t="shared" si="13"/>
        <v>2384</v>
      </c>
      <c r="AW57" s="5">
        <f t="shared" si="14"/>
        <v>526.91000000000008</v>
      </c>
      <c r="AX57" s="5">
        <f t="shared" si="15"/>
        <v>2107.6400000000003</v>
      </c>
    </row>
    <row r="58" spans="2:52" x14ac:dyDescent="0.25">
      <c r="B58" s="38" t="s">
        <v>114</v>
      </c>
      <c r="C58" s="38">
        <v>5</v>
      </c>
      <c r="D58" s="38">
        <v>22</v>
      </c>
      <c r="E58" s="38" t="s">
        <v>141</v>
      </c>
      <c r="F58" s="24">
        <f t="shared" si="16"/>
        <v>300</v>
      </c>
      <c r="G58" s="24">
        <f t="shared" si="17"/>
        <v>300</v>
      </c>
      <c r="H58" s="24">
        <v>150</v>
      </c>
      <c r="I58" s="24">
        <f t="shared" si="36"/>
        <v>3304</v>
      </c>
      <c r="J58" s="24">
        <f t="shared" si="37"/>
        <v>415.35999999999996</v>
      </c>
      <c r="K58" s="24">
        <f t="shared" si="38"/>
        <v>2065</v>
      </c>
      <c r="L58" s="18">
        <v>0</v>
      </c>
      <c r="M58" s="24">
        <f t="shared" si="3"/>
        <v>64.899999999999991</v>
      </c>
      <c r="N58" s="24">
        <f t="shared" si="4"/>
        <v>51.919999999999995</v>
      </c>
      <c r="O58" s="24">
        <f t="shared" si="5"/>
        <v>118</v>
      </c>
      <c r="P58" s="24">
        <v>26</v>
      </c>
      <c r="Q58" s="24">
        <v>32</v>
      </c>
      <c r="R58" s="24">
        <v>30</v>
      </c>
      <c r="S58" s="24">
        <v>26</v>
      </c>
      <c r="T58" s="24">
        <v>144</v>
      </c>
      <c r="U58" s="24">
        <v>30</v>
      </c>
      <c r="V58" s="24">
        <f t="shared" si="6"/>
        <v>20</v>
      </c>
      <c r="W58" s="24">
        <v>34</v>
      </c>
      <c r="X58" s="24">
        <f t="shared" si="7"/>
        <v>20</v>
      </c>
      <c r="Y58" s="24"/>
      <c r="Z58" s="24">
        <f t="shared" si="39"/>
        <v>104</v>
      </c>
      <c r="AA58" s="24">
        <v>160</v>
      </c>
      <c r="AB58" s="24">
        <v>80</v>
      </c>
      <c r="AC58" s="24">
        <v>1152</v>
      </c>
      <c r="AD58" s="24">
        <f t="shared" si="8"/>
        <v>250</v>
      </c>
      <c r="AE58" s="24">
        <v>277</v>
      </c>
      <c r="AF58" s="18">
        <f t="shared" si="26"/>
        <v>9154.18</v>
      </c>
      <c r="AG58" s="24">
        <f t="shared" si="10"/>
        <v>1830.836</v>
      </c>
      <c r="AH58" s="47">
        <f t="shared" si="11"/>
        <v>2197.0032000000001</v>
      </c>
      <c r="AI58" s="24">
        <f t="shared" si="12"/>
        <v>1830.8360000000005</v>
      </c>
      <c r="AK58" s="24"/>
      <c r="AL58" s="18">
        <v>2245</v>
      </c>
      <c r="AM58" s="24">
        <v>2175</v>
      </c>
      <c r="AN58" s="24">
        <v>2000</v>
      </c>
      <c r="AO58" s="38"/>
      <c r="AP58" s="18">
        <v>2999</v>
      </c>
      <c r="AQ58" s="18">
        <v>2451</v>
      </c>
      <c r="AR58" s="18"/>
      <c r="AS58" s="18"/>
      <c r="AU58" s="5">
        <f t="shared" si="13"/>
        <v>2374</v>
      </c>
      <c r="AW58" s="5">
        <f t="shared" si="14"/>
        <v>543.16399999999999</v>
      </c>
      <c r="AX58" s="5">
        <f t="shared" si="15"/>
        <v>2715.8199999999997</v>
      </c>
    </row>
    <row r="59" spans="2:52" x14ac:dyDescent="0.25">
      <c r="B59" s="38"/>
      <c r="C59" s="38">
        <v>6</v>
      </c>
      <c r="D59" s="38">
        <v>24</v>
      </c>
      <c r="E59" s="38" t="s">
        <v>141</v>
      </c>
      <c r="F59" s="24">
        <f t="shared" si="16"/>
        <v>360</v>
      </c>
      <c r="G59" s="24">
        <f t="shared" si="17"/>
        <v>360</v>
      </c>
      <c r="H59" s="24">
        <v>150</v>
      </c>
      <c r="I59" s="24">
        <f t="shared" si="36"/>
        <v>3964.7999999999997</v>
      </c>
      <c r="J59" s="24">
        <f t="shared" si="37"/>
        <v>453.12</v>
      </c>
      <c r="K59" s="24">
        <f t="shared" si="38"/>
        <v>2478</v>
      </c>
      <c r="L59" s="18">
        <v>0</v>
      </c>
      <c r="M59" s="24">
        <f t="shared" si="3"/>
        <v>77.88</v>
      </c>
      <c r="N59" s="24">
        <f t="shared" si="4"/>
        <v>56.64</v>
      </c>
      <c r="O59" s="24">
        <f t="shared" si="5"/>
        <v>141.6</v>
      </c>
      <c r="P59" s="24">
        <v>26</v>
      </c>
      <c r="Q59" s="24">
        <v>38</v>
      </c>
      <c r="R59" s="24">
        <v>30</v>
      </c>
      <c r="S59" s="24">
        <v>26</v>
      </c>
      <c r="T59" s="24">
        <v>144</v>
      </c>
      <c r="U59" s="24">
        <v>30</v>
      </c>
      <c r="V59" s="24">
        <f t="shared" si="6"/>
        <v>24</v>
      </c>
      <c r="W59" s="24">
        <v>34</v>
      </c>
      <c r="X59" s="24">
        <f t="shared" si="7"/>
        <v>24</v>
      </c>
      <c r="Y59" s="24"/>
      <c r="Z59" s="24">
        <f t="shared" si="39"/>
        <v>104</v>
      </c>
      <c r="AA59" s="24">
        <v>160</v>
      </c>
      <c r="AB59" s="24">
        <v>80</v>
      </c>
      <c r="AC59" s="24">
        <v>1408</v>
      </c>
      <c r="AD59" s="24">
        <f t="shared" si="8"/>
        <v>300</v>
      </c>
      <c r="AE59" s="24">
        <v>284</v>
      </c>
      <c r="AF59" s="18">
        <f t="shared" si="26"/>
        <v>10754.04</v>
      </c>
      <c r="AG59" s="24">
        <f t="shared" si="10"/>
        <v>1792.3400000000001</v>
      </c>
      <c r="AH59" s="48">
        <f t="shared" si="11"/>
        <v>2150.808</v>
      </c>
      <c r="AI59" s="24">
        <f t="shared" si="12"/>
        <v>2150.8079999999991</v>
      </c>
      <c r="AK59" s="24"/>
      <c r="AL59" s="18">
        <v>2245</v>
      </c>
      <c r="AM59" s="24">
        <v>2115</v>
      </c>
      <c r="AN59" s="24">
        <v>2000</v>
      </c>
      <c r="AO59" s="38"/>
      <c r="AP59" s="18">
        <v>2999</v>
      </c>
      <c r="AQ59" s="18">
        <v>2451</v>
      </c>
      <c r="AR59" s="18"/>
      <c r="AS59" s="18"/>
      <c r="AU59" s="5">
        <f t="shared" si="13"/>
        <v>2362</v>
      </c>
      <c r="AW59" s="5">
        <f t="shared" si="14"/>
        <v>569.65999999999985</v>
      </c>
      <c r="AX59" s="5">
        <f t="shared" si="15"/>
        <v>3417.9599999999991</v>
      </c>
    </row>
    <row r="60" spans="2:52" x14ac:dyDescent="0.25">
      <c r="B60" s="38"/>
      <c r="C60" s="38">
        <v>7</v>
      </c>
      <c r="D60" s="38">
        <v>28</v>
      </c>
      <c r="E60" s="42" t="s">
        <v>142</v>
      </c>
      <c r="F60" s="24">
        <f t="shared" si="16"/>
        <v>420</v>
      </c>
      <c r="G60" s="24">
        <f t="shared" si="17"/>
        <v>420</v>
      </c>
      <c r="H60" s="24">
        <v>250</v>
      </c>
      <c r="I60" s="24">
        <f t="shared" si="36"/>
        <v>4625.5999999999995</v>
      </c>
      <c r="J60" s="24">
        <f t="shared" si="37"/>
        <v>528.64</v>
      </c>
      <c r="K60" s="24">
        <f t="shared" si="38"/>
        <v>2891</v>
      </c>
      <c r="L60" s="18">
        <v>0</v>
      </c>
      <c r="M60" s="24">
        <f t="shared" si="3"/>
        <v>90.86</v>
      </c>
      <c r="N60" s="24">
        <f t="shared" si="4"/>
        <v>66.08</v>
      </c>
      <c r="O60" s="24">
        <f t="shared" si="5"/>
        <v>165.2</v>
      </c>
      <c r="P60" s="24">
        <v>26</v>
      </c>
      <c r="Q60" s="24">
        <v>44</v>
      </c>
      <c r="R60" s="24">
        <v>30</v>
      </c>
      <c r="S60" s="24">
        <v>26</v>
      </c>
      <c r="T60" s="24">
        <v>192</v>
      </c>
      <c r="U60" s="24">
        <v>30</v>
      </c>
      <c r="V60" s="24">
        <f t="shared" si="6"/>
        <v>28</v>
      </c>
      <c r="W60" s="24">
        <v>34</v>
      </c>
      <c r="X60" s="24">
        <f t="shared" si="7"/>
        <v>28</v>
      </c>
      <c r="Y60" s="24"/>
      <c r="Z60" s="24">
        <f t="shared" si="39"/>
        <v>104</v>
      </c>
      <c r="AA60" s="24">
        <v>240</v>
      </c>
      <c r="AB60" s="24">
        <v>80</v>
      </c>
      <c r="AC60" s="24">
        <v>1664</v>
      </c>
      <c r="AD60" s="24">
        <f t="shared" si="8"/>
        <v>350</v>
      </c>
      <c r="AE60" s="24">
        <v>318</v>
      </c>
      <c r="AF60" s="18">
        <f t="shared" si="26"/>
        <v>12651.380000000001</v>
      </c>
      <c r="AG60" s="24">
        <f t="shared" si="10"/>
        <v>1807.3400000000001</v>
      </c>
      <c r="AH60" s="48">
        <f t="shared" si="11"/>
        <v>2168.808</v>
      </c>
      <c r="AI60" s="24">
        <f t="shared" si="12"/>
        <v>2530.2759999999989</v>
      </c>
      <c r="AK60" s="24"/>
      <c r="AL60" s="18">
        <v>2245</v>
      </c>
      <c r="AM60" s="24">
        <v>2115</v>
      </c>
      <c r="AN60" s="24">
        <v>2000</v>
      </c>
      <c r="AO60" s="38"/>
      <c r="AP60" s="18">
        <v>2999</v>
      </c>
      <c r="AQ60" s="18">
        <v>2451</v>
      </c>
      <c r="AR60" s="18"/>
      <c r="AS60" s="18"/>
      <c r="AU60" s="5">
        <f t="shared" si="13"/>
        <v>2362</v>
      </c>
      <c r="AW60" s="5">
        <f t="shared" si="14"/>
        <v>554.65999999999985</v>
      </c>
      <c r="AX60" s="5">
        <f t="shared" si="15"/>
        <v>3882.619999999999</v>
      </c>
    </row>
    <row r="61" spans="2:52" x14ac:dyDescent="0.25">
      <c r="B61" s="38"/>
      <c r="C61" s="38">
        <v>8</v>
      </c>
      <c r="D61" s="38">
        <v>32</v>
      </c>
      <c r="E61" s="42" t="s">
        <v>142</v>
      </c>
      <c r="F61" s="24">
        <f t="shared" si="16"/>
        <v>480</v>
      </c>
      <c r="G61" s="24">
        <f t="shared" si="17"/>
        <v>480</v>
      </c>
      <c r="H61" s="24">
        <v>250</v>
      </c>
      <c r="I61" s="24">
        <f t="shared" si="36"/>
        <v>5286.4</v>
      </c>
      <c r="J61" s="24">
        <f>2*D61*$B$55*1.18</f>
        <v>604.16</v>
      </c>
      <c r="K61" s="24">
        <f t="shared" si="38"/>
        <v>3304</v>
      </c>
      <c r="L61" s="18">
        <v>0</v>
      </c>
      <c r="M61" s="24">
        <f t="shared" si="3"/>
        <v>103.83999999999999</v>
      </c>
      <c r="N61" s="24">
        <f t="shared" si="4"/>
        <v>75.52</v>
      </c>
      <c r="O61" s="24">
        <f t="shared" si="5"/>
        <v>188.79999999999998</v>
      </c>
      <c r="P61" s="24">
        <v>52</v>
      </c>
      <c r="Q61" s="24">
        <v>50</v>
      </c>
      <c r="R61" s="24">
        <v>60</v>
      </c>
      <c r="S61" s="24">
        <v>26</v>
      </c>
      <c r="T61" s="24">
        <v>192</v>
      </c>
      <c r="U61" s="24">
        <v>30</v>
      </c>
      <c r="V61" s="24">
        <f t="shared" si="6"/>
        <v>32</v>
      </c>
      <c r="W61" s="24">
        <v>34</v>
      </c>
      <c r="X61" s="24">
        <f t="shared" si="7"/>
        <v>32</v>
      </c>
      <c r="Y61" s="24"/>
      <c r="Z61" s="24">
        <f t="shared" si="39"/>
        <v>104</v>
      </c>
      <c r="AA61" s="24">
        <v>240</v>
      </c>
      <c r="AB61" s="24">
        <v>80</v>
      </c>
      <c r="AC61" s="24">
        <v>1920</v>
      </c>
      <c r="AD61" s="24">
        <f t="shared" si="8"/>
        <v>400</v>
      </c>
      <c r="AE61" s="24">
        <v>282</v>
      </c>
      <c r="AF61" s="18">
        <f t="shared" si="26"/>
        <v>14306.72</v>
      </c>
      <c r="AG61" s="24">
        <f t="shared" si="10"/>
        <v>1788.34</v>
      </c>
      <c r="AH61" s="46">
        <f t="shared" si="11"/>
        <v>2146.0079999999998</v>
      </c>
      <c r="AI61" s="24">
        <f t="shared" si="12"/>
        <v>2861.3439999999991</v>
      </c>
      <c r="AK61" s="24"/>
      <c r="AL61" s="18">
        <v>2245</v>
      </c>
      <c r="AM61" s="24">
        <v>2115</v>
      </c>
      <c r="AN61" s="24">
        <v>1950</v>
      </c>
      <c r="AO61" s="38"/>
      <c r="AP61" s="18">
        <v>2999</v>
      </c>
      <c r="AQ61" s="18">
        <v>2451</v>
      </c>
      <c r="AR61" s="18"/>
      <c r="AS61" s="18"/>
      <c r="AU61" s="5">
        <f t="shared" si="13"/>
        <v>2352</v>
      </c>
      <c r="AW61" s="5">
        <f t="shared" si="14"/>
        <v>563.66000000000008</v>
      </c>
      <c r="AX61" s="5">
        <f t="shared" si="15"/>
        <v>4509.2800000000007</v>
      </c>
    </row>
    <row r="62" spans="2:52" x14ac:dyDescent="0.25">
      <c r="B62" s="38"/>
      <c r="C62" s="38">
        <v>9</v>
      </c>
      <c r="D62" s="38">
        <v>36</v>
      </c>
      <c r="E62" s="42" t="s">
        <v>143</v>
      </c>
      <c r="F62" s="24">
        <f t="shared" si="16"/>
        <v>540</v>
      </c>
      <c r="G62" s="24">
        <f t="shared" si="17"/>
        <v>540</v>
      </c>
      <c r="H62" s="18">
        <v>250</v>
      </c>
      <c r="I62" s="24">
        <f t="shared" si="36"/>
        <v>5947.2</v>
      </c>
      <c r="J62" s="24">
        <f t="shared" si="37"/>
        <v>679.68</v>
      </c>
      <c r="K62" s="24">
        <f t="shared" si="38"/>
        <v>3717</v>
      </c>
      <c r="L62" s="18">
        <v>0</v>
      </c>
      <c r="M62" s="24">
        <f t="shared" si="3"/>
        <v>116.82</v>
      </c>
      <c r="N62" s="24">
        <f t="shared" si="4"/>
        <v>84.96</v>
      </c>
      <c r="O62" s="24">
        <f t="shared" si="5"/>
        <v>212.39999999999998</v>
      </c>
      <c r="P62" s="24">
        <v>52</v>
      </c>
      <c r="Q62" s="24">
        <v>56</v>
      </c>
      <c r="R62" s="24">
        <v>60</v>
      </c>
      <c r="S62" s="24">
        <v>26</v>
      </c>
      <c r="T62" s="24">
        <v>240</v>
      </c>
      <c r="U62" s="24">
        <v>30</v>
      </c>
      <c r="V62" s="24">
        <f t="shared" si="6"/>
        <v>36</v>
      </c>
      <c r="W62" s="24">
        <v>34</v>
      </c>
      <c r="X62" s="24">
        <f t="shared" si="7"/>
        <v>36</v>
      </c>
      <c r="Y62" s="24"/>
      <c r="Z62" s="24">
        <f t="shared" si="39"/>
        <v>104</v>
      </c>
      <c r="AA62" s="24">
        <v>320</v>
      </c>
      <c r="AB62" s="24">
        <v>80</v>
      </c>
      <c r="AC62" s="24">
        <v>2176</v>
      </c>
      <c r="AD62" s="24">
        <f t="shared" si="8"/>
        <v>450</v>
      </c>
      <c r="AE62" s="18">
        <v>384</v>
      </c>
      <c r="AF62" s="18">
        <f t="shared" si="26"/>
        <v>16172.06</v>
      </c>
      <c r="AG62" s="24">
        <f t="shared" si="10"/>
        <v>1796.8955555555556</v>
      </c>
      <c r="AH62" s="46">
        <f t="shared" si="11"/>
        <v>2156.2746666666667</v>
      </c>
      <c r="AI62" s="24">
        <f t="shared" si="12"/>
        <v>3234.4120000000003</v>
      </c>
      <c r="AK62" s="18"/>
      <c r="AL62" s="18">
        <v>2245</v>
      </c>
      <c r="AM62" s="24">
        <v>2115</v>
      </c>
      <c r="AN62" s="24">
        <v>1950</v>
      </c>
      <c r="AO62" s="38"/>
      <c r="AP62" s="18">
        <v>2999</v>
      </c>
      <c r="AQ62" s="18">
        <v>2451</v>
      </c>
      <c r="AR62" s="18"/>
      <c r="AS62" s="18"/>
      <c r="AU62" s="5">
        <f t="shared" si="13"/>
        <v>2352</v>
      </c>
      <c r="AW62" s="5">
        <f t="shared" si="14"/>
        <v>555.10444444444443</v>
      </c>
      <c r="AX62" s="5">
        <f t="shared" si="15"/>
        <v>4995.9399999999996</v>
      </c>
    </row>
    <row r="63" spans="2:52" x14ac:dyDescent="0.25">
      <c r="B63" s="38"/>
      <c r="C63" s="38">
        <v>10</v>
      </c>
      <c r="D63" s="38">
        <v>39</v>
      </c>
      <c r="E63" s="42" t="s">
        <v>143</v>
      </c>
      <c r="F63" s="24">
        <f t="shared" si="16"/>
        <v>600</v>
      </c>
      <c r="G63" s="24">
        <f t="shared" si="17"/>
        <v>600</v>
      </c>
      <c r="H63" s="18">
        <v>250</v>
      </c>
      <c r="I63" s="24">
        <f t="shared" si="36"/>
        <v>6608</v>
      </c>
      <c r="J63" s="24">
        <f t="shared" si="37"/>
        <v>736.31999999999994</v>
      </c>
      <c r="K63" s="24">
        <f t="shared" si="38"/>
        <v>4130</v>
      </c>
      <c r="L63" s="18">
        <v>0</v>
      </c>
      <c r="M63" s="24">
        <f t="shared" si="3"/>
        <v>129.79999999999998</v>
      </c>
      <c r="N63" s="24">
        <f t="shared" si="4"/>
        <v>92.039999999999992</v>
      </c>
      <c r="O63" s="24">
        <f t="shared" si="5"/>
        <v>236</v>
      </c>
      <c r="P63" s="24">
        <v>52</v>
      </c>
      <c r="Q63" s="24">
        <v>62</v>
      </c>
      <c r="R63" s="24">
        <v>60</v>
      </c>
      <c r="S63" s="24">
        <v>26</v>
      </c>
      <c r="T63" s="24">
        <v>240</v>
      </c>
      <c r="U63" s="24">
        <v>30</v>
      </c>
      <c r="V63" s="24">
        <f t="shared" si="6"/>
        <v>40</v>
      </c>
      <c r="W63" s="24">
        <v>34</v>
      </c>
      <c r="X63" s="24">
        <f t="shared" si="7"/>
        <v>40</v>
      </c>
      <c r="Y63" s="24"/>
      <c r="Z63" s="24">
        <f t="shared" si="39"/>
        <v>104</v>
      </c>
      <c r="AA63" s="24">
        <v>320</v>
      </c>
      <c r="AB63" s="24">
        <v>80</v>
      </c>
      <c r="AC63" s="24">
        <v>2432</v>
      </c>
      <c r="AD63" s="24">
        <f t="shared" si="8"/>
        <v>500</v>
      </c>
      <c r="AE63" s="18">
        <v>433</v>
      </c>
      <c r="AF63" s="18">
        <f t="shared" si="26"/>
        <v>17835.16</v>
      </c>
      <c r="AG63" s="24">
        <f t="shared" si="10"/>
        <v>1783.5160000000001</v>
      </c>
      <c r="AH63" s="46">
        <f t="shared" si="11"/>
        <v>2140.2192</v>
      </c>
      <c r="AI63" s="24">
        <f t="shared" si="12"/>
        <v>3567.0319999999992</v>
      </c>
      <c r="AK63" s="18"/>
      <c r="AL63" s="18">
        <v>2245</v>
      </c>
      <c r="AM63" s="24">
        <v>2115</v>
      </c>
      <c r="AN63" s="24">
        <v>1950</v>
      </c>
      <c r="AO63" s="39"/>
      <c r="AP63" s="18">
        <v>2999</v>
      </c>
      <c r="AQ63" s="18">
        <v>2451</v>
      </c>
      <c r="AR63" s="18"/>
      <c r="AS63" s="18"/>
      <c r="AU63" s="5">
        <f t="shared" si="13"/>
        <v>2352</v>
      </c>
      <c r="AW63" s="5">
        <f t="shared" si="14"/>
        <v>568.48399999999992</v>
      </c>
      <c r="AX63" s="5">
        <f t="shared" si="15"/>
        <v>5684.8399999999992</v>
      </c>
    </row>
    <row r="64" spans="2:52" x14ac:dyDescent="0.25">
      <c r="B64" s="38" t="s">
        <v>8</v>
      </c>
      <c r="C64" s="38">
        <v>1</v>
      </c>
      <c r="D64" s="38">
        <v>9</v>
      </c>
      <c r="E64" s="38" t="s">
        <v>139</v>
      </c>
      <c r="F64" s="24">
        <f t="shared" si="16"/>
        <v>60</v>
      </c>
      <c r="G64" s="24">
        <f t="shared" si="17"/>
        <v>60</v>
      </c>
      <c r="H64" s="18">
        <v>100</v>
      </c>
      <c r="I64" s="24">
        <f>70*C64*$B$65*1.18</f>
        <v>743.4</v>
      </c>
      <c r="J64" s="24">
        <f>2*D64*$B$65*1.18</f>
        <v>191.16</v>
      </c>
      <c r="K64" s="24">
        <f>50*C64*$B$67*1.18+50</f>
        <v>522</v>
      </c>
      <c r="L64" s="18">
        <v>0</v>
      </c>
      <c r="M64" s="24">
        <f t="shared" si="3"/>
        <v>12.979999999999999</v>
      </c>
      <c r="N64" s="24">
        <f t="shared" si="4"/>
        <v>21.24</v>
      </c>
      <c r="O64" s="24">
        <f t="shared" si="5"/>
        <v>23.599999999999998</v>
      </c>
      <c r="P64" s="40" t="s">
        <v>136</v>
      </c>
      <c r="Q64" s="24">
        <v>8</v>
      </c>
      <c r="R64" s="24">
        <v>30</v>
      </c>
      <c r="S64" s="24">
        <v>26</v>
      </c>
      <c r="T64" s="24">
        <v>54</v>
      </c>
      <c r="U64" s="24">
        <v>30</v>
      </c>
      <c r="V64" s="24">
        <f t="shared" si="6"/>
        <v>4</v>
      </c>
      <c r="W64" s="24">
        <v>17</v>
      </c>
      <c r="X64" s="24">
        <f t="shared" si="7"/>
        <v>4</v>
      </c>
      <c r="Y64" s="24">
        <v>70</v>
      </c>
      <c r="Z64" s="24">
        <f t="shared" ref="Z64:Z73" si="40">13*$B$65+50</f>
        <v>167</v>
      </c>
      <c r="AA64" s="24">
        <v>0</v>
      </c>
      <c r="AB64" s="24">
        <f t="shared" ref="AB64:AB73" si="41">90+40</f>
        <v>130</v>
      </c>
      <c r="AC64" s="24">
        <f>279+75</f>
        <v>354</v>
      </c>
      <c r="AD64" s="24">
        <f t="shared" si="8"/>
        <v>50</v>
      </c>
      <c r="AE64" s="24">
        <v>160</v>
      </c>
      <c r="AF64" s="18">
        <f t="shared" si="26"/>
        <v>2838.38</v>
      </c>
      <c r="AG64" s="24">
        <f t="shared" si="10"/>
        <v>2838.38</v>
      </c>
      <c r="AH64" s="45">
        <f t="shared" si="11"/>
        <v>3406.056</v>
      </c>
      <c r="AI64" s="24">
        <f t="shared" si="12"/>
        <v>567.67599999999993</v>
      </c>
      <c r="AK64" s="18"/>
      <c r="AL64" s="18">
        <v>2445</v>
      </c>
      <c r="AM64" s="24">
        <v>2685</v>
      </c>
      <c r="AN64" s="18">
        <v>2750</v>
      </c>
      <c r="AO64" s="38"/>
      <c r="AP64" s="38"/>
      <c r="AQ64" s="38"/>
      <c r="AR64" s="38"/>
      <c r="AS64" s="38"/>
      <c r="AU64" s="5">
        <f t="shared" si="13"/>
        <v>2626.6666666666665</v>
      </c>
      <c r="AW64" s="5">
        <f t="shared" si="14"/>
        <v>-211.71333333333359</v>
      </c>
      <c r="AX64" s="5">
        <f t="shared" si="15"/>
        <v>-211.71333333333359</v>
      </c>
      <c r="AZ64" s="5">
        <v>40000</v>
      </c>
    </row>
    <row r="65" spans="2:52" x14ac:dyDescent="0.25">
      <c r="B65" s="38">
        <v>9</v>
      </c>
      <c r="C65" s="38">
        <v>2</v>
      </c>
      <c r="D65" s="38">
        <v>12</v>
      </c>
      <c r="E65" s="38" t="s">
        <v>140</v>
      </c>
      <c r="F65" s="24">
        <f t="shared" si="16"/>
        <v>120</v>
      </c>
      <c r="G65" s="24">
        <f t="shared" si="17"/>
        <v>120</v>
      </c>
      <c r="H65" s="24">
        <v>100</v>
      </c>
      <c r="I65" s="24">
        <f t="shared" ref="I65:I73" si="42">70*C65*$B$65*1.18</f>
        <v>1486.8</v>
      </c>
      <c r="J65" s="24">
        <f t="shared" ref="J65:J73" si="43">2*D65*$B$65*1.18</f>
        <v>254.88</v>
      </c>
      <c r="K65" s="24">
        <f>50*C65*$B$67*1.18+100</f>
        <v>1044</v>
      </c>
      <c r="L65" s="18">
        <v>0</v>
      </c>
      <c r="M65" s="24">
        <f t="shared" si="3"/>
        <v>25.959999999999997</v>
      </c>
      <c r="N65" s="24">
        <f t="shared" si="4"/>
        <v>28.32</v>
      </c>
      <c r="O65" s="24">
        <f t="shared" si="5"/>
        <v>47.199999999999996</v>
      </c>
      <c r="P65" s="41" t="s">
        <v>136</v>
      </c>
      <c r="Q65" s="24">
        <v>14</v>
      </c>
      <c r="R65" s="24">
        <v>30</v>
      </c>
      <c r="S65" s="24">
        <v>26</v>
      </c>
      <c r="T65" s="24">
        <v>54</v>
      </c>
      <c r="U65" s="24">
        <v>30</v>
      </c>
      <c r="V65" s="24">
        <f t="shared" si="6"/>
        <v>8</v>
      </c>
      <c r="W65" s="24">
        <v>17</v>
      </c>
      <c r="X65" s="24">
        <f t="shared" si="7"/>
        <v>8</v>
      </c>
      <c r="Y65" s="24">
        <v>70</v>
      </c>
      <c r="Z65" s="24">
        <f t="shared" si="40"/>
        <v>167</v>
      </c>
      <c r="AA65" s="24">
        <f>90+40</f>
        <v>130</v>
      </c>
      <c r="AB65" s="24">
        <f t="shared" si="41"/>
        <v>130</v>
      </c>
      <c r="AC65" s="24">
        <f>576+125</f>
        <v>701</v>
      </c>
      <c r="AD65" s="24">
        <f t="shared" si="8"/>
        <v>100</v>
      </c>
      <c r="AE65" s="24">
        <v>185</v>
      </c>
      <c r="AF65" s="18">
        <f t="shared" si="26"/>
        <v>4897.16</v>
      </c>
      <c r="AG65" s="24">
        <f t="shared" si="10"/>
        <v>2448.58</v>
      </c>
      <c r="AH65" s="45">
        <f t="shared" si="11"/>
        <v>2938.2959999999998</v>
      </c>
      <c r="AI65" s="24">
        <f t="shared" si="12"/>
        <v>979.43199999999979</v>
      </c>
      <c r="AK65" s="24"/>
      <c r="AL65" s="18">
        <v>2445</v>
      </c>
      <c r="AM65" s="24">
        <v>1920</v>
      </c>
      <c r="AN65" s="24">
        <v>2590</v>
      </c>
      <c r="AO65" s="38"/>
      <c r="AP65" s="38"/>
      <c r="AQ65" s="38"/>
      <c r="AR65" s="38"/>
      <c r="AS65" s="38"/>
      <c r="AU65" s="5">
        <f t="shared" si="13"/>
        <v>2318.3333333333335</v>
      </c>
      <c r="AW65" s="5">
        <f t="shared" si="14"/>
        <v>-130.24666666666644</v>
      </c>
      <c r="AX65" s="5">
        <f t="shared" si="15"/>
        <v>-260.49333333333288</v>
      </c>
      <c r="AZ65" s="5">
        <v>30000</v>
      </c>
    </row>
    <row r="66" spans="2:52" x14ac:dyDescent="0.25">
      <c r="B66" s="38" t="s">
        <v>113</v>
      </c>
      <c r="C66" s="38">
        <v>3</v>
      </c>
      <c r="D66" s="38">
        <v>14</v>
      </c>
      <c r="E66" s="38" t="s">
        <v>140</v>
      </c>
      <c r="F66" s="24">
        <f t="shared" si="16"/>
        <v>180</v>
      </c>
      <c r="G66" s="24">
        <f t="shared" si="17"/>
        <v>180</v>
      </c>
      <c r="H66" s="24">
        <v>100</v>
      </c>
      <c r="I66" s="24">
        <f t="shared" si="42"/>
        <v>2230.1999999999998</v>
      </c>
      <c r="J66" s="24">
        <f t="shared" si="43"/>
        <v>297.35999999999996</v>
      </c>
      <c r="K66" s="24">
        <f>50*C66*$B$67*1.18+150</f>
        <v>1566</v>
      </c>
      <c r="L66" s="18">
        <v>0</v>
      </c>
      <c r="M66" s="24">
        <f t="shared" si="3"/>
        <v>38.94</v>
      </c>
      <c r="N66" s="24">
        <f t="shared" si="4"/>
        <v>33.04</v>
      </c>
      <c r="O66" s="24">
        <f t="shared" si="5"/>
        <v>70.8</v>
      </c>
      <c r="P66" s="41" t="s">
        <v>136</v>
      </c>
      <c r="Q66" s="24">
        <v>20</v>
      </c>
      <c r="R66" s="24">
        <v>30</v>
      </c>
      <c r="S66" s="24">
        <v>26</v>
      </c>
      <c r="T66" s="24">
        <v>108</v>
      </c>
      <c r="U66" s="24">
        <v>30</v>
      </c>
      <c r="V66" s="24">
        <f t="shared" si="6"/>
        <v>12</v>
      </c>
      <c r="W66" s="24">
        <v>17</v>
      </c>
      <c r="X66" s="24">
        <f t="shared" si="7"/>
        <v>12</v>
      </c>
      <c r="Y66" s="24">
        <v>70</v>
      </c>
      <c r="Z66" s="24">
        <f t="shared" si="40"/>
        <v>167</v>
      </c>
      <c r="AA66" s="24">
        <f>90+40</f>
        <v>130</v>
      </c>
      <c r="AB66" s="24">
        <f t="shared" si="41"/>
        <v>130</v>
      </c>
      <c r="AC66" s="24">
        <f>864+150</f>
        <v>1014</v>
      </c>
      <c r="AD66" s="24">
        <f t="shared" si="8"/>
        <v>150</v>
      </c>
      <c r="AE66" s="24">
        <v>206</v>
      </c>
      <c r="AF66" s="18">
        <f t="shared" si="26"/>
        <v>6818.3399999999992</v>
      </c>
      <c r="AG66" s="24">
        <f t="shared" si="10"/>
        <v>2272.7799999999997</v>
      </c>
      <c r="AH66" s="46">
        <f t="shared" si="11"/>
        <v>2727.3359999999998</v>
      </c>
      <c r="AI66" s="24">
        <f t="shared" si="12"/>
        <v>1363.6680000000001</v>
      </c>
      <c r="AK66" s="24"/>
      <c r="AL66" s="18">
        <v>2445</v>
      </c>
      <c r="AM66" s="24">
        <v>1920</v>
      </c>
      <c r="AN66" s="24">
        <v>2590</v>
      </c>
      <c r="AO66" s="38"/>
      <c r="AP66" s="38"/>
      <c r="AQ66" s="38"/>
      <c r="AR66" s="38"/>
      <c r="AS66" s="38"/>
      <c r="AU66" s="5">
        <f t="shared" si="13"/>
        <v>2318.3333333333335</v>
      </c>
      <c r="AW66" s="5">
        <f t="shared" si="14"/>
        <v>45.55333333333374</v>
      </c>
      <c r="AX66" s="5">
        <f t="shared" si="15"/>
        <v>136.66000000000122</v>
      </c>
      <c r="AZ66" s="5">
        <v>30000</v>
      </c>
    </row>
    <row r="67" spans="2:52" x14ac:dyDescent="0.25">
      <c r="B67" s="38">
        <v>8</v>
      </c>
      <c r="C67" s="38">
        <v>4</v>
      </c>
      <c r="D67" s="38">
        <v>17</v>
      </c>
      <c r="E67" s="38" t="s">
        <v>141</v>
      </c>
      <c r="F67" s="24">
        <f t="shared" si="16"/>
        <v>240</v>
      </c>
      <c r="G67" s="24">
        <f t="shared" si="17"/>
        <v>240</v>
      </c>
      <c r="H67" s="24">
        <v>150</v>
      </c>
      <c r="I67" s="24">
        <f t="shared" si="42"/>
        <v>2973.6</v>
      </c>
      <c r="J67" s="24">
        <f t="shared" si="43"/>
        <v>361.08</v>
      </c>
      <c r="K67" s="24">
        <f>50*C67*$B$67*1.18+200</f>
        <v>2088</v>
      </c>
      <c r="L67" s="18">
        <v>0</v>
      </c>
      <c r="M67" s="24">
        <f t="shared" si="3"/>
        <v>51.919999999999995</v>
      </c>
      <c r="N67" s="24">
        <f t="shared" si="4"/>
        <v>40.119999999999997</v>
      </c>
      <c r="O67" s="24">
        <f t="shared" si="5"/>
        <v>94.399999999999991</v>
      </c>
      <c r="P67" s="41" t="s">
        <v>136</v>
      </c>
      <c r="Q67" s="24">
        <v>26</v>
      </c>
      <c r="R67" s="24">
        <v>30</v>
      </c>
      <c r="S67" s="24">
        <v>26</v>
      </c>
      <c r="T67" s="24">
        <v>108</v>
      </c>
      <c r="U67" s="24">
        <v>30</v>
      </c>
      <c r="V67" s="24">
        <f t="shared" si="6"/>
        <v>16</v>
      </c>
      <c r="W67" s="24">
        <v>17</v>
      </c>
      <c r="X67" s="24">
        <f t="shared" si="7"/>
        <v>16</v>
      </c>
      <c r="Y67" s="24">
        <v>140</v>
      </c>
      <c r="Z67" s="24">
        <f t="shared" si="40"/>
        <v>167</v>
      </c>
      <c r="AA67" s="24">
        <f>90+40</f>
        <v>130</v>
      </c>
      <c r="AB67" s="24">
        <f t="shared" si="41"/>
        <v>130</v>
      </c>
      <c r="AC67" s="24">
        <f>1152+275</f>
        <v>1427</v>
      </c>
      <c r="AD67" s="24">
        <f t="shared" si="8"/>
        <v>200</v>
      </c>
      <c r="AE67" s="24">
        <v>246</v>
      </c>
      <c r="AF67" s="18">
        <f t="shared" si="26"/>
        <v>8948.119999999999</v>
      </c>
      <c r="AG67" s="24">
        <f t="shared" si="10"/>
        <v>2237.0299999999997</v>
      </c>
      <c r="AH67" s="46">
        <f t="shared" si="11"/>
        <v>2684.4359999999997</v>
      </c>
      <c r="AI67" s="24">
        <f t="shared" si="12"/>
        <v>1789.6239999999998</v>
      </c>
      <c r="AK67" s="24"/>
      <c r="AL67" s="18">
        <v>2445</v>
      </c>
      <c r="AM67" s="24">
        <v>1920</v>
      </c>
      <c r="AN67" s="24">
        <v>2590</v>
      </c>
      <c r="AO67" s="38"/>
      <c r="AP67" s="38"/>
      <c r="AQ67" s="38"/>
      <c r="AR67" s="38"/>
      <c r="AS67" s="38"/>
      <c r="AU67" s="5">
        <f t="shared" si="13"/>
        <v>2318.3333333333335</v>
      </c>
      <c r="AW67" s="5">
        <f t="shared" si="14"/>
        <v>81.30333333333374</v>
      </c>
      <c r="AX67" s="5">
        <f t="shared" si="15"/>
        <v>325.21333333333496</v>
      </c>
      <c r="AZ67" s="5">
        <v>20000</v>
      </c>
    </row>
    <row r="68" spans="2:52" x14ac:dyDescent="0.25">
      <c r="B68" s="38" t="s">
        <v>114</v>
      </c>
      <c r="C68" s="38">
        <v>5</v>
      </c>
      <c r="D68" s="38">
        <v>21</v>
      </c>
      <c r="E68" s="38" t="s">
        <v>141</v>
      </c>
      <c r="F68" s="24">
        <f t="shared" si="16"/>
        <v>300</v>
      </c>
      <c r="G68" s="24">
        <f t="shared" si="17"/>
        <v>300</v>
      </c>
      <c r="H68" s="24">
        <v>150</v>
      </c>
      <c r="I68" s="24">
        <f t="shared" si="42"/>
        <v>3717</v>
      </c>
      <c r="J68" s="24">
        <f t="shared" si="43"/>
        <v>446.03999999999996</v>
      </c>
      <c r="K68" s="24">
        <f>50*C68*$B$67*1.18+250</f>
        <v>2610</v>
      </c>
      <c r="L68" s="18">
        <v>0</v>
      </c>
      <c r="M68" s="24">
        <f t="shared" si="3"/>
        <v>64.899999999999991</v>
      </c>
      <c r="N68" s="24">
        <f t="shared" si="4"/>
        <v>49.559999999999995</v>
      </c>
      <c r="O68" s="24">
        <f t="shared" si="5"/>
        <v>118</v>
      </c>
      <c r="P68" s="41" t="s">
        <v>136</v>
      </c>
      <c r="Q68" s="24">
        <v>32</v>
      </c>
      <c r="R68" s="24">
        <v>30</v>
      </c>
      <c r="S68" s="24">
        <v>26</v>
      </c>
      <c r="T68" s="24">
        <v>162</v>
      </c>
      <c r="U68" s="24">
        <v>30</v>
      </c>
      <c r="V68" s="24">
        <f t="shared" si="6"/>
        <v>20</v>
      </c>
      <c r="W68" s="24">
        <v>34</v>
      </c>
      <c r="X68" s="24">
        <f t="shared" si="7"/>
        <v>20</v>
      </c>
      <c r="Y68" s="24">
        <v>140</v>
      </c>
      <c r="Z68" s="24">
        <f t="shared" si="40"/>
        <v>167</v>
      </c>
      <c r="AA68" s="24">
        <f>180+80</f>
        <v>260</v>
      </c>
      <c r="AB68" s="24">
        <f t="shared" si="41"/>
        <v>130</v>
      </c>
      <c r="AC68" s="24">
        <f>1296+325</f>
        <v>1621</v>
      </c>
      <c r="AD68" s="24">
        <f t="shared" si="8"/>
        <v>250</v>
      </c>
      <c r="AE68" s="24">
        <v>277</v>
      </c>
      <c r="AF68" s="18">
        <f t="shared" si="26"/>
        <v>10954.5</v>
      </c>
      <c r="AG68" s="24">
        <f t="shared" si="10"/>
        <v>2190.9</v>
      </c>
      <c r="AH68" s="47">
        <f t="shared" si="11"/>
        <v>2629.08</v>
      </c>
      <c r="AI68" s="24">
        <f t="shared" si="12"/>
        <v>2190.8999999999992</v>
      </c>
      <c r="AK68" s="24"/>
      <c r="AL68" s="18">
        <v>2445</v>
      </c>
      <c r="AM68" s="24">
        <v>1920</v>
      </c>
      <c r="AN68" s="24">
        <v>2500</v>
      </c>
      <c r="AO68" s="38"/>
      <c r="AP68" s="38"/>
      <c r="AQ68" s="38"/>
      <c r="AR68" s="38"/>
      <c r="AS68" s="38"/>
      <c r="AU68" s="5">
        <f t="shared" si="13"/>
        <v>2288.3333333333335</v>
      </c>
      <c r="AW68" s="5">
        <f t="shared" si="14"/>
        <v>97.433333333333394</v>
      </c>
      <c r="AX68" s="5">
        <f t="shared" si="15"/>
        <v>487.16666666666697</v>
      </c>
      <c r="AZ68" s="5"/>
    </row>
    <row r="69" spans="2:52" x14ac:dyDescent="0.25">
      <c r="B69" s="38"/>
      <c r="C69" s="38">
        <v>6</v>
      </c>
      <c r="D69" s="38">
        <v>24</v>
      </c>
      <c r="E69" s="38" t="s">
        <v>141</v>
      </c>
      <c r="F69" s="24">
        <f t="shared" si="16"/>
        <v>360</v>
      </c>
      <c r="G69" s="24">
        <f t="shared" si="17"/>
        <v>360</v>
      </c>
      <c r="H69" s="24">
        <v>150</v>
      </c>
      <c r="I69" s="24">
        <f t="shared" si="42"/>
        <v>4460.3999999999996</v>
      </c>
      <c r="J69" s="24">
        <f t="shared" si="43"/>
        <v>509.76</v>
      </c>
      <c r="K69" s="24">
        <f>50*C69*$B$67*1.18+300</f>
        <v>3132</v>
      </c>
      <c r="L69" s="18">
        <v>0</v>
      </c>
      <c r="M69" s="24">
        <f t="shared" ref="M69:M113" si="44">11*C69*1.18</f>
        <v>77.88</v>
      </c>
      <c r="N69" s="24">
        <f t="shared" ref="N69:N113" si="45">2*D69*1.18</f>
        <v>56.64</v>
      </c>
      <c r="O69" s="24">
        <f t="shared" ref="O69:O113" si="46">20*C69*1.18</f>
        <v>141.6</v>
      </c>
      <c r="P69" s="41" t="s">
        <v>136</v>
      </c>
      <c r="Q69" s="24">
        <v>38</v>
      </c>
      <c r="R69" s="24">
        <v>30</v>
      </c>
      <c r="S69" s="24">
        <v>26</v>
      </c>
      <c r="T69" s="24">
        <v>162</v>
      </c>
      <c r="U69" s="24">
        <v>30</v>
      </c>
      <c r="V69" s="24">
        <f t="shared" ref="V69:V113" si="47">4*C69</f>
        <v>24</v>
      </c>
      <c r="W69" s="24">
        <v>34</v>
      </c>
      <c r="X69" s="24">
        <f t="shared" ref="X69:X113" si="48">4*C69</f>
        <v>24</v>
      </c>
      <c r="Y69" s="24">
        <v>140</v>
      </c>
      <c r="Z69" s="24">
        <f t="shared" si="40"/>
        <v>167</v>
      </c>
      <c r="AA69" s="24">
        <f>180+80</f>
        <v>260</v>
      </c>
      <c r="AB69" s="24">
        <f t="shared" si="41"/>
        <v>130</v>
      </c>
      <c r="AC69" s="24">
        <f>1584+400</f>
        <v>1984</v>
      </c>
      <c r="AD69" s="24">
        <f t="shared" ref="AD69:AD113" si="49">50*C69</f>
        <v>300</v>
      </c>
      <c r="AE69" s="24">
        <v>284</v>
      </c>
      <c r="AF69" s="18">
        <f t="shared" si="26"/>
        <v>12881.279999999999</v>
      </c>
      <c r="AG69" s="24">
        <f t="shared" ref="AG69:AG115" si="50">AF69/C69</f>
        <v>2146.8799999999997</v>
      </c>
      <c r="AH69" s="47">
        <f t="shared" ref="AH69:AH115" si="51">AG69*1.2</f>
        <v>2576.2559999999994</v>
      </c>
      <c r="AI69" s="24">
        <f t="shared" ref="AI69:AI115" si="52">(AH69-AG69)*C69</f>
        <v>2576.2559999999985</v>
      </c>
      <c r="AK69" s="24"/>
      <c r="AL69" s="18">
        <v>2445</v>
      </c>
      <c r="AM69" s="24">
        <v>1870</v>
      </c>
      <c r="AN69" s="24">
        <v>2500</v>
      </c>
      <c r="AO69" s="38"/>
      <c r="AP69" s="38"/>
      <c r="AQ69" s="38"/>
      <c r="AR69" s="38"/>
      <c r="AS69" s="38"/>
      <c r="AU69" s="5">
        <f t="shared" ref="AU69:AU113" si="53">AVERAGE(AK69:AS69)</f>
        <v>2271.6666666666665</v>
      </c>
      <c r="AW69" s="5">
        <f t="shared" ref="AW69:AW113" si="54">AU69-AG69</f>
        <v>124.78666666666686</v>
      </c>
      <c r="AX69" s="5">
        <f t="shared" ref="AX69:AX113" si="55">AW69*C69</f>
        <v>748.72000000000116</v>
      </c>
    </row>
    <row r="70" spans="2:52" x14ac:dyDescent="0.25">
      <c r="B70" s="38"/>
      <c r="C70" s="38">
        <v>7</v>
      </c>
      <c r="D70" s="38">
        <v>27</v>
      </c>
      <c r="E70" s="42" t="s">
        <v>142</v>
      </c>
      <c r="F70" s="24">
        <f t="shared" ref="F70:F113" si="56">$F$4*C70</f>
        <v>420</v>
      </c>
      <c r="G70" s="24">
        <f t="shared" ref="G70:G113" si="57">$G$4*C70</f>
        <v>420</v>
      </c>
      <c r="H70" s="24">
        <v>250</v>
      </c>
      <c r="I70" s="24">
        <f t="shared" si="42"/>
        <v>5203.7999999999993</v>
      </c>
      <c r="J70" s="24">
        <f t="shared" si="43"/>
        <v>573.48</v>
      </c>
      <c r="K70" s="24">
        <f>50*C70*$B$67*1.18+350</f>
        <v>3654</v>
      </c>
      <c r="L70" s="18">
        <v>0</v>
      </c>
      <c r="M70" s="24">
        <f t="shared" si="44"/>
        <v>90.86</v>
      </c>
      <c r="N70" s="24">
        <f t="shared" si="45"/>
        <v>63.72</v>
      </c>
      <c r="O70" s="24">
        <f t="shared" si="46"/>
        <v>165.2</v>
      </c>
      <c r="P70" s="41" t="s">
        <v>136</v>
      </c>
      <c r="Q70" s="24">
        <v>44</v>
      </c>
      <c r="R70" s="24">
        <v>30</v>
      </c>
      <c r="S70" s="24">
        <v>26</v>
      </c>
      <c r="T70" s="24">
        <v>216</v>
      </c>
      <c r="U70" s="24">
        <v>30</v>
      </c>
      <c r="V70" s="24">
        <f t="shared" si="47"/>
        <v>28</v>
      </c>
      <c r="W70" s="24">
        <v>34</v>
      </c>
      <c r="X70" s="24">
        <f t="shared" si="48"/>
        <v>28</v>
      </c>
      <c r="Y70" s="24">
        <v>140</v>
      </c>
      <c r="Z70" s="24">
        <f t="shared" si="40"/>
        <v>167</v>
      </c>
      <c r="AA70" s="24">
        <f>170+120</f>
        <v>290</v>
      </c>
      <c r="AB70" s="24">
        <f t="shared" si="41"/>
        <v>130</v>
      </c>
      <c r="AC70" s="24">
        <f>1872+475</f>
        <v>2347</v>
      </c>
      <c r="AD70" s="24">
        <f t="shared" si="49"/>
        <v>350</v>
      </c>
      <c r="AE70" s="24">
        <v>318</v>
      </c>
      <c r="AF70" s="18">
        <f t="shared" si="26"/>
        <v>15019.06</v>
      </c>
      <c r="AG70" s="24">
        <f t="shared" si="50"/>
        <v>2145.58</v>
      </c>
      <c r="AH70" s="48">
        <f t="shared" si="51"/>
        <v>2574.6959999999999</v>
      </c>
      <c r="AI70" s="24">
        <f t="shared" si="52"/>
        <v>3003.8119999999999</v>
      </c>
      <c r="AK70" s="24"/>
      <c r="AL70" s="18">
        <v>2445</v>
      </c>
      <c r="AM70" s="24">
        <v>1870</v>
      </c>
      <c r="AN70" s="24">
        <v>2500</v>
      </c>
      <c r="AO70" s="38"/>
      <c r="AP70" s="38"/>
      <c r="AQ70" s="38"/>
      <c r="AR70" s="38"/>
      <c r="AS70" s="38"/>
      <c r="AU70" s="5">
        <f t="shared" si="53"/>
        <v>2271.6666666666665</v>
      </c>
      <c r="AW70" s="5">
        <f t="shared" si="54"/>
        <v>126.08666666666659</v>
      </c>
      <c r="AX70" s="5">
        <f t="shared" si="55"/>
        <v>882.60666666666611</v>
      </c>
    </row>
    <row r="71" spans="2:52" x14ac:dyDescent="0.25">
      <c r="B71" s="38"/>
      <c r="C71" s="38">
        <v>8</v>
      </c>
      <c r="D71" s="38">
        <v>30</v>
      </c>
      <c r="E71" s="42" t="s">
        <v>142</v>
      </c>
      <c r="F71" s="24">
        <f t="shared" si="56"/>
        <v>480</v>
      </c>
      <c r="G71" s="24">
        <f t="shared" si="57"/>
        <v>480</v>
      </c>
      <c r="H71" s="24">
        <v>250</v>
      </c>
      <c r="I71" s="24">
        <f t="shared" si="42"/>
        <v>5947.2</v>
      </c>
      <c r="J71" s="24">
        <f>2*D71*$B$65*1.18</f>
        <v>637.19999999999993</v>
      </c>
      <c r="K71" s="24">
        <f>50*C71*$B$67*1.18+400</f>
        <v>4176</v>
      </c>
      <c r="L71" s="18">
        <v>0</v>
      </c>
      <c r="M71" s="24">
        <f t="shared" si="44"/>
        <v>103.83999999999999</v>
      </c>
      <c r="N71" s="24">
        <f t="shared" si="45"/>
        <v>70.8</v>
      </c>
      <c r="O71" s="24">
        <f t="shared" si="46"/>
        <v>188.79999999999998</v>
      </c>
      <c r="P71" s="41" t="s">
        <v>137</v>
      </c>
      <c r="Q71" s="24">
        <v>50</v>
      </c>
      <c r="R71" s="24">
        <v>60</v>
      </c>
      <c r="S71" s="24">
        <v>26</v>
      </c>
      <c r="T71" s="24">
        <v>216</v>
      </c>
      <c r="U71" s="24">
        <v>30</v>
      </c>
      <c r="V71" s="24">
        <f t="shared" si="47"/>
        <v>32</v>
      </c>
      <c r="W71" s="24">
        <v>34</v>
      </c>
      <c r="X71" s="24">
        <f t="shared" si="48"/>
        <v>32</v>
      </c>
      <c r="Y71" s="24">
        <v>210</v>
      </c>
      <c r="Z71" s="24">
        <f t="shared" si="40"/>
        <v>167</v>
      </c>
      <c r="AA71" s="24">
        <f>170+120</f>
        <v>290</v>
      </c>
      <c r="AB71" s="24">
        <f t="shared" si="41"/>
        <v>130</v>
      </c>
      <c r="AC71" s="24">
        <f>2160+550</f>
        <v>2710</v>
      </c>
      <c r="AD71" s="24">
        <f t="shared" si="49"/>
        <v>400</v>
      </c>
      <c r="AE71" s="24">
        <v>282</v>
      </c>
      <c r="AF71" s="18">
        <f t="shared" si="26"/>
        <v>17002.839999999997</v>
      </c>
      <c r="AG71" s="24">
        <f t="shared" si="50"/>
        <v>2125.3549999999996</v>
      </c>
      <c r="AH71" s="48">
        <f t="shared" si="51"/>
        <v>2550.4259999999995</v>
      </c>
      <c r="AI71" s="24">
        <f t="shared" si="52"/>
        <v>3400.5679999999993</v>
      </c>
      <c r="AK71" s="24"/>
      <c r="AL71" s="18">
        <v>2445</v>
      </c>
      <c r="AM71" s="24">
        <v>1870</v>
      </c>
      <c r="AN71" s="24">
        <v>2450</v>
      </c>
      <c r="AO71" s="38"/>
      <c r="AP71" s="38"/>
      <c r="AQ71" s="38"/>
      <c r="AR71" s="38"/>
      <c r="AS71" s="38"/>
      <c r="AU71" s="5">
        <f t="shared" si="53"/>
        <v>2255</v>
      </c>
      <c r="AW71" s="5">
        <f t="shared" si="54"/>
        <v>129.64500000000044</v>
      </c>
      <c r="AX71" s="5">
        <f t="shared" si="55"/>
        <v>1037.1600000000035</v>
      </c>
    </row>
    <row r="72" spans="2:52" x14ac:dyDescent="0.25">
      <c r="B72" s="38"/>
      <c r="C72" s="38">
        <v>9</v>
      </c>
      <c r="D72" s="38">
        <v>34</v>
      </c>
      <c r="E72" s="42" t="s">
        <v>143</v>
      </c>
      <c r="F72" s="24">
        <f t="shared" si="56"/>
        <v>540</v>
      </c>
      <c r="G72" s="24">
        <f t="shared" si="57"/>
        <v>540</v>
      </c>
      <c r="H72" s="18">
        <v>250</v>
      </c>
      <c r="I72" s="24">
        <f t="shared" si="42"/>
        <v>6690.5999999999995</v>
      </c>
      <c r="J72" s="24">
        <f t="shared" si="43"/>
        <v>722.16</v>
      </c>
      <c r="K72" s="24">
        <f>50*C72*$B$67*1.18+450</f>
        <v>4698</v>
      </c>
      <c r="L72" s="18">
        <v>0</v>
      </c>
      <c r="M72" s="24">
        <f t="shared" si="44"/>
        <v>116.82</v>
      </c>
      <c r="N72" s="24">
        <f t="shared" si="45"/>
        <v>80.239999999999995</v>
      </c>
      <c r="O72" s="24">
        <f t="shared" si="46"/>
        <v>212.39999999999998</v>
      </c>
      <c r="P72" s="41" t="s">
        <v>137</v>
      </c>
      <c r="Q72" s="24">
        <v>56</v>
      </c>
      <c r="R72" s="24">
        <v>60</v>
      </c>
      <c r="S72" s="24">
        <v>26</v>
      </c>
      <c r="T72" s="24">
        <v>270</v>
      </c>
      <c r="U72" s="24">
        <v>30</v>
      </c>
      <c r="V72" s="24">
        <f t="shared" si="47"/>
        <v>36</v>
      </c>
      <c r="W72" s="24">
        <v>34</v>
      </c>
      <c r="X72" s="24">
        <f t="shared" si="48"/>
        <v>36</v>
      </c>
      <c r="Y72" s="24">
        <v>210</v>
      </c>
      <c r="Z72" s="24">
        <f t="shared" si="40"/>
        <v>167</v>
      </c>
      <c r="AA72" s="24">
        <f>360+160</f>
        <v>520</v>
      </c>
      <c r="AB72" s="24">
        <f t="shared" si="41"/>
        <v>130</v>
      </c>
      <c r="AC72" s="24">
        <f>2448+625</f>
        <v>3073</v>
      </c>
      <c r="AD72" s="24">
        <f t="shared" si="49"/>
        <v>450</v>
      </c>
      <c r="AE72" s="18">
        <v>384</v>
      </c>
      <c r="AF72" s="18">
        <f t="shared" si="26"/>
        <v>19332.22</v>
      </c>
      <c r="AG72" s="24">
        <f t="shared" si="50"/>
        <v>2148.0244444444447</v>
      </c>
      <c r="AH72" s="48">
        <f t="shared" si="51"/>
        <v>2577.6293333333338</v>
      </c>
      <c r="AI72" s="24">
        <f t="shared" si="52"/>
        <v>3866.4440000000013</v>
      </c>
      <c r="AK72" s="18"/>
      <c r="AL72" s="18">
        <v>2445</v>
      </c>
      <c r="AM72" s="24">
        <v>1870</v>
      </c>
      <c r="AN72" s="24">
        <v>2450</v>
      </c>
      <c r="AO72" s="38"/>
      <c r="AP72" s="38"/>
      <c r="AQ72" s="38"/>
      <c r="AR72" s="38"/>
      <c r="AS72" s="38"/>
      <c r="AU72" s="5">
        <f t="shared" si="53"/>
        <v>2255</v>
      </c>
      <c r="AW72" s="5">
        <f t="shared" si="54"/>
        <v>106.97555555555527</v>
      </c>
      <c r="AX72" s="5">
        <f t="shared" si="55"/>
        <v>962.77999999999747</v>
      </c>
    </row>
    <row r="73" spans="2:52" x14ac:dyDescent="0.25">
      <c r="B73" s="38"/>
      <c r="C73" s="38">
        <v>10</v>
      </c>
      <c r="D73" s="38">
        <v>40</v>
      </c>
      <c r="E73" s="42" t="s">
        <v>143</v>
      </c>
      <c r="F73" s="24">
        <f t="shared" si="56"/>
        <v>600</v>
      </c>
      <c r="G73" s="24">
        <f t="shared" si="57"/>
        <v>600</v>
      </c>
      <c r="H73" s="18">
        <v>250</v>
      </c>
      <c r="I73" s="24">
        <f t="shared" si="42"/>
        <v>7434</v>
      </c>
      <c r="J73" s="24">
        <f t="shared" si="43"/>
        <v>849.59999999999991</v>
      </c>
      <c r="K73" s="24">
        <f>50*C73*$B$67*1.18+500</f>
        <v>5220</v>
      </c>
      <c r="L73" s="18">
        <v>0</v>
      </c>
      <c r="M73" s="24">
        <f t="shared" si="44"/>
        <v>129.79999999999998</v>
      </c>
      <c r="N73" s="24">
        <f t="shared" si="45"/>
        <v>94.399999999999991</v>
      </c>
      <c r="O73" s="24">
        <f t="shared" si="46"/>
        <v>236</v>
      </c>
      <c r="P73" s="41" t="s">
        <v>137</v>
      </c>
      <c r="Q73" s="24">
        <v>62</v>
      </c>
      <c r="R73" s="24">
        <v>60</v>
      </c>
      <c r="S73" s="24">
        <v>26</v>
      </c>
      <c r="T73" s="24">
        <v>270</v>
      </c>
      <c r="U73" s="24">
        <v>30</v>
      </c>
      <c r="V73" s="24">
        <f t="shared" si="47"/>
        <v>40</v>
      </c>
      <c r="W73" s="24">
        <v>34</v>
      </c>
      <c r="X73" s="24">
        <f t="shared" si="48"/>
        <v>40</v>
      </c>
      <c r="Y73" s="24">
        <v>210</v>
      </c>
      <c r="Z73" s="24">
        <f t="shared" si="40"/>
        <v>167</v>
      </c>
      <c r="AA73" s="24">
        <f>360+160</f>
        <v>520</v>
      </c>
      <c r="AB73" s="24">
        <f t="shared" si="41"/>
        <v>130</v>
      </c>
      <c r="AC73" s="24">
        <f>2736+650</f>
        <v>3386</v>
      </c>
      <c r="AD73" s="24">
        <f t="shared" si="49"/>
        <v>500</v>
      </c>
      <c r="AE73" s="18">
        <v>433</v>
      </c>
      <c r="AF73" s="18">
        <f t="shared" si="26"/>
        <v>21321.8</v>
      </c>
      <c r="AG73" s="24">
        <f t="shared" si="50"/>
        <v>2132.1799999999998</v>
      </c>
      <c r="AH73" s="48">
        <f t="shared" si="51"/>
        <v>2558.6159999999995</v>
      </c>
      <c r="AI73" s="24">
        <f t="shared" si="52"/>
        <v>4264.3599999999969</v>
      </c>
      <c r="AK73" s="18"/>
      <c r="AL73" s="18">
        <v>2445</v>
      </c>
      <c r="AM73" s="24">
        <v>1870</v>
      </c>
      <c r="AN73" s="24">
        <v>2450</v>
      </c>
      <c r="AO73" s="39"/>
      <c r="AP73" s="39"/>
      <c r="AQ73" s="39"/>
      <c r="AR73" s="39"/>
      <c r="AS73" s="39"/>
      <c r="AU73" s="5">
        <f t="shared" si="53"/>
        <v>2255</v>
      </c>
      <c r="AW73" s="5">
        <f t="shared" si="54"/>
        <v>122.82000000000016</v>
      </c>
      <c r="AX73" s="5">
        <f t="shared" si="55"/>
        <v>1228.2000000000016</v>
      </c>
    </row>
    <row r="74" spans="2:52" x14ac:dyDescent="0.25">
      <c r="B74" s="38" t="s">
        <v>9</v>
      </c>
      <c r="C74" s="38">
        <v>1</v>
      </c>
      <c r="D74" s="38">
        <v>6</v>
      </c>
      <c r="E74" s="38" t="s">
        <v>139</v>
      </c>
      <c r="F74" s="24">
        <f t="shared" si="56"/>
        <v>60</v>
      </c>
      <c r="G74" s="24">
        <f t="shared" si="57"/>
        <v>60</v>
      </c>
      <c r="H74" s="18">
        <v>100</v>
      </c>
      <c r="I74" s="24">
        <f>70*C74*$B$75*1.18</f>
        <v>413</v>
      </c>
      <c r="J74" s="24">
        <f>2*D74*$B$75*1.18</f>
        <v>70.8</v>
      </c>
      <c r="K74" s="24">
        <f>50*C74*$B$77*1.18</f>
        <v>236</v>
      </c>
      <c r="L74" s="18">
        <v>0</v>
      </c>
      <c r="M74" s="24">
        <f t="shared" si="44"/>
        <v>12.979999999999999</v>
      </c>
      <c r="N74" s="24">
        <f t="shared" si="45"/>
        <v>14.16</v>
      </c>
      <c r="O74" s="24">
        <f t="shared" si="46"/>
        <v>23.599999999999998</v>
      </c>
      <c r="P74" s="40" t="s">
        <v>136</v>
      </c>
      <c r="Q74" s="24">
        <v>8</v>
      </c>
      <c r="R74" s="24">
        <v>30</v>
      </c>
      <c r="S74" s="24">
        <v>26</v>
      </c>
      <c r="T74" s="24">
        <v>30</v>
      </c>
      <c r="U74" s="24">
        <v>30</v>
      </c>
      <c r="V74" s="24">
        <f t="shared" si="47"/>
        <v>4</v>
      </c>
      <c r="W74" s="24">
        <v>17</v>
      </c>
      <c r="X74" s="24">
        <f t="shared" si="48"/>
        <v>4</v>
      </c>
      <c r="Y74" s="24"/>
      <c r="Z74" s="24">
        <f>13*$B$75</f>
        <v>65</v>
      </c>
      <c r="AA74" s="24">
        <v>0</v>
      </c>
      <c r="AB74" s="24">
        <v>50</v>
      </c>
      <c r="AC74" s="24">
        <v>155</v>
      </c>
      <c r="AD74" s="24">
        <f t="shared" si="49"/>
        <v>50</v>
      </c>
      <c r="AE74" s="24">
        <v>160</v>
      </c>
      <c r="AF74" s="18">
        <f t="shared" si="26"/>
        <v>1619.54</v>
      </c>
      <c r="AG74" s="24">
        <f t="shared" si="50"/>
        <v>1619.54</v>
      </c>
      <c r="AH74" s="24">
        <f t="shared" si="51"/>
        <v>1943.4479999999999</v>
      </c>
      <c r="AI74" s="24">
        <f t="shared" si="52"/>
        <v>323.9079999999999</v>
      </c>
      <c r="AK74" s="18"/>
      <c r="AL74" s="18"/>
      <c r="AM74" s="18"/>
      <c r="AN74" s="18"/>
      <c r="AO74" s="38"/>
      <c r="AP74" s="38"/>
      <c r="AQ74" s="38"/>
      <c r="AR74" s="38"/>
      <c r="AS74" s="38"/>
      <c r="AU74" s="5" t="e">
        <f>AVERAGE(AK74:AS74)</f>
        <v>#DIV/0!</v>
      </c>
      <c r="AW74" s="5" t="e">
        <f t="shared" si="54"/>
        <v>#DIV/0!</v>
      </c>
      <c r="AX74" s="5" t="e">
        <f t="shared" si="55"/>
        <v>#DIV/0!</v>
      </c>
    </row>
    <row r="75" spans="2:52" x14ac:dyDescent="0.25">
      <c r="B75" s="38">
        <v>5</v>
      </c>
      <c r="C75" s="38">
        <v>2</v>
      </c>
      <c r="D75" s="38">
        <v>11</v>
      </c>
      <c r="E75" s="38" t="s">
        <v>140</v>
      </c>
      <c r="F75" s="24">
        <f t="shared" si="56"/>
        <v>120</v>
      </c>
      <c r="G75" s="24">
        <f t="shared" si="57"/>
        <v>120</v>
      </c>
      <c r="H75" s="24">
        <v>100</v>
      </c>
      <c r="I75" s="24">
        <f t="shared" ref="I75:I83" si="58">70*C75*$B$75*1.18</f>
        <v>826</v>
      </c>
      <c r="J75" s="24">
        <f t="shared" ref="J75:J82" si="59">2*D75*$B$75*1.18</f>
        <v>129.79999999999998</v>
      </c>
      <c r="K75" s="24">
        <f t="shared" ref="K75:K83" si="60">50*C75*$B$77*1.18</f>
        <v>472</v>
      </c>
      <c r="L75" s="18">
        <v>0</v>
      </c>
      <c r="M75" s="24">
        <f t="shared" si="44"/>
        <v>25.959999999999997</v>
      </c>
      <c r="N75" s="24">
        <f t="shared" si="45"/>
        <v>25.959999999999997</v>
      </c>
      <c r="O75" s="24">
        <f t="shared" si="46"/>
        <v>47.199999999999996</v>
      </c>
      <c r="P75" s="41" t="s">
        <v>136</v>
      </c>
      <c r="Q75" s="24">
        <v>14</v>
      </c>
      <c r="R75" s="24">
        <v>30</v>
      </c>
      <c r="S75" s="24">
        <v>26</v>
      </c>
      <c r="T75" s="24">
        <v>30</v>
      </c>
      <c r="U75" s="24">
        <v>30</v>
      </c>
      <c r="V75" s="24">
        <f t="shared" si="47"/>
        <v>8</v>
      </c>
      <c r="W75" s="24">
        <v>17</v>
      </c>
      <c r="X75" s="24">
        <f t="shared" si="48"/>
        <v>8</v>
      </c>
      <c r="Y75" s="24"/>
      <c r="Z75" s="24">
        <f t="shared" ref="Z75:Z83" si="61">13*$B$75</f>
        <v>65</v>
      </c>
      <c r="AA75" s="24">
        <v>50</v>
      </c>
      <c r="AB75" s="24">
        <v>50</v>
      </c>
      <c r="AC75" s="24">
        <v>320</v>
      </c>
      <c r="AD75" s="24">
        <f t="shared" si="49"/>
        <v>100</v>
      </c>
      <c r="AE75" s="24">
        <v>185</v>
      </c>
      <c r="AF75" s="18">
        <f t="shared" si="26"/>
        <v>2799.92</v>
      </c>
      <c r="AG75" s="24">
        <f t="shared" si="50"/>
        <v>1399.96</v>
      </c>
      <c r="AH75" s="24">
        <f t="shared" si="51"/>
        <v>1679.952</v>
      </c>
      <c r="AI75" s="24">
        <f t="shared" si="52"/>
        <v>559.98399999999992</v>
      </c>
      <c r="AK75" s="24"/>
      <c r="AL75" s="18"/>
      <c r="AM75" s="24"/>
      <c r="AN75" s="24"/>
      <c r="AO75" s="38"/>
      <c r="AP75" s="38"/>
      <c r="AQ75" s="38"/>
      <c r="AR75" s="38"/>
      <c r="AS75" s="38"/>
      <c r="AU75" s="5" t="e">
        <f t="shared" si="53"/>
        <v>#DIV/0!</v>
      </c>
      <c r="AW75" s="5" t="e">
        <f t="shared" si="54"/>
        <v>#DIV/0!</v>
      </c>
      <c r="AX75" s="5" t="e">
        <f t="shared" si="55"/>
        <v>#DIV/0!</v>
      </c>
    </row>
    <row r="76" spans="2:52" x14ac:dyDescent="0.25">
      <c r="B76" s="38" t="s">
        <v>113</v>
      </c>
      <c r="C76" s="38">
        <v>3</v>
      </c>
      <c r="D76" s="38">
        <v>13</v>
      </c>
      <c r="E76" s="38" t="s">
        <v>140</v>
      </c>
      <c r="F76" s="24">
        <f t="shared" si="56"/>
        <v>180</v>
      </c>
      <c r="G76" s="24">
        <f t="shared" si="57"/>
        <v>180</v>
      </c>
      <c r="H76" s="24">
        <v>100</v>
      </c>
      <c r="I76" s="24">
        <f t="shared" si="58"/>
        <v>1239</v>
      </c>
      <c r="J76" s="24">
        <f t="shared" si="59"/>
        <v>153.4</v>
      </c>
      <c r="K76" s="24">
        <f t="shared" si="60"/>
        <v>708</v>
      </c>
      <c r="L76" s="18">
        <v>0</v>
      </c>
      <c r="M76" s="24">
        <f t="shared" si="44"/>
        <v>38.94</v>
      </c>
      <c r="N76" s="24">
        <f t="shared" si="45"/>
        <v>30.68</v>
      </c>
      <c r="O76" s="24">
        <f t="shared" si="46"/>
        <v>70.8</v>
      </c>
      <c r="P76" s="41" t="s">
        <v>136</v>
      </c>
      <c r="Q76" s="24">
        <v>20</v>
      </c>
      <c r="R76" s="24">
        <v>30</v>
      </c>
      <c r="S76" s="24">
        <v>26</v>
      </c>
      <c r="T76" s="24">
        <v>60</v>
      </c>
      <c r="U76" s="24">
        <v>30</v>
      </c>
      <c r="V76" s="24">
        <f t="shared" si="47"/>
        <v>12</v>
      </c>
      <c r="W76" s="24">
        <v>17</v>
      </c>
      <c r="X76" s="24">
        <f t="shared" si="48"/>
        <v>12</v>
      </c>
      <c r="Y76" s="24"/>
      <c r="Z76" s="24">
        <f t="shared" si="61"/>
        <v>65</v>
      </c>
      <c r="AA76" s="24">
        <v>50</v>
      </c>
      <c r="AB76" s="24">
        <v>50</v>
      </c>
      <c r="AC76" s="24">
        <v>480</v>
      </c>
      <c r="AD76" s="24">
        <f t="shared" si="49"/>
        <v>150</v>
      </c>
      <c r="AE76" s="24">
        <v>206</v>
      </c>
      <c r="AF76" s="18">
        <f t="shared" si="26"/>
        <v>3908.82</v>
      </c>
      <c r="AG76" s="24">
        <f t="shared" si="50"/>
        <v>1302.94</v>
      </c>
      <c r="AH76" s="24">
        <f t="shared" si="51"/>
        <v>1563.528</v>
      </c>
      <c r="AI76" s="24">
        <f t="shared" si="52"/>
        <v>781.7639999999999</v>
      </c>
      <c r="AK76" s="24"/>
      <c r="AL76" s="24"/>
      <c r="AM76" s="24"/>
      <c r="AN76" s="24"/>
      <c r="AO76" s="38"/>
      <c r="AP76" s="38"/>
      <c r="AQ76" s="38"/>
      <c r="AR76" s="38"/>
      <c r="AS76" s="38"/>
      <c r="AU76" s="5" t="e">
        <f t="shared" si="53"/>
        <v>#DIV/0!</v>
      </c>
      <c r="AW76" s="5" t="e">
        <f t="shared" si="54"/>
        <v>#DIV/0!</v>
      </c>
      <c r="AX76" s="5" t="e">
        <f t="shared" si="55"/>
        <v>#DIV/0!</v>
      </c>
    </row>
    <row r="77" spans="2:52" x14ac:dyDescent="0.25">
      <c r="B77" s="38">
        <v>4</v>
      </c>
      <c r="C77" s="38">
        <v>4</v>
      </c>
      <c r="D77" s="38">
        <v>15</v>
      </c>
      <c r="E77" s="38" t="s">
        <v>141</v>
      </c>
      <c r="F77" s="24">
        <f t="shared" si="56"/>
        <v>240</v>
      </c>
      <c r="G77" s="24">
        <f t="shared" si="57"/>
        <v>240</v>
      </c>
      <c r="H77" s="24">
        <v>150</v>
      </c>
      <c r="I77" s="24">
        <f t="shared" si="58"/>
        <v>1652</v>
      </c>
      <c r="J77" s="24">
        <f t="shared" si="59"/>
        <v>177</v>
      </c>
      <c r="K77" s="24">
        <f t="shared" si="60"/>
        <v>944</v>
      </c>
      <c r="L77" s="18">
        <v>0</v>
      </c>
      <c r="M77" s="24">
        <f t="shared" si="44"/>
        <v>51.919999999999995</v>
      </c>
      <c r="N77" s="24">
        <f t="shared" si="45"/>
        <v>35.4</v>
      </c>
      <c r="O77" s="24">
        <f t="shared" si="46"/>
        <v>94.399999999999991</v>
      </c>
      <c r="P77" s="41" t="s">
        <v>136</v>
      </c>
      <c r="Q77" s="24">
        <v>26</v>
      </c>
      <c r="R77" s="24">
        <v>30</v>
      </c>
      <c r="S77" s="24">
        <v>26</v>
      </c>
      <c r="T77" s="24">
        <v>60</v>
      </c>
      <c r="U77" s="24">
        <v>30</v>
      </c>
      <c r="V77" s="24">
        <f t="shared" si="47"/>
        <v>16</v>
      </c>
      <c r="W77" s="24">
        <v>17</v>
      </c>
      <c r="X77" s="24">
        <f t="shared" si="48"/>
        <v>16</v>
      </c>
      <c r="Y77" s="24"/>
      <c r="Z77" s="24">
        <f t="shared" si="61"/>
        <v>65</v>
      </c>
      <c r="AA77" s="24">
        <v>50</v>
      </c>
      <c r="AB77" s="24">
        <v>50</v>
      </c>
      <c r="AC77" s="24">
        <v>640</v>
      </c>
      <c r="AD77" s="24">
        <f t="shared" si="49"/>
        <v>200</v>
      </c>
      <c r="AE77" s="24">
        <v>246</v>
      </c>
      <c r="AF77" s="18">
        <f t="shared" si="26"/>
        <v>5056.72</v>
      </c>
      <c r="AG77" s="24">
        <f t="shared" si="50"/>
        <v>1264.18</v>
      </c>
      <c r="AH77" s="24">
        <f t="shared" si="51"/>
        <v>1517.0160000000001</v>
      </c>
      <c r="AI77" s="24">
        <f t="shared" si="52"/>
        <v>1011.3440000000001</v>
      </c>
      <c r="AK77" s="24"/>
      <c r="AL77" s="24"/>
      <c r="AM77" s="24"/>
      <c r="AN77" s="24"/>
      <c r="AO77" s="38"/>
      <c r="AP77" s="38"/>
      <c r="AQ77" s="38"/>
      <c r="AR77" s="38"/>
      <c r="AS77" s="38"/>
      <c r="AU77" s="5" t="e">
        <f t="shared" si="53"/>
        <v>#DIV/0!</v>
      </c>
      <c r="AW77" s="5" t="e">
        <f t="shared" si="54"/>
        <v>#DIV/0!</v>
      </c>
      <c r="AX77" s="5" t="e">
        <f t="shared" si="55"/>
        <v>#DIV/0!</v>
      </c>
    </row>
    <row r="78" spans="2:52" x14ac:dyDescent="0.25">
      <c r="B78" s="38" t="s">
        <v>114</v>
      </c>
      <c r="C78" s="38">
        <v>5</v>
      </c>
      <c r="D78" s="38">
        <v>18</v>
      </c>
      <c r="E78" s="38" t="s">
        <v>141</v>
      </c>
      <c r="F78" s="24">
        <f t="shared" si="56"/>
        <v>300</v>
      </c>
      <c r="G78" s="24">
        <f t="shared" si="57"/>
        <v>300</v>
      </c>
      <c r="H78" s="24">
        <v>150</v>
      </c>
      <c r="I78" s="24">
        <f t="shared" si="58"/>
        <v>2065</v>
      </c>
      <c r="J78" s="24">
        <f t="shared" si="59"/>
        <v>212.39999999999998</v>
      </c>
      <c r="K78" s="24">
        <f t="shared" si="60"/>
        <v>1180</v>
      </c>
      <c r="L78" s="18">
        <v>0</v>
      </c>
      <c r="M78" s="24">
        <f t="shared" si="44"/>
        <v>64.899999999999991</v>
      </c>
      <c r="N78" s="24">
        <f t="shared" si="45"/>
        <v>42.48</v>
      </c>
      <c r="O78" s="24">
        <f t="shared" si="46"/>
        <v>118</v>
      </c>
      <c r="P78" s="41" t="s">
        <v>136</v>
      </c>
      <c r="Q78" s="24">
        <v>32</v>
      </c>
      <c r="R78" s="24">
        <v>30</v>
      </c>
      <c r="S78" s="24">
        <v>26</v>
      </c>
      <c r="T78" s="24">
        <v>90</v>
      </c>
      <c r="U78" s="24">
        <v>30</v>
      </c>
      <c r="V78" s="24">
        <f t="shared" si="47"/>
        <v>20</v>
      </c>
      <c r="W78" s="24">
        <v>34</v>
      </c>
      <c r="X78" s="24">
        <f t="shared" si="48"/>
        <v>20</v>
      </c>
      <c r="Y78" s="24"/>
      <c r="Z78" s="24">
        <f t="shared" si="61"/>
        <v>65</v>
      </c>
      <c r="AA78" s="24">
        <v>100</v>
      </c>
      <c r="AB78" s="24">
        <v>50</v>
      </c>
      <c r="AC78" s="24">
        <v>720</v>
      </c>
      <c r="AD78" s="24">
        <f t="shared" si="49"/>
        <v>250</v>
      </c>
      <c r="AE78" s="24">
        <v>277</v>
      </c>
      <c r="AF78" s="18">
        <f t="shared" si="26"/>
        <v>6176.7799999999988</v>
      </c>
      <c r="AG78" s="24">
        <f t="shared" si="50"/>
        <v>1235.3559999999998</v>
      </c>
      <c r="AH78" s="24">
        <f t="shared" si="51"/>
        <v>1482.4271999999996</v>
      </c>
      <c r="AI78" s="24">
        <f t="shared" si="52"/>
        <v>1235.3559999999993</v>
      </c>
      <c r="AK78" s="24"/>
      <c r="AL78" s="24"/>
      <c r="AM78" s="24"/>
      <c r="AN78" s="24"/>
      <c r="AO78" s="38"/>
      <c r="AP78" s="38"/>
      <c r="AQ78" s="38"/>
      <c r="AR78" s="38"/>
      <c r="AS78" s="38"/>
      <c r="AU78" s="5" t="e">
        <f t="shared" si="53"/>
        <v>#DIV/0!</v>
      </c>
      <c r="AW78" s="5" t="e">
        <f t="shared" si="54"/>
        <v>#DIV/0!</v>
      </c>
      <c r="AX78" s="5" t="e">
        <f t="shared" si="55"/>
        <v>#DIV/0!</v>
      </c>
    </row>
    <row r="79" spans="2:52" x14ac:dyDescent="0.25">
      <c r="B79" s="38"/>
      <c r="C79" s="38">
        <v>6</v>
      </c>
      <c r="D79" s="38">
        <v>20</v>
      </c>
      <c r="E79" s="38" t="s">
        <v>141</v>
      </c>
      <c r="F79" s="24">
        <f t="shared" si="56"/>
        <v>360</v>
      </c>
      <c r="G79" s="24">
        <f t="shared" si="57"/>
        <v>360</v>
      </c>
      <c r="H79" s="24">
        <v>150</v>
      </c>
      <c r="I79" s="24">
        <f t="shared" si="58"/>
        <v>2478</v>
      </c>
      <c r="J79" s="24">
        <f t="shared" si="59"/>
        <v>236</v>
      </c>
      <c r="K79" s="24">
        <f t="shared" si="60"/>
        <v>1416</v>
      </c>
      <c r="L79" s="18">
        <v>0</v>
      </c>
      <c r="M79" s="24">
        <f t="shared" si="44"/>
        <v>77.88</v>
      </c>
      <c r="N79" s="24">
        <f t="shared" si="45"/>
        <v>47.199999999999996</v>
      </c>
      <c r="O79" s="24">
        <f t="shared" si="46"/>
        <v>141.6</v>
      </c>
      <c r="P79" s="41" t="s">
        <v>136</v>
      </c>
      <c r="Q79" s="24">
        <v>38</v>
      </c>
      <c r="R79" s="24">
        <v>30</v>
      </c>
      <c r="S79" s="24">
        <v>26</v>
      </c>
      <c r="T79" s="24">
        <v>90</v>
      </c>
      <c r="U79" s="24">
        <v>30</v>
      </c>
      <c r="V79" s="24">
        <f t="shared" si="47"/>
        <v>24</v>
      </c>
      <c r="W79" s="24">
        <v>34</v>
      </c>
      <c r="X79" s="24">
        <f t="shared" si="48"/>
        <v>24</v>
      </c>
      <c r="Y79" s="24"/>
      <c r="Z79" s="24">
        <f t="shared" si="61"/>
        <v>65</v>
      </c>
      <c r="AA79" s="24">
        <v>100</v>
      </c>
      <c r="AB79" s="24">
        <v>50</v>
      </c>
      <c r="AC79" s="24">
        <v>880</v>
      </c>
      <c r="AD79" s="24">
        <f t="shared" si="49"/>
        <v>300</v>
      </c>
      <c r="AE79" s="24">
        <v>284</v>
      </c>
      <c r="AF79" s="18">
        <f t="shared" si="26"/>
        <v>7241.68</v>
      </c>
      <c r="AG79" s="24">
        <f t="shared" si="50"/>
        <v>1206.9466666666667</v>
      </c>
      <c r="AH79" s="24">
        <f t="shared" si="51"/>
        <v>1448.336</v>
      </c>
      <c r="AI79" s="24">
        <f t="shared" si="52"/>
        <v>1448.3359999999998</v>
      </c>
      <c r="AK79" s="24"/>
      <c r="AL79" s="24"/>
      <c r="AM79" s="24"/>
      <c r="AN79" s="24"/>
      <c r="AO79" s="38"/>
      <c r="AP79" s="38"/>
      <c r="AQ79" s="38"/>
      <c r="AR79" s="38"/>
      <c r="AS79" s="38"/>
      <c r="AU79" s="5" t="e">
        <f t="shared" si="53"/>
        <v>#DIV/0!</v>
      </c>
      <c r="AW79" s="5" t="e">
        <f t="shared" si="54"/>
        <v>#DIV/0!</v>
      </c>
      <c r="AX79" s="5" t="e">
        <f t="shared" si="55"/>
        <v>#DIV/0!</v>
      </c>
    </row>
    <row r="80" spans="2:52" x14ac:dyDescent="0.25">
      <c r="B80" s="38"/>
      <c r="C80" s="38">
        <v>7</v>
      </c>
      <c r="D80" s="38">
        <v>23</v>
      </c>
      <c r="E80" s="42" t="s">
        <v>142</v>
      </c>
      <c r="F80" s="24">
        <f t="shared" si="56"/>
        <v>420</v>
      </c>
      <c r="G80" s="24">
        <f t="shared" si="57"/>
        <v>420</v>
      </c>
      <c r="H80" s="24">
        <v>250</v>
      </c>
      <c r="I80" s="24">
        <f t="shared" si="58"/>
        <v>2891</v>
      </c>
      <c r="J80" s="24">
        <f t="shared" si="59"/>
        <v>271.39999999999998</v>
      </c>
      <c r="K80" s="24">
        <f t="shared" si="60"/>
        <v>1652</v>
      </c>
      <c r="L80" s="18">
        <v>0</v>
      </c>
      <c r="M80" s="24">
        <f t="shared" si="44"/>
        <v>90.86</v>
      </c>
      <c r="N80" s="24">
        <f t="shared" si="45"/>
        <v>54.279999999999994</v>
      </c>
      <c r="O80" s="24">
        <f t="shared" si="46"/>
        <v>165.2</v>
      </c>
      <c r="P80" s="41" t="s">
        <v>136</v>
      </c>
      <c r="Q80" s="24">
        <v>44</v>
      </c>
      <c r="R80" s="24">
        <v>30</v>
      </c>
      <c r="S80" s="24">
        <v>26</v>
      </c>
      <c r="T80" s="24">
        <v>120</v>
      </c>
      <c r="U80" s="24">
        <v>30</v>
      </c>
      <c r="V80" s="24">
        <f t="shared" si="47"/>
        <v>28</v>
      </c>
      <c r="W80" s="24">
        <v>34</v>
      </c>
      <c r="X80" s="24">
        <f t="shared" si="48"/>
        <v>28</v>
      </c>
      <c r="Y80" s="24"/>
      <c r="Z80" s="24">
        <f t="shared" si="61"/>
        <v>65</v>
      </c>
      <c r="AA80" s="24">
        <v>150</v>
      </c>
      <c r="AB80" s="24">
        <v>50</v>
      </c>
      <c r="AC80" s="24">
        <v>1040</v>
      </c>
      <c r="AD80" s="24">
        <f t="shared" si="49"/>
        <v>350</v>
      </c>
      <c r="AE80" s="24">
        <v>318</v>
      </c>
      <c r="AF80" s="18">
        <f t="shared" si="26"/>
        <v>8527.739999999998</v>
      </c>
      <c r="AG80" s="24">
        <f t="shared" si="50"/>
        <v>1218.248571428571</v>
      </c>
      <c r="AH80" s="24">
        <f t="shared" si="51"/>
        <v>1461.8982857142853</v>
      </c>
      <c r="AI80" s="24">
        <f t="shared" si="52"/>
        <v>1705.5479999999998</v>
      </c>
      <c r="AK80" s="24"/>
      <c r="AL80" s="24"/>
      <c r="AM80" s="24"/>
      <c r="AN80" s="24"/>
      <c r="AO80" s="38"/>
      <c r="AP80" s="38"/>
      <c r="AQ80" s="38"/>
      <c r="AR80" s="38"/>
      <c r="AS80" s="38"/>
      <c r="AU80" s="5" t="e">
        <f t="shared" si="53"/>
        <v>#DIV/0!</v>
      </c>
      <c r="AW80" s="5" t="e">
        <f t="shared" si="54"/>
        <v>#DIV/0!</v>
      </c>
      <c r="AX80" s="5" t="e">
        <f t="shared" si="55"/>
        <v>#DIV/0!</v>
      </c>
    </row>
    <row r="81" spans="2:50" x14ac:dyDescent="0.25">
      <c r="B81" s="38"/>
      <c r="C81" s="38">
        <v>8</v>
      </c>
      <c r="D81" s="38">
        <v>25</v>
      </c>
      <c r="E81" s="42" t="s">
        <v>142</v>
      </c>
      <c r="F81" s="24">
        <f t="shared" si="56"/>
        <v>480</v>
      </c>
      <c r="G81" s="24">
        <f t="shared" si="57"/>
        <v>480</v>
      </c>
      <c r="H81" s="24">
        <v>250</v>
      </c>
      <c r="I81" s="24">
        <f t="shared" si="58"/>
        <v>3304</v>
      </c>
      <c r="J81" s="24">
        <f t="shared" si="59"/>
        <v>295</v>
      </c>
      <c r="K81" s="24">
        <f t="shared" si="60"/>
        <v>1888</v>
      </c>
      <c r="L81" s="18">
        <v>0</v>
      </c>
      <c r="M81" s="24">
        <f t="shared" si="44"/>
        <v>103.83999999999999</v>
      </c>
      <c r="N81" s="24">
        <f t="shared" si="45"/>
        <v>59</v>
      </c>
      <c r="O81" s="24">
        <f t="shared" si="46"/>
        <v>188.79999999999998</v>
      </c>
      <c r="P81" s="41" t="s">
        <v>137</v>
      </c>
      <c r="Q81" s="24">
        <v>50</v>
      </c>
      <c r="R81" s="24">
        <v>60</v>
      </c>
      <c r="S81" s="24">
        <v>26</v>
      </c>
      <c r="T81" s="24">
        <v>120</v>
      </c>
      <c r="U81" s="24">
        <v>30</v>
      </c>
      <c r="V81" s="24">
        <f t="shared" si="47"/>
        <v>32</v>
      </c>
      <c r="W81" s="24">
        <v>34</v>
      </c>
      <c r="X81" s="24">
        <f t="shared" si="48"/>
        <v>32</v>
      </c>
      <c r="Y81" s="24"/>
      <c r="Z81" s="24">
        <f t="shared" si="61"/>
        <v>65</v>
      </c>
      <c r="AA81" s="24">
        <v>150</v>
      </c>
      <c r="AB81" s="24">
        <v>50</v>
      </c>
      <c r="AC81" s="24">
        <v>1200</v>
      </c>
      <c r="AD81" s="24">
        <f t="shared" si="49"/>
        <v>400</v>
      </c>
      <c r="AE81" s="24">
        <v>282</v>
      </c>
      <c r="AF81" s="18">
        <f t="shared" si="26"/>
        <v>9579.64</v>
      </c>
      <c r="AG81" s="24">
        <f t="shared" si="50"/>
        <v>1197.4549999999999</v>
      </c>
      <c r="AH81" s="24">
        <f t="shared" si="51"/>
        <v>1436.9459999999999</v>
      </c>
      <c r="AI81" s="24">
        <f t="shared" si="52"/>
        <v>1915.9279999999999</v>
      </c>
      <c r="AK81" s="24"/>
      <c r="AL81" s="24"/>
      <c r="AM81" s="24"/>
      <c r="AN81" s="24"/>
      <c r="AO81" s="38"/>
      <c r="AP81" s="38"/>
      <c r="AQ81" s="38"/>
      <c r="AR81" s="38"/>
      <c r="AS81" s="38"/>
      <c r="AU81" s="5" t="e">
        <f t="shared" si="53"/>
        <v>#DIV/0!</v>
      </c>
      <c r="AW81" s="5" t="e">
        <f t="shared" si="54"/>
        <v>#DIV/0!</v>
      </c>
      <c r="AX81" s="5" t="e">
        <f t="shared" si="55"/>
        <v>#DIV/0!</v>
      </c>
    </row>
    <row r="82" spans="2:50" x14ac:dyDescent="0.25">
      <c r="B82" s="38"/>
      <c r="C82" s="38">
        <v>9</v>
      </c>
      <c r="D82" s="38">
        <v>28</v>
      </c>
      <c r="E82" s="42" t="s">
        <v>143</v>
      </c>
      <c r="F82" s="24">
        <f t="shared" si="56"/>
        <v>540</v>
      </c>
      <c r="G82" s="24">
        <f t="shared" si="57"/>
        <v>540</v>
      </c>
      <c r="H82" s="18">
        <v>250</v>
      </c>
      <c r="I82" s="24">
        <f t="shared" si="58"/>
        <v>3717</v>
      </c>
      <c r="J82" s="24">
        <f t="shared" si="59"/>
        <v>330.4</v>
      </c>
      <c r="K82" s="24">
        <f t="shared" si="60"/>
        <v>2124</v>
      </c>
      <c r="L82" s="18">
        <v>0</v>
      </c>
      <c r="M82" s="24">
        <f t="shared" si="44"/>
        <v>116.82</v>
      </c>
      <c r="N82" s="24">
        <f t="shared" si="45"/>
        <v>66.08</v>
      </c>
      <c r="O82" s="24">
        <f t="shared" si="46"/>
        <v>212.39999999999998</v>
      </c>
      <c r="P82" s="41" t="s">
        <v>137</v>
      </c>
      <c r="Q82" s="24">
        <v>56</v>
      </c>
      <c r="R82" s="24">
        <v>60</v>
      </c>
      <c r="S82" s="24">
        <v>26</v>
      </c>
      <c r="T82" s="24">
        <v>150</v>
      </c>
      <c r="U82" s="24">
        <v>30</v>
      </c>
      <c r="V82" s="24">
        <f t="shared" si="47"/>
        <v>36</v>
      </c>
      <c r="W82" s="24">
        <v>34</v>
      </c>
      <c r="X82" s="24">
        <f t="shared" si="48"/>
        <v>36</v>
      </c>
      <c r="Y82" s="24"/>
      <c r="Z82" s="24">
        <f t="shared" si="61"/>
        <v>65</v>
      </c>
      <c r="AA82" s="24">
        <v>200</v>
      </c>
      <c r="AB82" s="24">
        <v>50</v>
      </c>
      <c r="AC82" s="24">
        <v>1360</v>
      </c>
      <c r="AD82" s="24">
        <f t="shared" si="49"/>
        <v>450</v>
      </c>
      <c r="AE82" s="18">
        <v>384</v>
      </c>
      <c r="AF82" s="18">
        <f t="shared" si="26"/>
        <v>10833.699999999999</v>
      </c>
      <c r="AG82" s="24">
        <f t="shared" si="50"/>
        <v>1203.7444444444443</v>
      </c>
      <c r="AH82" s="24">
        <f t="shared" si="51"/>
        <v>1444.4933333333331</v>
      </c>
      <c r="AI82" s="24">
        <f t="shared" si="52"/>
        <v>2166.7399999999993</v>
      </c>
      <c r="AK82" s="18"/>
      <c r="AL82" s="18"/>
      <c r="AM82" s="18"/>
      <c r="AN82" s="18"/>
      <c r="AO82" s="38"/>
      <c r="AP82" s="38"/>
      <c r="AQ82" s="38"/>
      <c r="AR82" s="38"/>
      <c r="AS82" s="38"/>
      <c r="AU82" s="5" t="e">
        <f t="shared" si="53"/>
        <v>#DIV/0!</v>
      </c>
      <c r="AW82" s="5" t="e">
        <f t="shared" si="54"/>
        <v>#DIV/0!</v>
      </c>
      <c r="AX82" s="5" t="e">
        <f t="shared" si="55"/>
        <v>#DIV/0!</v>
      </c>
    </row>
    <row r="83" spans="2:50" x14ac:dyDescent="0.25">
      <c r="B83" s="38"/>
      <c r="C83" s="38">
        <v>10</v>
      </c>
      <c r="D83" s="38">
        <v>31</v>
      </c>
      <c r="E83" s="42" t="s">
        <v>143</v>
      </c>
      <c r="F83" s="24">
        <f t="shared" si="56"/>
        <v>600</v>
      </c>
      <c r="G83" s="24">
        <f t="shared" si="57"/>
        <v>600</v>
      </c>
      <c r="H83" s="18">
        <v>250</v>
      </c>
      <c r="I83" s="24">
        <f t="shared" si="58"/>
        <v>4130</v>
      </c>
      <c r="J83" s="24">
        <f>2*D83*$B$75*1.18</f>
        <v>365.79999999999995</v>
      </c>
      <c r="K83" s="24">
        <f t="shared" si="60"/>
        <v>2360</v>
      </c>
      <c r="L83" s="18">
        <v>0</v>
      </c>
      <c r="M83" s="24">
        <f t="shared" si="44"/>
        <v>129.79999999999998</v>
      </c>
      <c r="N83" s="24">
        <f t="shared" si="45"/>
        <v>73.16</v>
      </c>
      <c r="O83" s="24">
        <f t="shared" si="46"/>
        <v>236</v>
      </c>
      <c r="P83" s="41" t="s">
        <v>137</v>
      </c>
      <c r="Q83" s="24">
        <v>62</v>
      </c>
      <c r="R83" s="24">
        <v>60</v>
      </c>
      <c r="S83" s="24">
        <v>26</v>
      </c>
      <c r="T83" s="24">
        <v>150</v>
      </c>
      <c r="U83" s="24">
        <v>30</v>
      </c>
      <c r="V83" s="24">
        <f t="shared" si="47"/>
        <v>40</v>
      </c>
      <c r="W83" s="24">
        <v>34</v>
      </c>
      <c r="X83" s="24">
        <f t="shared" si="48"/>
        <v>40</v>
      </c>
      <c r="Y83" s="24"/>
      <c r="Z83" s="24">
        <f t="shared" si="61"/>
        <v>65</v>
      </c>
      <c r="AA83" s="24">
        <v>200</v>
      </c>
      <c r="AB83" s="24">
        <v>50</v>
      </c>
      <c r="AC83" s="24">
        <v>1520</v>
      </c>
      <c r="AD83" s="24">
        <f t="shared" si="49"/>
        <v>500</v>
      </c>
      <c r="AE83" s="18">
        <v>433</v>
      </c>
      <c r="AF83" s="18">
        <f t="shared" si="26"/>
        <v>11954.759999999998</v>
      </c>
      <c r="AG83" s="24">
        <f t="shared" si="50"/>
        <v>1195.4759999999999</v>
      </c>
      <c r="AH83" s="24">
        <f t="shared" si="51"/>
        <v>1434.5711999999999</v>
      </c>
      <c r="AI83" s="24">
        <f t="shared" si="52"/>
        <v>2390.9519999999998</v>
      </c>
      <c r="AK83" s="18"/>
      <c r="AL83" s="18"/>
      <c r="AM83" s="18"/>
      <c r="AN83" s="18"/>
      <c r="AO83" s="39"/>
      <c r="AP83" s="39"/>
      <c r="AQ83" s="39"/>
      <c r="AR83" s="39"/>
      <c r="AS83" s="39"/>
      <c r="AU83" s="5" t="e">
        <f t="shared" si="53"/>
        <v>#DIV/0!</v>
      </c>
      <c r="AW83" s="5" t="e">
        <f t="shared" si="54"/>
        <v>#DIV/0!</v>
      </c>
      <c r="AX83" s="5" t="e">
        <f t="shared" si="55"/>
        <v>#DIV/0!</v>
      </c>
    </row>
    <row r="84" spans="2:50" x14ac:dyDescent="0.25">
      <c r="B84" s="38" t="s">
        <v>4</v>
      </c>
      <c r="C84" s="38">
        <v>1</v>
      </c>
      <c r="D84" s="38">
        <v>6</v>
      </c>
      <c r="E84" s="38" t="s">
        <v>139</v>
      </c>
      <c r="F84" s="24">
        <f t="shared" si="56"/>
        <v>60</v>
      </c>
      <c r="G84" s="24">
        <f t="shared" si="57"/>
        <v>60</v>
      </c>
      <c r="H84" s="18">
        <v>100</v>
      </c>
      <c r="I84" s="24">
        <f>70*C84*$B$85*1.18</f>
        <v>495.59999999999997</v>
      </c>
      <c r="J84" s="24">
        <f>2*D84*$B$85*1.18</f>
        <v>84.96</v>
      </c>
      <c r="K84" s="24">
        <f>50*C84*$B$87*1.18</f>
        <v>295</v>
      </c>
      <c r="L84" s="18">
        <v>0</v>
      </c>
      <c r="M84" s="24">
        <f t="shared" si="44"/>
        <v>12.979999999999999</v>
      </c>
      <c r="N84" s="24">
        <f t="shared" si="45"/>
        <v>14.16</v>
      </c>
      <c r="O84" s="24">
        <f t="shared" si="46"/>
        <v>23.599999999999998</v>
      </c>
      <c r="P84" s="40" t="s">
        <v>136</v>
      </c>
      <c r="Q84" s="24">
        <v>8</v>
      </c>
      <c r="R84" s="24">
        <v>30</v>
      </c>
      <c r="S84" s="24">
        <v>26</v>
      </c>
      <c r="T84" s="24">
        <f>6*B85</f>
        <v>36</v>
      </c>
      <c r="U84" s="24">
        <v>30</v>
      </c>
      <c r="V84" s="24">
        <f t="shared" si="47"/>
        <v>4</v>
      </c>
      <c r="W84" s="24">
        <v>17</v>
      </c>
      <c r="X84" s="24">
        <f t="shared" si="48"/>
        <v>4</v>
      </c>
      <c r="Y84" s="24"/>
      <c r="Z84" s="24">
        <f>13*$B$85</f>
        <v>78</v>
      </c>
      <c r="AA84" s="24">
        <v>0</v>
      </c>
      <c r="AB84" s="24">
        <v>60</v>
      </c>
      <c r="AC84" s="24">
        <v>186</v>
      </c>
      <c r="AD84" s="24">
        <f t="shared" si="49"/>
        <v>50</v>
      </c>
      <c r="AE84" s="24">
        <v>160</v>
      </c>
      <c r="AF84" s="18">
        <f t="shared" si="26"/>
        <v>1835.3</v>
      </c>
      <c r="AG84" s="24">
        <f t="shared" si="50"/>
        <v>1835.3</v>
      </c>
      <c r="AH84" s="46">
        <f t="shared" si="51"/>
        <v>2202.3599999999997</v>
      </c>
      <c r="AI84" s="24">
        <f t="shared" si="52"/>
        <v>367.05999999999972</v>
      </c>
      <c r="AK84" s="18"/>
      <c r="AL84" s="18"/>
      <c r="AM84" s="18"/>
      <c r="AN84" s="18">
        <v>1900</v>
      </c>
      <c r="AO84" s="38"/>
      <c r="AP84" s="38"/>
      <c r="AQ84" s="18">
        <v>1887</v>
      </c>
      <c r="AR84" s="18">
        <v>2744</v>
      </c>
      <c r="AS84" s="18">
        <v>1380</v>
      </c>
      <c r="AU84" s="5">
        <f t="shared" si="53"/>
        <v>1977.75</v>
      </c>
      <c r="AW84" s="5">
        <f t="shared" si="54"/>
        <v>142.45000000000005</v>
      </c>
      <c r="AX84" s="5">
        <f t="shared" si="55"/>
        <v>142.45000000000005</v>
      </c>
    </row>
    <row r="85" spans="2:50" x14ac:dyDescent="0.25">
      <c r="B85" s="38">
        <v>6</v>
      </c>
      <c r="C85" s="38">
        <v>2</v>
      </c>
      <c r="D85" s="38">
        <v>11</v>
      </c>
      <c r="E85" s="38" t="s">
        <v>140</v>
      </c>
      <c r="F85" s="24">
        <f t="shared" si="56"/>
        <v>120</v>
      </c>
      <c r="G85" s="24">
        <f t="shared" si="57"/>
        <v>120</v>
      </c>
      <c r="H85" s="24">
        <v>100</v>
      </c>
      <c r="I85" s="24">
        <f t="shared" ref="I85:I93" si="62">70*C85*$B$85*1.18</f>
        <v>991.19999999999993</v>
      </c>
      <c r="J85" s="24">
        <f t="shared" ref="J85:J92" si="63">2*D85*$B$85*1.18</f>
        <v>155.76</v>
      </c>
      <c r="K85" s="24">
        <f t="shared" ref="K85:K93" si="64">50*C85*$B$87*1.18</f>
        <v>590</v>
      </c>
      <c r="L85" s="18">
        <v>0</v>
      </c>
      <c r="M85" s="24">
        <f t="shared" si="44"/>
        <v>25.959999999999997</v>
      </c>
      <c r="N85" s="24">
        <f t="shared" si="45"/>
        <v>25.959999999999997</v>
      </c>
      <c r="O85" s="24">
        <f t="shared" si="46"/>
        <v>47.199999999999996</v>
      </c>
      <c r="P85" s="41" t="s">
        <v>136</v>
      </c>
      <c r="Q85" s="24">
        <v>14</v>
      </c>
      <c r="R85" s="24">
        <v>30</v>
      </c>
      <c r="S85" s="24">
        <v>26</v>
      </c>
      <c r="T85" s="24">
        <v>36</v>
      </c>
      <c r="U85" s="24">
        <v>30</v>
      </c>
      <c r="V85" s="24">
        <f t="shared" si="47"/>
        <v>8</v>
      </c>
      <c r="W85" s="24">
        <v>17</v>
      </c>
      <c r="X85" s="24">
        <f t="shared" si="48"/>
        <v>8</v>
      </c>
      <c r="Y85" s="24"/>
      <c r="Z85" s="24">
        <f t="shared" ref="Z85:Z93" si="65">13*$B$85</f>
        <v>78</v>
      </c>
      <c r="AA85" s="24">
        <v>60</v>
      </c>
      <c r="AB85" s="24">
        <v>60</v>
      </c>
      <c r="AC85" s="24">
        <v>384</v>
      </c>
      <c r="AD85" s="24">
        <f t="shared" si="49"/>
        <v>100</v>
      </c>
      <c r="AE85" s="24">
        <v>185</v>
      </c>
      <c r="AF85" s="18">
        <f t="shared" si="26"/>
        <v>3212.08</v>
      </c>
      <c r="AG85" s="24">
        <f t="shared" si="50"/>
        <v>1606.04</v>
      </c>
      <c r="AH85" s="46">
        <f t="shared" si="51"/>
        <v>1927.2479999999998</v>
      </c>
      <c r="AI85" s="24">
        <f t="shared" si="52"/>
        <v>642.41599999999971</v>
      </c>
      <c r="AK85" s="24"/>
      <c r="AL85" s="24"/>
      <c r="AM85" s="24"/>
      <c r="AN85" s="24">
        <v>1750</v>
      </c>
      <c r="AO85" s="38"/>
      <c r="AP85" s="38"/>
      <c r="AQ85" s="18">
        <v>1887</v>
      </c>
      <c r="AR85" s="18">
        <v>2196</v>
      </c>
      <c r="AS85" s="18">
        <v>1380</v>
      </c>
      <c r="AU85" s="5">
        <f t="shared" si="53"/>
        <v>1803.25</v>
      </c>
      <c r="AW85" s="5">
        <f t="shared" si="54"/>
        <v>197.21000000000004</v>
      </c>
      <c r="AX85" s="5">
        <f t="shared" si="55"/>
        <v>394.42000000000007</v>
      </c>
    </row>
    <row r="86" spans="2:50" x14ac:dyDescent="0.25">
      <c r="B86" s="38" t="s">
        <v>113</v>
      </c>
      <c r="C86" s="38">
        <v>3</v>
      </c>
      <c r="D86" s="38">
        <v>12</v>
      </c>
      <c r="E86" s="38" t="s">
        <v>140</v>
      </c>
      <c r="F86" s="24">
        <f t="shared" si="56"/>
        <v>180</v>
      </c>
      <c r="G86" s="24">
        <f t="shared" si="57"/>
        <v>180</v>
      </c>
      <c r="H86" s="24">
        <v>100</v>
      </c>
      <c r="I86" s="24">
        <f t="shared" si="62"/>
        <v>1486.8</v>
      </c>
      <c r="J86" s="24">
        <f t="shared" si="63"/>
        <v>169.92</v>
      </c>
      <c r="K86" s="24">
        <f t="shared" si="64"/>
        <v>885</v>
      </c>
      <c r="L86" s="18">
        <v>0</v>
      </c>
      <c r="M86" s="24">
        <f t="shared" si="44"/>
        <v>38.94</v>
      </c>
      <c r="N86" s="24">
        <f t="shared" si="45"/>
        <v>28.32</v>
      </c>
      <c r="O86" s="24">
        <f t="shared" si="46"/>
        <v>70.8</v>
      </c>
      <c r="P86" s="41" t="s">
        <v>136</v>
      </c>
      <c r="Q86" s="24">
        <v>20</v>
      </c>
      <c r="R86" s="24">
        <v>30</v>
      </c>
      <c r="S86" s="24">
        <v>26</v>
      </c>
      <c r="T86" s="24">
        <v>72</v>
      </c>
      <c r="U86" s="24">
        <v>30</v>
      </c>
      <c r="V86" s="24">
        <f t="shared" si="47"/>
        <v>12</v>
      </c>
      <c r="W86" s="24">
        <v>17</v>
      </c>
      <c r="X86" s="24">
        <f t="shared" si="48"/>
        <v>12</v>
      </c>
      <c r="Y86" s="24"/>
      <c r="Z86" s="24">
        <f t="shared" si="65"/>
        <v>78</v>
      </c>
      <c r="AA86" s="24">
        <v>60</v>
      </c>
      <c r="AB86" s="24">
        <v>60</v>
      </c>
      <c r="AC86" s="24">
        <v>576</v>
      </c>
      <c r="AD86" s="24">
        <f t="shared" si="49"/>
        <v>150</v>
      </c>
      <c r="AE86" s="24">
        <v>206</v>
      </c>
      <c r="AF86" s="18">
        <f t="shared" si="26"/>
        <v>4488.7800000000007</v>
      </c>
      <c r="AG86" s="24">
        <f t="shared" si="50"/>
        <v>1496.2600000000002</v>
      </c>
      <c r="AH86" s="47">
        <f t="shared" si="51"/>
        <v>1795.5120000000002</v>
      </c>
      <c r="AI86" s="24">
        <f t="shared" si="52"/>
        <v>897.75599999999986</v>
      </c>
      <c r="AK86" s="24"/>
      <c r="AL86" s="24"/>
      <c r="AM86" s="24"/>
      <c r="AN86" s="24">
        <v>1750</v>
      </c>
      <c r="AO86" s="38"/>
      <c r="AP86" s="38"/>
      <c r="AQ86" s="18">
        <v>1887</v>
      </c>
      <c r="AR86" s="18">
        <v>2053</v>
      </c>
      <c r="AS86" s="18">
        <v>1380</v>
      </c>
      <c r="AU86" s="5">
        <f t="shared" si="53"/>
        <v>1767.5</v>
      </c>
      <c r="AW86" s="5">
        <f t="shared" si="54"/>
        <v>271.23999999999978</v>
      </c>
      <c r="AX86" s="5">
        <f t="shared" si="55"/>
        <v>813.71999999999935</v>
      </c>
    </row>
    <row r="87" spans="2:50" x14ac:dyDescent="0.25">
      <c r="B87" s="38">
        <v>5</v>
      </c>
      <c r="C87" s="38">
        <v>4</v>
      </c>
      <c r="D87" s="38">
        <v>15</v>
      </c>
      <c r="E87" s="38" t="s">
        <v>141</v>
      </c>
      <c r="F87" s="24">
        <f t="shared" si="56"/>
        <v>240</v>
      </c>
      <c r="G87" s="24">
        <f t="shared" si="57"/>
        <v>240</v>
      </c>
      <c r="H87" s="24">
        <v>150</v>
      </c>
      <c r="I87" s="24">
        <f t="shared" si="62"/>
        <v>1982.3999999999999</v>
      </c>
      <c r="J87" s="24">
        <f t="shared" si="63"/>
        <v>212.39999999999998</v>
      </c>
      <c r="K87" s="24">
        <f t="shared" si="64"/>
        <v>1180</v>
      </c>
      <c r="L87" s="18">
        <v>0</v>
      </c>
      <c r="M87" s="24">
        <f t="shared" si="44"/>
        <v>51.919999999999995</v>
      </c>
      <c r="N87" s="24">
        <f t="shared" si="45"/>
        <v>35.4</v>
      </c>
      <c r="O87" s="24">
        <f t="shared" si="46"/>
        <v>94.399999999999991</v>
      </c>
      <c r="P87" s="41" t="s">
        <v>136</v>
      </c>
      <c r="Q87" s="24">
        <v>26</v>
      </c>
      <c r="R87" s="24">
        <v>30</v>
      </c>
      <c r="S87" s="24">
        <v>26</v>
      </c>
      <c r="T87" s="24">
        <v>72</v>
      </c>
      <c r="U87" s="24">
        <v>30</v>
      </c>
      <c r="V87" s="24">
        <f t="shared" si="47"/>
        <v>16</v>
      </c>
      <c r="W87" s="24">
        <v>17</v>
      </c>
      <c r="X87" s="24">
        <f t="shared" si="48"/>
        <v>16</v>
      </c>
      <c r="Y87" s="24"/>
      <c r="Z87" s="24">
        <f t="shared" si="65"/>
        <v>78</v>
      </c>
      <c r="AA87" s="24">
        <v>60</v>
      </c>
      <c r="AB87" s="24">
        <v>60</v>
      </c>
      <c r="AC87" s="24">
        <v>768</v>
      </c>
      <c r="AD87" s="24">
        <f t="shared" si="49"/>
        <v>200</v>
      </c>
      <c r="AE87" s="24">
        <v>246</v>
      </c>
      <c r="AF87" s="18">
        <f t="shared" si="26"/>
        <v>5831.5199999999995</v>
      </c>
      <c r="AG87" s="24">
        <f t="shared" si="50"/>
        <v>1457.8799999999999</v>
      </c>
      <c r="AH87" s="47">
        <f t="shared" si="51"/>
        <v>1749.4559999999999</v>
      </c>
      <c r="AI87" s="24">
        <f t="shared" si="52"/>
        <v>1166.3040000000001</v>
      </c>
      <c r="AK87" s="24"/>
      <c r="AL87" s="24"/>
      <c r="AM87" s="24"/>
      <c r="AN87" s="24">
        <v>1750</v>
      </c>
      <c r="AO87" s="38"/>
      <c r="AP87" s="38"/>
      <c r="AQ87" s="18">
        <v>1887</v>
      </c>
      <c r="AR87" s="18">
        <v>1953</v>
      </c>
      <c r="AS87" s="18">
        <v>1380</v>
      </c>
      <c r="AU87" s="5">
        <f t="shared" si="53"/>
        <v>1742.5</v>
      </c>
      <c r="AW87" s="5">
        <f t="shared" si="54"/>
        <v>284.62000000000012</v>
      </c>
      <c r="AX87" s="5">
        <f t="shared" si="55"/>
        <v>1138.4800000000005</v>
      </c>
    </row>
    <row r="88" spans="2:50" x14ac:dyDescent="0.25">
      <c r="B88" s="38" t="s">
        <v>114</v>
      </c>
      <c r="C88" s="38">
        <v>5</v>
      </c>
      <c r="D88" s="38">
        <v>19</v>
      </c>
      <c r="E88" s="38" t="s">
        <v>141</v>
      </c>
      <c r="F88" s="24">
        <f t="shared" si="56"/>
        <v>300</v>
      </c>
      <c r="G88" s="24">
        <f t="shared" si="57"/>
        <v>300</v>
      </c>
      <c r="H88" s="24">
        <v>150</v>
      </c>
      <c r="I88" s="24">
        <f t="shared" si="62"/>
        <v>2478</v>
      </c>
      <c r="J88" s="24">
        <f t="shared" si="63"/>
        <v>269.03999999999996</v>
      </c>
      <c r="K88" s="24">
        <f t="shared" si="64"/>
        <v>1475</v>
      </c>
      <c r="L88" s="18">
        <v>0</v>
      </c>
      <c r="M88" s="24">
        <f t="shared" si="44"/>
        <v>64.899999999999991</v>
      </c>
      <c r="N88" s="24">
        <f t="shared" si="45"/>
        <v>44.839999999999996</v>
      </c>
      <c r="O88" s="24">
        <f t="shared" si="46"/>
        <v>118</v>
      </c>
      <c r="P88" s="41" t="s">
        <v>136</v>
      </c>
      <c r="Q88" s="24">
        <v>32</v>
      </c>
      <c r="R88" s="24">
        <v>30</v>
      </c>
      <c r="S88" s="24">
        <v>26</v>
      </c>
      <c r="T88" s="24">
        <v>108</v>
      </c>
      <c r="U88" s="24">
        <v>30</v>
      </c>
      <c r="V88" s="24">
        <f t="shared" si="47"/>
        <v>20</v>
      </c>
      <c r="W88" s="24">
        <v>34</v>
      </c>
      <c r="X88" s="24">
        <f t="shared" si="48"/>
        <v>20</v>
      </c>
      <c r="Y88" s="24"/>
      <c r="Z88" s="24">
        <f t="shared" si="65"/>
        <v>78</v>
      </c>
      <c r="AA88" s="24">
        <v>120</v>
      </c>
      <c r="AB88" s="24">
        <v>60</v>
      </c>
      <c r="AC88" s="24">
        <v>864</v>
      </c>
      <c r="AD88" s="24">
        <f t="shared" si="49"/>
        <v>250</v>
      </c>
      <c r="AE88" s="24">
        <v>277</v>
      </c>
      <c r="AF88" s="18">
        <f t="shared" si="26"/>
        <v>7148.78</v>
      </c>
      <c r="AG88" s="24">
        <f t="shared" si="50"/>
        <v>1429.7559999999999</v>
      </c>
      <c r="AH88" s="48">
        <f t="shared" si="51"/>
        <v>1715.7071999999998</v>
      </c>
      <c r="AI88" s="24">
        <f t="shared" si="52"/>
        <v>1429.7559999999999</v>
      </c>
      <c r="AK88" s="24"/>
      <c r="AL88" s="24"/>
      <c r="AM88" s="24"/>
      <c r="AN88" s="24">
        <v>1700</v>
      </c>
      <c r="AO88" s="38"/>
      <c r="AP88" s="38"/>
      <c r="AQ88" s="18">
        <v>1887</v>
      </c>
      <c r="AR88" s="18">
        <v>1905</v>
      </c>
      <c r="AS88" s="18">
        <v>1380</v>
      </c>
      <c r="AU88" s="5">
        <f t="shared" si="53"/>
        <v>1718</v>
      </c>
      <c r="AW88" s="5">
        <f t="shared" si="54"/>
        <v>288.24400000000014</v>
      </c>
      <c r="AX88" s="5">
        <f t="shared" si="55"/>
        <v>1441.2200000000007</v>
      </c>
    </row>
    <row r="89" spans="2:50" x14ac:dyDescent="0.25">
      <c r="B89" s="38"/>
      <c r="C89" s="38">
        <v>6</v>
      </c>
      <c r="D89" s="38">
        <v>22</v>
      </c>
      <c r="E89" s="38" t="s">
        <v>141</v>
      </c>
      <c r="F89" s="24">
        <f t="shared" si="56"/>
        <v>360</v>
      </c>
      <c r="G89" s="24">
        <f t="shared" si="57"/>
        <v>360</v>
      </c>
      <c r="H89" s="24">
        <v>150</v>
      </c>
      <c r="I89" s="24">
        <f t="shared" si="62"/>
        <v>2973.6</v>
      </c>
      <c r="J89" s="24">
        <f t="shared" si="63"/>
        <v>311.52</v>
      </c>
      <c r="K89" s="24">
        <f t="shared" si="64"/>
        <v>1770</v>
      </c>
      <c r="L89" s="18">
        <v>0</v>
      </c>
      <c r="M89" s="24">
        <f t="shared" si="44"/>
        <v>77.88</v>
      </c>
      <c r="N89" s="24">
        <f t="shared" si="45"/>
        <v>51.919999999999995</v>
      </c>
      <c r="O89" s="24">
        <f t="shared" si="46"/>
        <v>141.6</v>
      </c>
      <c r="P89" s="41" t="s">
        <v>136</v>
      </c>
      <c r="Q89" s="24">
        <v>38</v>
      </c>
      <c r="R89" s="24">
        <v>30</v>
      </c>
      <c r="S89" s="24">
        <v>26</v>
      </c>
      <c r="T89" s="24">
        <v>108</v>
      </c>
      <c r="U89" s="24">
        <v>30</v>
      </c>
      <c r="V89" s="24">
        <f t="shared" si="47"/>
        <v>24</v>
      </c>
      <c r="W89" s="24">
        <v>34</v>
      </c>
      <c r="X89" s="24">
        <f t="shared" si="48"/>
        <v>24</v>
      </c>
      <c r="Y89" s="24"/>
      <c r="Z89" s="24">
        <f t="shared" si="65"/>
        <v>78</v>
      </c>
      <c r="AA89" s="24">
        <v>120</v>
      </c>
      <c r="AB89" s="24">
        <v>60</v>
      </c>
      <c r="AC89" s="24">
        <v>1056</v>
      </c>
      <c r="AD89" s="24">
        <f t="shared" si="49"/>
        <v>300</v>
      </c>
      <c r="AE89" s="24">
        <v>284</v>
      </c>
      <c r="AF89" s="18">
        <f t="shared" ref="AF89:AF113" si="66">SUM(F89:AE89)</f>
        <v>8408.52</v>
      </c>
      <c r="AG89" s="24">
        <f t="shared" si="50"/>
        <v>1401.42</v>
      </c>
      <c r="AH89" s="48">
        <f t="shared" si="51"/>
        <v>1681.704</v>
      </c>
      <c r="AI89" s="24">
        <f t="shared" si="52"/>
        <v>1681.7039999999993</v>
      </c>
      <c r="AK89" s="24"/>
      <c r="AL89" s="24"/>
      <c r="AM89" s="24"/>
      <c r="AN89" s="24">
        <v>1700</v>
      </c>
      <c r="AO89" s="38"/>
      <c r="AP89" s="38"/>
      <c r="AQ89" s="18">
        <v>1887</v>
      </c>
      <c r="AR89" s="18">
        <v>1842</v>
      </c>
      <c r="AS89" s="18">
        <v>1380</v>
      </c>
      <c r="AU89" s="5">
        <f t="shared" si="53"/>
        <v>1702.25</v>
      </c>
      <c r="AW89" s="5">
        <f t="shared" si="54"/>
        <v>300.82999999999993</v>
      </c>
      <c r="AX89" s="5">
        <f t="shared" si="55"/>
        <v>1804.9799999999996</v>
      </c>
    </row>
    <row r="90" spans="2:50" x14ac:dyDescent="0.25">
      <c r="B90" s="38"/>
      <c r="C90" s="38">
        <v>7</v>
      </c>
      <c r="D90" s="38">
        <v>27</v>
      </c>
      <c r="E90" s="42" t="s">
        <v>142</v>
      </c>
      <c r="F90" s="24">
        <f t="shared" si="56"/>
        <v>420</v>
      </c>
      <c r="G90" s="24">
        <f t="shared" si="57"/>
        <v>420</v>
      </c>
      <c r="H90" s="24">
        <v>250</v>
      </c>
      <c r="I90" s="24">
        <f t="shared" si="62"/>
        <v>3469.2</v>
      </c>
      <c r="J90" s="24">
        <f t="shared" si="63"/>
        <v>382.32</v>
      </c>
      <c r="K90" s="24">
        <f t="shared" si="64"/>
        <v>2065</v>
      </c>
      <c r="L90" s="18">
        <v>0</v>
      </c>
      <c r="M90" s="24">
        <f t="shared" si="44"/>
        <v>90.86</v>
      </c>
      <c r="N90" s="24">
        <f t="shared" si="45"/>
        <v>63.72</v>
      </c>
      <c r="O90" s="24">
        <f t="shared" si="46"/>
        <v>165.2</v>
      </c>
      <c r="P90" s="41" t="s">
        <v>136</v>
      </c>
      <c r="Q90" s="24">
        <v>44</v>
      </c>
      <c r="R90" s="24">
        <v>30</v>
      </c>
      <c r="S90" s="24">
        <v>26</v>
      </c>
      <c r="T90" s="24">
        <v>144</v>
      </c>
      <c r="U90" s="24">
        <v>30</v>
      </c>
      <c r="V90" s="24">
        <f t="shared" si="47"/>
        <v>28</v>
      </c>
      <c r="W90" s="24">
        <v>34</v>
      </c>
      <c r="X90" s="24">
        <f t="shared" si="48"/>
        <v>28</v>
      </c>
      <c r="Y90" s="24"/>
      <c r="Z90" s="24">
        <f t="shared" si="65"/>
        <v>78</v>
      </c>
      <c r="AA90" s="24">
        <v>180</v>
      </c>
      <c r="AB90" s="24">
        <v>60</v>
      </c>
      <c r="AC90" s="24">
        <v>1248</v>
      </c>
      <c r="AD90" s="24">
        <f t="shared" si="49"/>
        <v>350</v>
      </c>
      <c r="AE90" s="24">
        <v>318</v>
      </c>
      <c r="AF90" s="18">
        <f t="shared" si="66"/>
        <v>9924.2999999999993</v>
      </c>
      <c r="AG90" s="24">
        <f t="shared" si="50"/>
        <v>1417.7571428571428</v>
      </c>
      <c r="AH90" s="48">
        <f t="shared" si="51"/>
        <v>1701.3085714285712</v>
      </c>
      <c r="AI90" s="24">
        <f t="shared" si="52"/>
        <v>1984.8599999999992</v>
      </c>
      <c r="AK90" s="24"/>
      <c r="AL90" s="24"/>
      <c r="AM90" s="24"/>
      <c r="AN90" s="24">
        <v>1700</v>
      </c>
      <c r="AO90" s="38"/>
      <c r="AP90" s="38"/>
      <c r="AQ90" s="18">
        <v>1887</v>
      </c>
      <c r="AR90" s="18">
        <v>1806</v>
      </c>
      <c r="AS90" s="18">
        <v>1380</v>
      </c>
      <c r="AU90" s="5">
        <f t="shared" si="53"/>
        <v>1693.25</v>
      </c>
      <c r="AW90" s="5">
        <f t="shared" si="54"/>
        <v>275.49285714285725</v>
      </c>
      <c r="AX90" s="5">
        <f t="shared" si="55"/>
        <v>1928.4500000000007</v>
      </c>
    </row>
    <row r="91" spans="2:50" x14ac:dyDescent="0.25">
      <c r="B91" s="38"/>
      <c r="C91" s="38">
        <v>8</v>
      </c>
      <c r="D91" s="38">
        <v>29</v>
      </c>
      <c r="E91" s="42" t="s">
        <v>142</v>
      </c>
      <c r="F91" s="24">
        <f t="shared" si="56"/>
        <v>480</v>
      </c>
      <c r="G91" s="24">
        <f t="shared" si="57"/>
        <v>480</v>
      </c>
      <c r="H91" s="24">
        <v>250</v>
      </c>
      <c r="I91" s="24">
        <f t="shared" si="62"/>
        <v>3964.7999999999997</v>
      </c>
      <c r="J91" s="24">
        <f t="shared" si="63"/>
        <v>410.64</v>
      </c>
      <c r="K91" s="24">
        <f t="shared" si="64"/>
        <v>2360</v>
      </c>
      <c r="L91" s="18">
        <v>0</v>
      </c>
      <c r="M91" s="24">
        <f t="shared" si="44"/>
        <v>103.83999999999999</v>
      </c>
      <c r="N91" s="24">
        <f t="shared" si="45"/>
        <v>68.44</v>
      </c>
      <c r="O91" s="24">
        <f t="shared" si="46"/>
        <v>188.79999999999998</v>
      </c>
      <c r="P91" s="41" t="s">
        <v>137</v>
      </c>
      <c r="Q91" s="24">
        <v>50</v>
      </c>
      <c r="R91" s="24">
        <v>60</v>
      </c>
      <c r="S91" s="24">
        <v>26</v>
      </c>
      <c r="T91" s="24">
        <v>144</v>
      </c>
      <c r="U91" s="24">
        <v>30</v>
      </c>
      <c r="V91" s="24">
        <f t="shared" si="47"/>
        <v>32</v>
      </c>
      <c r="W91" s="24">
        <v>34</v>
      </c>
      <c r="X91" s="24">
        <f t="shared" si="48"/>
        <v>32</v>
      </c>
      <c r="Y91" s="24"/>
      <c r="Z91" s="24">
        <f t="shared" si="65"/>
        <v>78</v>
      </c>
      <c r="AA91" s="24">
        <v>180</v>
      </c>
      <c r="AB91" s="24">
        <v>60</v>
      </c>
      <c r="AC91" s="24">
        <v>1440</v>
      </c>
      <c r="AD91" s="24">
        <f t="shared" si="49"/>
        <v>400</v>
      </c>
      <c r="AE91" s="24">
        <v>282</v>
      </c>
      <c r="AF91" s="18">
        <f t="shared" si="66"/>
        <v>11154.519999999999</v>
      </c>
      <c r="AG91" s="24">
        <f t="shared" si="50"/>
        <v>1394.3149999999998</v>
      </c>
      <c r="AH91" s="48">
        <f t="shared" si="51"/>
        <v>1673.1779999999997</v>
      </c>
      <c r="AI91" s="24">
        <f t="shared" si="52"/>
        <v>2230.9039999999986</v>
      </c>
      <c r="AK91" s="24"/>
      <c r="AL91" s="24"/>
      <c r="AM91" s="24"/>
      <c r="AN91" s="24">
        <v>1650</v>
      </c>
      <c r="AO91" s="38"/>
      <c r="AP91" s="38"/>
      <c r="AQ91" s="18">
        <v>1887</v>
      </c>
      <c r="AR91" s="18">
        <v>1790</v>
      </c>
      <c r="AS91" s="18">
        <v>1380</v>
      </c>
      <c r="AU91" s="5">
        <f t="shared" si="53"/>
        <v>1676.75</v>
      </c>
      <c r="AW91" s="5">
        <f t="shared" si="54"/>
        <v>282.43500000000017</v>
      </c>
      <c r="AX91" s="5">
        <f t="shared" si="55"/>
        <v>2259.4800000000014</v>
      </c>
    </row>
    <row r="92" spans="2:50" x14ac:dyDescent="0.25">
      <c r="B92" s="38"/>
      <c r="C92" s="38">
        <v>9</v>
      </c>
      <c r="D92" s="38">
        <v>34</v>
      </c>
      <c r="E92" s="42" t="s">
        <v>143</v>
      </c>
      <c r="F92" s="24">
        <f t="shared" si="56"/>
        <v>540</v>
      </c>
      <c r="G92" s="24">
        <f t="shared" si="57"/>
        <v>540</v>
      </c>
      <c r="H92" s="18">
        <v>250</v>
      </c>
      <c r="I92" s="24">
        <f t="shared" si="62"/>
        <v>4460.3999999999996</v>
      </c>
      <c r="J92" s="24">
        <f t="shared" si="63"/>
        <v>481.44</v>
      </c>
      <c r="K92" s="24">
        <f t="shared" si="64"/>
        <v>2655</v>
      </c>
      <c r="L92" s="18">
        <v>0</v>
      </c>
      <c r="M92" s="24">
        <f t="shared" si="44"/>
        <v>116.82</v>
      </c>
      <c r="N92" s="24">
        <f t="shared" si="45"/>
        <v>80.239999999999995</v>
      </c>
      <c r="O92" s="24">
        <f t="shared" si="46"/>
        <v>212.39999999999998</v>
      </c>
      <c r="P92" s="41" t="s">
        <v>137</v>
      </c>
      <c r="Q92" s="24">
        <v>56</v>
      </c>
      <c r="R92" s="24">
        <v>60</v>
      </c>
      <c r="S92" s="24">
        <v>26</v>
      </c>
      <c r="T92" s="24">
        <v>180</v>
      </c>
      <c r="U92" s="24">
        <v>30</v>
      </c>
      <c r="V92" s="24">
        <f t="shared" si="47"/>
        <v>36</v>
      </c>
      <c r="W92" s="24">
        <v>34</v>
      </c>
      <c r="X92" s="24">
        <f t="shared" si="48"/>
        <v>36</v>
      </c>
      <c r="Y92" s="24"/>
      <c r="Z92" s="24">
        <f t="shared" si="65"/>
        <v>78</v>
      </c>
      <c r="AA92" s="24">
        <v>240</v>
      </c>
      <c r="AB92" s="24">
        <v>60</v>
      </c>
      <c r="AC92" s="24">
        <v>1632</v>
      </c>
      <c r="AD92" s="24">
        <f t="shared" si="49"/>
        <v>450</v>
      </c>
      <c r="AE92" s="18">
        <v>384</v>
      </c>
      <c r="AF92" s="18">
        <f t="shared" si="66"/>
        <v>12638.3</v>
      </c>
      <c r="AG92" s="24">
        <f t="shared" si="50"/>
        <v>1404.2555555555555</v>
      </c>
      <c r="AH92" s="48">
        <f t="shared" si="51"/>
        <v>1685.1066666666666</v>
      </c>
      <c r="AI92" s="24">
        <f t="shared" si="52"/>
        <v>2527.66</v>
      </c>
      <c r="AK92" s="18"/>
      <c r="AL92" s="18"/>
      <c r="AM92" s="18"/>
      <c r="AN92" s="24">
        <v>1650</v>
      </c>
      <c r="AO92" s="38"/>
      <c r="AP92" s="38"/>
      <c r="AQ92" s="18">
        <v>1887</v>
      </c>
      <c r="AR92" s="18">
        <v>1790</v>
      </c>
      <c r="AS92" s="18">
        <v>1380</v>
      </c>
      <c r="AU92" s="5">
        <f t="shared" si="53"/>
        <v>1676.75</v>
      </c>
      <c r="AW92" s="5">
        <f t="shared" si="54"/>
        <v>272.49444444444453</v>
      </c>
      <c r="AX92" s="5">
        <f t="shared" si="55"/>
        <v>2452.4500000000007</v>
      </c>
    </row>
    <row r="93" spans="2:50" x14ac:dyDescent="0.25">
      <c r="B93" s="38"/>
      <c r="C93" s="38">
        <v>10</v>
      </c>
      <c r="D93" s="38">
        <v>37</v>
      </c>
      <c r="E93" s="42" t="s">
        <v>143</v>
      </c>
      <c r="F93" s="24">
        <f t="shared" si="56"/>
        <v>600</v>
      </c>
      <c r="G93" s="24">
        <f t="shared" si="57"/>
        <v>600</v>
      </c>
      <c r="H93" s="18">
        <v>250</v>
      </c>
      <c r="I93" s="24">
        <f t="shared" si="62"/>
        <v>4956</v>
      </c>
      <c r="J93" s="24">
        <f>2*D93*$B$85*1.18</f>
        <v>523.91999999999996</v>
      </c>
      <c r="K93" s="24">
        <f t="shared" si="64"/>
        <v>2950</v>
      </c>
      <c r="L93" s="18">
        <v>0</v>
      </c>
      <c r="M93" s="24">
        <f t="shared" si="44"/>
        <v>129.79999999999998</v>
      </c>
      <c r="N93" s="24">
        <f t="shared" si="45"/>
        <v>87.32</v>
      </c>
      <c r="O93" s="24">
        <f t="shared" si="46"/>
        <v>236</v>
      </c>
      <c r="P93" s="41" t="s">
        <v>137</v>
      </c>
      <c r="Q93" s="24">
        <v>62</v>
      </c>
      <c r="R93" s="24">
        <v>60</v>
      </c>
      <c r="S93" s="24">
        <v>26</v>
      </c>
      <c r="T93" s="24">
        <v>180</v>
      </c>
      <c r="U93" s="24">
        <v>30</v>
      </c>
      <c r="V93" s="24">
        <f t="shared" si="47"/>
        <v>40</v>
      </c>
      <c r="W93" s="24">
        <v>34</v>
      </c>
      <c r="X93" s="24">
        <f t="shared" si="48"/>
        <v>40</v>
      </c>
      <c r="Y93" s="24"/>
      <c r="Z93" s="24">
        <f t="shared" si="65"/>
        <v>78</v>
      </c>
      <c r="AA93" s="24">
        <v>240</v>
      </c>
      <c r="AB93" s="24">
        <v>60</v>
      </c>
      <c r="AC93" s="24">
        <v>1824</v>
      </c>
      <c r="AD93" s="24">
        <f t="shared" si="49"/>
        <v>500</v>
      </c>
      <c r="AE93" s="18">
        <v>433</v>
      </c>
      <c r="AF93" s="18">
        <f t="shared" si="66"/>
        <v>13940.039999999999</v>
      </c>
      <c r="AG93" s="24">
        <f t="shared" si="50"/>
        <v>1394.0039999999999</v>
      </c>
      <c r="AH93" s="48">
        <f t="shared" si="51"/>
        <v>1672.8047999999999</v>
      </c>
      <c r="AI93" s="24">
        <f t="shared" si="52"/>
        <v>2788.0079999999998</v>
      </c>
      <c r="AK93" s="18"/>
      <c r="AL93" s="18"/>
      <c r="AM93" s="18"/>
      <c r="AN93" s="24">
        <v>1650</v>
      </c>
      <c r="AO93" s="39"/>
      <c r="AP93" s="39"/>
      <c r="AQ93" s="18">
        <v>1887</v>
      </c>
      <c r="AR93" s="18">
        <v>1790</v>
      </c>
      <c r="AS93" s="18">
        <v>1380</v>
      </c>
      <c r="AU93" s="5">
        <f t="shared" si="53"/>
        <v>1676.75</v>
      </c>
      <c r="AW93" s="5">
        <f t="shared" si="54"/>
        <v>282.74600000000009</v>
      </c>
      <c r="AX93" s="5">
        <f t="shared" si="55"/>
        <v>2827.4600000000009</v>
      </c>
    </row>
    <row r="94" spans="2:50" x14ac:dyDescent="0.25">
      <c r="B94" s="38" t="s">
        <v>10</v>
      </c>
      <c r="C94" s="38">
        <v>1</v>
      </c>
      <c r="D94" s="38">
        <v>6</v>
      </c>
      <c r="E94" s="38" t="s">
        <v>139</v>
      </c>
      <c r="F94" s="24">
        <f t="shared" si="56"/>
        <v>60</v>
      </c>
      <c r="G94" s="24">
        <f t="shared" si="57"/>
        <v>60</v>
      </c>
      <c r="H94" s="18">
        <v>100</v>
      </c>
      <c r="I94" s="24">
        <f>70*C94*$B$95*1.18</f>
        <v>495.59999999999997</v>
      </c>
      <c r="J94" s="24">
        <f>2*D94*$B$95*1.18</f>
        <v>84.96</v>
      </c>
      <c r="K94" s="24">
        <f>50*C94*$B$97*1.18</f>
        <v>295</v>
      </c>
      <c r="L94" s="18">
        <v>0</v>
      </c>
      <c r="M94" s="24">
        <f t="shared" si="44"/>
        <v>12.979999999999999</v>
      </c>
      <c r="N94" s="24">
        <f t="shared" si="45"/>
        <v>14.16</v>
      </c>
      <c r="O94" s="24">
        <f t="shared" si="46"/>
        <v>23.599999999999998</v>
      </c>
      <c r="P94" s="40" t="s">
        <v>136</v>
      </c>
      <c r="Q94" s="24">
        <v>8</v>
      </c>
      <c r="R94" s="24">
        <v>30</v>
      </c>
      <c r="S94" s="24">
        <v>26</v>
      </c>
      <c r="T94" s="24">
        <f>6*B95</f>
        <v>36</v>
      </c>
      <c r="U94" s="24">
        <v>30</v>
      </c>
      <c r="V94" s="24">
        <f t="shared" si="47"/>
        <v>4</v>
      </c>
      <c r="W94" s="24">
        <v>17</v>
      </c>
      <c r="X94" s="24">
        <f t="shared" si="48"/>
        <v>4</v>
      </c>
      <c r="Y94" s="24"/>
      <c r="Z94" s="24">
        <f>13*$B$95</f>
        <v>78</v>
      </c>
      <c r="AA94" s="24">
        <v>0</v>
      </c>
      <c r="AB94" s="24">
        <v>60</v>
      </c>
      <c r="AC94" s="24">
        <v>186</v>
      </c>
      <c r="AD94" s="24">
        <f t="shared" si="49"/>
        <v>50</v>
      </c>
      <c r="AE94" s="24">
        <v>160</v>
      </c>
      <c r="AF94" s="18">
        <f t="shared" si="66"/>
        <v>1835.3</v>
      </c>
      <c r="AG94" s="24">
        <f t="shared" si="50"/>
        <v>1835.3</v>
      </c>
      <c r="AH94" s="46">
        <f t="shared" si="51"/>
        <v>2202.3599999999997</v>
      </c>
      <c r="AI94" s="24">
        <f t="shared" si="52"/>
        <v>367.05999999999972</v>
      </c>
      <c r="AK94" s="18"/>
      <c r="AL94" s="18"/>
      <c r="AM94" s="24">
        <v>1995</v>
      </c>
      <c r="AN94" s="18">
        <v>1950</v>
      </c>
      <c r="AO94" s="38"/>
      <c r="AP94" s="38"/>
      <c r="AQ94" s="18">
        <v>1887</v>
      </c>
      <c r="AR94" s="18">
        <v>2832</v>
      </c>
      <c r="AS94" s="18">
        <v>1490</v>
      </c>
      <c r="AU94" s="5">
        <f t="shared" si="53"/>
        <v>2030.8</v>
      </c>
      <c r="AW94" s="5">
        <f t="shared" si="54"/>
        <v>195.5</v>
      </c>
      <c r="AX94" s="5">
        <f t="shared" si="55"/>
        <v>195.5</v>
      </c>
    </row>
    <row r="95" spans="2:50" x14ac:dyDescent="0.25">
      <c r="B95" s="38">
        <v>6</v>
      </c>
      <c r="C95" s="38">
        <v>2</v>
      </c>
      <c r="D95" s="38">
        <v>11</v>
      </c>
      <c r="E95" s="38" t="s">
        <v>140</v>
      </c>
      <c r="F95" s="24">
        <f t="shared" si="56"/>
        <v>120</v>
      </c>
      <c r="G95" s="24">
        <f t="shared" si="57"/>
        <v>120</v>
      </c>
      <c r="H95" s="24">
        <v>100</v>
      </c>
      <c r="I95" s="24">
        <f t="shared" ref="I95:I103" si="67">70*C95*$B$95*1.18</f>
        <v>991.19999999999993</v>
      </c>
      <c r="J95" s="24">
        <f t="shared" ref="J95:J103" si="68">2*D95*$B$95*1.18</f>
        <v>155.76</v>
      </c>
      <c r="K95" s="24">
        <f t="shared" ref="K95:K103" si="69">50*C95*$B$97*1.18</f>
        <v>590</v>
      </c>
      <c r="L95" s="18">
        <v>0</v>
      </c>
      <c r="M95" s="24">
        <f t="shared" si="44"/>
        <v>25.959999999999997</v>
      </c>
      <c r="N95" s="24">
        <f t="shared" si="45"/>
        <v>25.959999999999997</v>
      </c>
      <c r="O95" s="24">
        <f t="shared" si="46"/>
        <v>47.199999999999996</v>
      </c>
      <c r="P95" s="41" t="s">
        <v>136</v>
      </c>
      <c r="Q95" s="24">
        <v>14</v>
      </c>
      <c r="R95" s="24">
        <v>30</v>
      </c>
      <c r="S95" s="24">
        <v>26</v>
      </c>
      <c r="T95" s="24">
        <v>36</v>
      </c>
      <c r="U95" s="24">
        <v>30</v>
      </c>
      <c r="V95" s="24">
        <f t="shared" si="47"/>
        <v>8</v>
      </c>
      <c r="W95" s="24">
        <v>17</v>
      </c>
      <c r="X95" s="24">
        <f t="shared" si="48"/>
        <v>8</v>
      </c>
      <c r="Y95" s="24"/>
      <c r="Z95" s="24">
        <f t="shared" ref="Z95:Z103" si="70">13*$B$95</f>
        <v>78</v>
      </c>
      <c r="AA95" s="24">
        <v>60</v>
      </c>
      <c r="AB95" s="24">
        <v>60</v>
      </c>
      <c r="AC95" s="24">
        <v>384</v>
      </c>
      <c r="AD95" s="24">
        <f t="shared" si="49"/>
        <v>100</v>
      </c>
      <c r="AE95" s="24">
        <v>185</v>
      </c>
      <c r="AF95" s="18">
        <f t="shared" si="66"/>
        <v>3212.08</v>
      </c>
      <c r="AG95" s="24">
        <f t="shared" si="50"/>
        <v>1606.04</v>
      </c>
      <c r="AH95" s="46">
        <f t="shared" si="51"/>
        <v>1927.2479999999998</v>
      </c>
      <c r="AI95" s="24">
        <f t="shared" si="52"/>
        <v>642.41599999999971</v>
      </c>
      <c r="AK95" s="24"/>
      <c r="AL95" s="24"/>
      <c r="AM95" s="24">
        <v>1650</v>
      </c>
      <c r="AN95" s="24">
        <v>1850</v>
      </c>
      <c r="AO95" s="38"/>
      <c r="AP95" s="38"/>
      <c r="AQ95" s="18">
        <v>1887</v>
      </c>
      <c r="AR95" s="18">
        <v>2239</v>
      </c>
      <c r="AS95" s="18">
        <v>1490</v>
      </c>
      <c r="AU95" s="5">
        <f t="shared" si="53"/>
        <v>1823.2</v>
      </c>
      <c r="AW95" s="5">
        <f t="shared" si="54"/>
        <v>217.16000000000008</v>
      </c>
      <c r="AX95" s="5">
        <f t="shared" si="55"/>
        <v>434.32000000000016</v>
      </c>
    </row>
    <row r="96" spans="2:50" x14ac:dyDescent="0.25">
      <c r="B96" s="38" t="s">
        <v>113</v>
      </c>
      <c r="C96" s="38">
        <v>3</v>
      </c>
      <c r="D96" s="38">
        <v>12</v>
      </c>
      <c r="E96" s="38" t="s">
        <v>140</v>
      </c>
      <c r="F96" s="24">
        <f t="shared" si="56"/>
        <v>180</v>
      </c>
      <c r="G96" s="24">
        <f t="shared" si="57"/>
        <v>180</v>
      </c>
      <c r="H96" s="24">
        <v>100</v>
      </c>
      <c r="I96" s="24">
        <f t="shared" si="67"/>
        <v>1486.8</v>
      </c>
      <c r="J96" s="24">
        <f t="shared" si="68"/>
        <v>169.92</v>
      </c>
      <c r="K96" s="24">
        <f t="shared" si="69"/>
        <v>885</v>
      </c>
      <c r="L96" s="18">
        <v>0</v>
      </c>
      <c r="M96" s="24">
        <f t="shared" si="44"/>
        <v>38.94</v>
      </c>
      <c r="N96" s="24">
        <f t="shared" si="45"/>
        <v>28.32</v>
      </c>
      <c r="O96" s="24">
        <f t="shared" si="46"/>
        <v>70.8</v>
      </c>
      <c r="P96" s="41" t="s">
        <v>136</v>
      </c>
      <c r="Q96" s="24">
        <v>20</v>
      </c>
      <c r="R96" s="24">
        <v>30</v>
      </c>
      <c r="S96" s="24">
        <v>26</v>
      </c>
      <c r="T96" s="24">
        <v>72</v>
      </c>
      <c r="U96" s="24">
        <v>30</v>
      </c>
      <c r="V96" s="24">
        <f t="shared" si="47"/>
        <v>12</v>
      </c>
      <c r="W96" s="24">
        <v>17</v>
      </c>
      <c r="X96" s="24">
        <f t="shared" si="48"/>
        <v>12</v>
      </c>
      <c r="Y96" s="24"/>
      <c r="Z96" s="24">
        <f t="shared" si="70"/>
        <v>78</v>
      </c>
      <c r="AA96" s="24">
        <v>60</v>
      </c>
      <c r="AB96" s="24">
        <v>60</v>
      </c>
      <c r="AC96" s="24">
        <v>576</v>
      </c>
      <c r="AD96" s="24">
        <f t="shared" si="49"/>
        <v>150</v>
      </c>
      <c r="AE96" s="24">
        <v>206</v>
      </c>
      <c r="AF96" s="18">
        <f t="shared" si="66"/>
        <v>4488.7800000000007</v>
      </c>
      <c r="AG96" s="24">
        <f t="shared" si="50"/>
        <v>1496.2600000000002</v>
      </c>
      <c r="AH96" s="47">
        <f t="shared" si="51"/>
        <v>1795.5120000000002</v>
      </c>
      <c r="AI96" s="24">
        <f t="shared" si="52"/>
        <v>897.75599999999986</v>
      </c>
      <c r="AK96" s="24"/>
      <c r="AL96" s="24"/>
      <c r="AM96" s="24">
        <v>1650</v>
      </c>
      <c r="AN96" s="24">
        <v>1850</v>
      </c>
      <c r="AO96" s="38"/>
      <c r="AP96" s="38"/>
      <c r="AQ96" s="18">
        <v>1887</v>
      </c>
      <c r="AR96" s="18">
        <v>2150</v>
      </c>
      <c r="AS96" s="18">
        <v>1490</v>
      </c>
      <c r="AU96" s="5">
        <f t="shared" si="53"/>
        <v>1805.4</v>
      </c>
      <c r="AW96" s="5">
        <f t="shared" si="54"/>
        <v>309.13999999999987</v>
      </c>
      <c r="AX96" s="5">
        <f t="shared" si="55"/>
        <v>927.41999999999962</v>
      </c>
    </row>
    <row r="97" spans="2:50" x14ac:dyDescent="0.25">
      <c r="B97" s="38">
        <v>5</v>
      </c>
      <c r="C97" s="38">
        <v>4</v>
      </c>
      <c r="D97" s="38">
        <v>15</v>
      </c>
      <c r="E97" s="38" t="s">
        <v>141</v>
      </c>
      <c r="F97" s="24">
        <f t="shared" si="56"/>
        <v>240</v>
      </c>
      <c r="G97" s="24">
        <f t="shared" si="57"/>
        <v>240</v>
      </c>
      <c r="H97" s="24">
        <v>150</v>
      </c>
      <c r="I97" s="24">
        <f t="shared" si="67"/>
        <v>1982.3999999999999</v>
      </c>
      <c r="J97" s="24">
        <f t="shared" si="68"/>
        <v>212.39999999999998</v>
      </c>
      <c r="K97" s="24">
        <f t="shared" si="69"/>
        <v>1180</v>
      </c>
      <c r="L97" s="18">
        <v>0</v>
      </c>
      <c r="M97" s="24">
        <f t="shared" si="44"/>
        <v>51.919999999999995</v>
      </c>
      <c r="N97" s="24">
        <f t="shared" si="45"/>
        <v>35.4</v>
      </c>
      <c r="O97" s="24">
        <f t="shared" si="46"/>
        <v>94.399999999999991</v>
      </c>
      <c r="P97" s="41" t="s">
        <v>136</v>
      </c>
      <c r="Q97" s="24">
        <v>26</v>
      </c>
      <c r="R97" s="24">
        <v>30</v>
      </c>
      <c r="S97" s="24">
        <v>26</v>
      </c>
      <c r="T97" s="24">
        <v>72</v>
      </c>
      <c r="U97" s="24">
        <v>30</v>
      </c>
      <c r="V97" s="24">
        <f t="shared" si="47"/>
        <v>16</v>
      </c>
      <c r="W97" s="24">
        <v>17</v>
      </c>
      <c r="X97" s="24">
        <f t="shared" si="48"/>
        <v>16</v>
      </c>
      <c r="Y97" s="24"/>
      <c r="Z97" s="24">
        <f t="shared" si="70"/>
        <v>78</v>
      </c>
      <c r="AA97" s="24">
        <v>60</v>
      </c>
      <c r="AB97" s="24">
        <v>60</v>
      </c>
      <c r="AC97" s="24">
        <v>768</v>
      </c>
      <c r="AD97" s="24">
        <f t="shared" si="49"/>
        <v>200</v>
      </c>
      <c r="AE97" s="24">
        <v>246</v>
      </c>
      <c r="AF97" s="18">
        <f t="shared" si="66"/>
        <v>5831.5199999999995</v>
      </c>
      <c r="AG97" s="24">
        <f t="shared" si="50"/>
        <v>1457.8799999999999</v>
      </c>
      <c r="AH97" s="47">
        <f t="shared" si="51"/>
        <v>1749.4559999999999</v>
      </c>
      <c r="AI97" s="24">
        <f t="shared" si="52"/>
        <v>1166.3040000000001</v>
      </c>
      <c r="AK97" s="24"/>
      <c r="AL97" s="24"/>
      <c r="AM97" s="24">
        <v>1650</v>
      </c>
      <c r="AN97" s="24">
        <v>1850</v>
      </c>
      <c r="AO97" s="38"/>
      <c r="AP97" s="38"/>
      <c r="AQ97" s="18">
        <v>1887</v>
      </c>
      <c r="AR97" s="18">
        <v>1991</v>
      </c>
      <c r="AS97" s="18">
        <v>1490</v>
      </c>
      <c r="AU97" s="5">
        <f t="shared" si="53"/>
        <v>1773.6</v>
      </c>
      <c r="AW97" s="5">
        <f t="shared" si="54"/>
        <v>315.72000000000003</v>
      </c>
      <c r="AX97" s="5">
        <f t="shared" si="55"/>
        <v>1262.8800000000001</v>
      </c>
    </row>
    <row r="98" spans="2:50" x14ac:dyDescent="0.25">
      <c r="B98" s="38" t="s">
        <v>114</v>
      </c>
      <c r="C98" s="38">
        <v>5</v>
      </c>
      <c r="D98" s="38">
        <v>19</v>
      </c>
      <c r="E98" s="38" t="s">
        <v>141</v>
      </c>
      <c r="F98" s="24">
        <f t="shared" si="56"/>
        <v>300</v>
      </c>
      <c r="G98" s="24">
        <f t="shared" si="57"/>
        <v>300</v>
      </c>
      <c r="H98" s="24">
        <v>150</v>
      </c>
      <c r="I98" s="24">
        <f t="shared" si="67"/>
        <v>2478</v>
      </c>
      <c r="J98" s="24">
        <f t="shared" si="68"/>
        <v>269.03999999999996</v>
      </c>
      <c r="K98" s="24">
        <f t="shared" si="69"/>
        <v>1475</v>
      </c>
      <c r="L98" s="18">
        <v>0</v>
      </c>
      <c r="M98" s="24">
        <f t="shared" si="44"/>
        <v>64.899999999999991</v>
      </c>
      <c r="N98" s="24">
        <f t="shared" si="45"/>
        <v>44.839999999999996</v>
      </c>
      <c r="O98" s="24">
        <f t="shared" si="46"/>
        <v>118</v>
      </c>
      <c r="P98" s="41" t="s">
        <v>136</v>
      </c>
      <c r="Q98" s="24">
        <v>32</v>
      </c>
      <c r="R98" s="24">
        <v>30</v>
      </c>
      <c r="S98" s="24">
        <v>26</v>
      </c>
      <c r="T98" s="24">
        <v>108</v>
      </c>
      <c r="U98" s="24">
        <v>30</v>
      </c>
      <c r="V98" s="24">
        <f t="shared" si="47"/>
        <v>20</v>
      </c>
      <c r="W98" s="24">
        <v>34</v>
      </c>
      <c r="X98" s="24">
        <f t="shared" si="48"/>
        <v>20</v>
      </c>
      <c r="Y98" s="24"/>
      <c r="Z98" s="24">
        <f t="shared" si="70"/>
        <v>78</v>
      </c>
      <c r="AA98" s="24">
        <v>120</v>
      </c>
      <c r="AB98" s="24">
        <v>60</v>
      </c>
      <c r="AC98" s="24">
        <v>864</v>
      </c>
      <c r="AD98" s="24">
        <f t="shared" si="49"/>
        <v>250</v>
      </c>
      <c r="AE98" s="24">
        <v>277</v>
      </c>
      <c r="AF98" s="18">
        <f t="shared" si="66"/>
        <v>7148.78</v>
      </c>
      <c r="AG98" s="24">
        <f t="shared" si="50"/>
        <v>1429.7559999999999</v>
      </c>
      <c r="AH98" s="47">
        <f t="shared" si="51"/>
        <v>1715.7071999999998</v>
      </c>
      <c r="AI98" s="24">
        <f t="shared" si="52"/>
        <v>1429.7559999999999</v>
      </c>
      <c r="AK98" s="24"/>
      <c r="AL98" s="24"/>
      <c r="AM98" s="24">
        <v>1650</v>
      </c>
      <c r="AN98" s="24">
        <v>1800</v>
      </c>
      <c r="AO98" s="38"/>
      <c r="AP98" s="38"/>
      <c r="AQ98" s="18">
        <v>1887</v>
      </c>
      <c r="AR98" s="18">
        <v>1945</v>
      </c>
      <c r="AS98" s="18">
        <v>1490</v>
      </c>
      <c r="AU98" s="5">
        <f t="shared" si="53"/>
        <v>1754.4</v>
      </c>
      <c r="AW98" s="5">
        <f t="shared" si="54"/>
        <v>324.64400000000023</v>
      </c>
      <c r="AX98" s="5">
        <f t="shared" si="55"/>
        <v>1623.2200000000012</v>
      </c>
    </row>
    <row r="99" spans="2:50" x14ac:dyDescent="0.25">
      <c r="B99" s="38"/>
      <c r="C99" s="38">
        <v>6</v>
      </c>
      <c r="D99" s="38">
        <v>22</v>
      </c>
      <c r="E99" s="38" t="s">
        <v>141</v>
      </c>
      <c r="F99" s="24">
        <f t="shared" si="56"/>
        <v>360</v>
      </c>
      <c r="G99" s="24">
        <f t="shared" si="57"/>
        <v>360</v>
      </c>
      <c r="H99" s="24">
        <v>150</v>
      </c>
      <c r="I99" s="24">
        <f t="shared" si="67"/>
        <v>2973.6</v>
      </c>
      <c r="J99" s="24">
        <f t="shared" si="68"/>
        <v>311.52</v>
      </c>
      <c r="K99" s="24">
        <f t="shared" si="69"/>
        <v>1770</v>
      </c>
      <c r="L99" s="18">
        <v>0</v>
      </c>
      <c r="M99" s="24">
        <f t="shared" si="44"/>
        <v>77.88</v>
      </c>
      <c r="N99" s="24">
        <f t="shared" si="45"/>
        <v>51.919999999999995</v>
      </c>
      <c r="O99" s="24">
        <f t="shared" si="46"/>
        <v>141.6</v>
      </c>
      <c r="P99" s="41" t="s">
        <v>136</v>
      </c>
      <c r="Q99" s="24">
        <v>38</v>
      </c>
      <c r="R99" s="24">
        <v>30</v>
      </c>
      <c r="S99" s="24">
        <v>26</v>
      </c>
      <c r="T99" s="24">
        <v>108</v>
      </c>
      <c r="U99" s="24">
        <v>30</v>
      </c>
      <c r="V99" s="24">
        <f t="shared" si="47"/>
        <v>24</v>
      </c>
      <c r="W99" s="24">
        <v>34</v>
      </c>
      <c r="X99" s="24">
        <f t="shared" si="48"/>
        <v>24</v>
      </c>
      <c r="Y99" s="24"/>
      <c r="Z99" s="24">
        <f t="shared" si="70"/>
        <v>78</v>
      </c>
      <c r="AA99" s="24">
        <v>120</v>
      </c>
      <c r="AB99" s="24">
        <v>60</v>
      </c>
      <c r="AC99" s="24">
        <v>1056</v>
      </c>
      <c r="AD99" s="24">
        <f t="shared" si="49"/>
        <v>300</v>
      </c>
      <c r="AE99" s="24">
        <v>284</v>
      </c>
      <c r="AF99" s="18">
        <f t="shared" si="66"/>
        <v>8408.52</v>
      </c>
      <c r="AG99" s="24">
        <f t="shared" si="50"/>
        <v>1401.42</v>
      </c>
      <c r="AH99" s="47">
        <f t="shared" si="51"/>
        <v>1681.704</v>
      </c>
      <c r="AI99" s="24">
        <f t="shared" si="52"/>
        <v>1681.7039999999993</v>
      </c>
      <c r="AK99" s="24"/>
      <c r="AL99" s="24"/>
      <c r="AM99" s="24">
        <v>1610</v>
      </c>
      <c r="AN99" s="24">
        <v>1800</v>
      </c>
      <c r="AO99" s="38"/>
      <c r="AP99" s="38"/>
      <c r="AQ99" s="18">
        <v>1887</v>
      </c>
      <c r="AR99" s="18">
        <v>1880</v>
      </c>
      <c r="AS99" s="18">
        <v>1490</v>
      </c>
      <c r="AU99" s="5">
        <f t="shared" si="53"/>
        <v>1733.4</v>
      </c>
      <c r="AW99" s="5">
        <f t="shared" si="54"/>
        <v>331.98</v>
      </c>
      <c r="AX99" s="5">
        <f t="shared" si="55"/>
        <v>1991.88</v>
      </c>
    </row>
    <row r="100" spans="2:50" x14ac:dyDescent="0.25">
      <c r="B100" s="38"/>
      <c r="C100" s="38">
        <v>7</v>
      </c>
      <c r="D100" s="38">
        <v>27</v>
      </c>
      <c r="E100" s="42" t="s">
        <v>142</v>
      </c>
      <c r="F100" s="24">
        <f t="shared" si="56"/>
        <v>420</v>
      </c>
      <c r="G100" s="24">
        <f t="shared" si="57"/>
        <v>420</v>
      </c>
      <c r="H100" s="24">
        <v>250</v>
      </c>
      <c r="I100" s="24">
        <f t="shared" si="67"/>
        <v>3469.2</v>
      </c>
      <c r="J100" s="24">
        <f t="shared" si="68"/>
        <v>382.32</v>
      </c>
      <c r="K100" s="24">
        <f t="shared" si="69"/>
        <v>2065</v>
      </c>
      <c r="L100" s="18">
        <v>0</v>
      </c>
      <c r="M100" s="24">
        <f t="shared" si="44"/>
        <v>90.86</v>
      </c>
      <c r="N100" s="24">
        <f t="shared" si="45"/>
        <v>63.72</v>
      </c>
      <c r="O100" s="24">
        <f t="shared" si="46"/>
        <v>165.2</v>
      </c>
      <c r="P100" s="41" t="s">
        <v>136</v>
      </c>
      <c r="Q100" s="24">
        <v>44</v>
      </c>
      <c r="R100" s="24">
        <v>30</v>
      </c>
      <c r="S100" s="24">
        <v>26</v>
      </c>
      <c r="T100" s="24">
        <v>144</v>
      </c>
      <c r="U100" s="24">
        <v>30</v>
      </c>
      <c r="V100" s="24">
        <f t="shared" si="47"/>
        <v>28</v>
      </c>
      <c r="W100" s="24">
        <v>34</v>
      </c>
      <c r="X100" s="24">
        <f t="shared" si="48"/>
        <v>28</v>
      </c>
      <c r="Y100" s="24"/>
      <c r="Z100" s="24">
        <f t="shared" si="70"/>
        <v>78</v>
      </c>
      <c r="AA100" s="24">
        <v>180</v>
      </c>
      <c r="AB100" s="24">
        <v>60</v>
      </c>
      <c r="AC100" s="24">
        <v>1248</v>
      </c>
      <c r="AD100" s="24">
        <f t="shared" si="49"/>
        <v>350</v>
      </c>
      <c r="AE100" s="24">
        <v>318</v>
      </c>
      <c r="AF100" s="18">
        <f t="shared" si="66"/>
        <v>9924.2999999999993</v>
      </c>
      <c r="AG100" s="24">
        <f t="shared" si="50"/>
        <v>1417.7571428571428</v>
      </c>
      <c r="AH100" s="47">
        <f t="shared" si="51"/>
        <v>1701.3085714285712</v>
      </c>
      <c r="AI100" s="24">
        <f t="shared" si="52"/>
        <v>1984.8599999999992</v>
      </c>
      <c r="AK100" s="24"/>
      <c r="AL100" s="24"/>
      <c r="AM100" s="24">
        <v>1610</v>
      </c>
      <c r="AN100" s="24">
        <v>1800</v>
      </c>
      <c r="AO100" s="38"/>
      <c r="AP100" s="38"/>
      <c r="AQ100" s="18">
        <v>1887</v>
      </c>
      <c r="AR100" s="18">
        <v>1937</v>
      </c>
      <c r="AS100" s="18">
        <v>1490</v>
      </c>
      <c r="AU100" s="5">
        <f t="shared" si="53"/>
        <v>1744.8</v>
      </c>
      <c r="AW100" s="5">
        <f t="shared" si="54"/>
        <v>327.0428571428572</v>
      </c>
      <c r="AX100" s="5">
        <f t="shared" si="55"/>
        <v>2289.3000000000002</v>
      </c>
    </row>
    <row r="101" spans="2:50" x14ac:dyDescent="0.25">
      <c r="B101" s="38"/>
      <c r="C101" s="38">
        <v>8</v>
      </c>
      <c r="D101" s="38">
        <v>29</v>
      </c>
      <c r="E101" s="42" t="s">
        <v>142</v>
      </c>
      <c r="F101" s="24">
        <f t="shared" si="56"/>
        <v>480</v>
      </c>
      <c r="G101" s="24">
        <f t="shared" si="57"/>
        <v>480</v>
      </c>
      <c r="H101" s="24">
        <v>250</v>
      </c>
      <c r="I101" s="24">
        <f t="shared" si="67"/>
        <v>3964.7999999999997</v>
      </c>
      <c r="J101" s="24">
        <f t="shared" si="68"/>
        <v>410.64</v>
      </c>
      <c r="K101" s="24">
        <f t="shared" si="69"/>
        <v>2360</v>
      </c>
      <c r="L101" s="18">
        <v>0</v>
      </c>
      <c r="M101" s="24">
        <f t="shared" si="44"/>
        <v>103.83999999999999</v>
      </c>
      <c r="N101" s="24">
        <f t="shared" si="45"/>
        <v>68.44</v>
      </c>
      <c r="O101" s="24">
        <f t="shared" si="46"/>
        <v>188.79999999999998</v>
      </c>
      <c r="P101" s="41" t="s">
        <v>137</v>
      </c>
      <c r="Q101" s="24">
        <v>50</v>
      </c>
      <c r="R101" s="24">
        <v>60</v>
      </c>
      <c r="S101" s="24">
        <v>26</v>
      </c>
      <c r="T101" s="24">
        <v>144</v>
      </c>
      <c r="U101" s="24">
        <v>30</v>
      </c>
      <c r="V101" s="24">
        <f t="shared" si="47"/>
        <v>32</v>
      </c>
      <c r="W101" s="24">
        <v>34</v>
      </c>
      <c r="X101" s="24">
        <f t="shared" si="48"/>
        <v>32</v>
      </c>
      <c r="Y101" s="24"/>
      <c r="Z101" s="24">
        <f t="shared" si="70"/>
        <v>78</v>
      </c>
      <c r="AA101" s="24">
        <v>180</v>
      </c>
      <c r="AB101" s="24">
        <v>60</v>
      </c>
      <c r="AC101" s="24">
        <v>1440</v>
      </c>
      <c r="AD101" s="24">
        <f t="shared" si="49"/>
        <v>400</v>
      </c>
      <c r="AE101" s="24">
        <v>282</v>
      </c>
      <c r="AF101" s="18">
        <f t="shared" si="66"/>
        <v>11154.519999999999</v>
      </c>
      <c r="AG101" s="24">
        <f t="shared" si="50"/>
        <v>1394.3149999999998</v>
      </c>
      <c r="AH101" s="47">
        <f t="shared" si="51"/>
        <v>1673.1779999999997</v>
      </c>
      <c r="AI101" s="24">
        <f t="shared" si="52"/>
        <v>2230.9039999999986</v>
      </c>
      <c r="AK101" s="24"/>
      <c r="AL101" s="24"/>
      <c r="AM101" s="24">
        <v>1610</v>
      </c>
      <c r="AN101" s="24">
        <v>1750</v>
      </c>
      <c r="AO101" s="38"/>
      <c r="AP101" s="38"/>
      <c r="AQ101" s="18">
        <v>1887</v>
      </c>
      <c r="AR101" s="18">
        <v>1817</v>
      </c>
      <c r="AS101" s="18">
        <v>1490</v>
      </c>
      <c r="AU101" s="5">
        <f t="shared" si="53"/>
        <v>1710.8</v>
      </c>
      <c r="AW101" s="5">
        <f t="shared" si="54"/>
        <v>316.48500000000013</v>
      </c>
      <c r="AX101" s="5">
        <f t="shared" si="55"/>
        <v>2531.880000000001</v>
      </c>
    </row>
    <row r="102" spans="2:50" x14ac:dyDescent="0.25">
      <c r="B102" s="38"/>
      <c r="C102" s="38">
        <v>9</v>
      </c>
      <c r="D102" s="38">
        <v>34</v>
      </c>
      <c r="E102" s="42" t="s">
        <v>143</v>
      </c>
      <c r="F102" s="24">
        <f t="shared" si="56"/>
        <v>540</v>
      </c>
      <c r="G102" s="24">
        <f t="shared" si="57"/>
        <v>540</v>
      </c>
      <c r="H102" s="18">
        <v>250</v>
      </c>
      <c r="I102" s="24">
        <f t="shared" si="67"/>
        <v>4460.3999999999996</v>
      </c>
      <c r="J102" s="24">
        <f t="shared" si="68"/>
        <v>481.44</v>
      </c>
      <c r="K102" s="24">
        <f t="shared" si="69"/>
        <v>2655</v>
      </c>
      <c r="L102" s="18">
        <v>0</v>
      </c>
      <c r="M102" s="24">
        <f t="shared" si="44"/>
        <v>116.82</v>
      </c>
      <c r="N102" s="24">
        <f t="shared" si="45"/>
        <v>80.239999999999995</v>
      </c>
      <c r="O102" s="24">
        <f t="shared" si="46"/>
        <v>212.39999999999998</v>
      </c>
      <c r="P102" s="41" t="s">
        <v>137</v>
      </c>
      <c r="Q102" s="24">
        <v>56</v>
      </c>
      <c r="R102" s="24">
        <v>60</v>
      </c>
      <c r="S102" s="24">
        <v>26</v>
      </c>
      <c r="T102" s="24">
        <v>180</v>
      </c>
      <c r="U102" s="24">
        <v>30</v>
      </c>
      <c r="V102" s="24">
        <f t="shared" si="47"/>
        <v>36</v>
      </c>
      <c r="W102" s="24">
        <v>34</v>
      </c>
      <c r="X102" s="24">
        <f t="shared" si="48"/>
        <v>36</v>
      </c>
      <c r="Y102" s="24"/>
      <c r="Z102" s="24">
        <f t="shared" si="70"/>
        <v>78</v>
      </c>
      <c r="AA102" s="24">
        <v>240</v>
      </c>
      <c r="AB102" s="24">
        <v>60</v>
      </c>
      <c r="AC102" s="24">
        <v>1632</v>
      </c>
      <c r="AD102" s="24">
        <f t="shared" si="49"/>
        <v>450</v>
      </c>
      <c r="AE102" s="18">
        <v>384</v>
      </c>
      <c r="AF102" s="18">
        <f t="shared" si="66"/>
        <v>12638.3</v>
      </c>
      <c r="AG102" s="24">
        <f t="shared" si="50"/>
        <v>1404.2555555555555</v>
      </c>
      <c r="AH102" s="47">
        <f t="shared" si="51"/>
        <v>1685.1066666666666</v>
      </c>
      <c r="AI102" s="24">
        <f t="shared" si="52"/>
        <v>2527.66</v>
      </c>
      <c r="AK102" s="18"/>
      <c r="AL102" s="18"/>
      <c r="AM102" s="24">
        <v>1610</v>
      </c>
      <c r="AN102" s="24">
        <v>1750</v>
      </c>
      <c r="AO102" s="38"/>
      <c r="AP102" s="38"/>
      <c r="AQ102" s="18">
        <v>1887</v>
      </c>
      <c r="AR102" s="18">
        <v>1817</v>
      </c>
      <c r="AS102" s="18">
        <v>1490</v>
      </c>
      <c r="AU102" s="5">
        <f t="shared" si="53"/>
        <v>1710.8</v>
      </c>
      <c r="AW102" s="5">
        <f t="shared" si="54"/>
        <v>306.54444444444448</v>
      </c>
      <c r="AX102" s="5">
        <f t="shared" si="55"/>
        <v>2758.9000000000005</v>
      </c>
    </row>
    <row r="103" spans="2:50" x14ac:dyDescent="0.25">
      <c r="B103" s="38"/>
      <c r="C103" s="38">
        <v>10</v>
      </c>
      <c r="D103" s="38">
        <v>37</v>
      </c>
      <c r="E103" s="42" t="s">
        <v>143</v>
      </c>
      <c r="F103" s="24">
        <f t="shared" si="56"/>
        <v>600</v>
      </c>
      <c r="G103" s="24">
        <f t="shared" si="57"/>
        <v>600</v>
      </c>
      <c r="H103" s="18">
        <v>250</v>
      </c>
      <c r="I103" s="24">
        <f t="shared" si="67"/>
        <v>4956</v>
      </c>
      <c r="J103" s="24">
        <f t="shared" si="68"/>
        <v>523.91999999999996</v>
      </c>
      <c r="K103" s="24">
        <f t="shared" si="69"/>
        <v>2950</v>
      </c>
      <c r="L103" s="18">
        <v>0</v>
      </c>
      <c r="M103" s="24">
        <f t="shared" si="44"/>
        <v>129.79999999999998</v>
      </c>
      <c r="N103" s="24">
        <f t="shared" si="45"/>
        <v>87.32</v>
      </c>
      <c r="O103" s="24">
        <f t="shared" si="46"/>
        <v>236</v>
      </c>
      <c r="P103" s="41" t="s">
        <v>137</v>
      </c>
      <c r="Q103" s="24">
        <v>62</v>
      </c>
      <c r="R103" s="24">
        <v>60</v>
      </c>
      <c r="S103" s="24">
        <v>26</v>
      </c>
      <c r="T103" s="24">
        <v>180</v>
      </c>
      <c r="U103" s="24">
        <v>30</v>
      </c>
      <c r="V103" s="24">
        <f t="shared" si="47"/>
        <v>40</v>
      </c>
      <c r="W103" s="24">
        <v>34</v>
      </c>
      <c r="X103" s="24">
        <f t="shared" si="48"/>
        <v>40</v>
      </c>
      <c r="Y103" s="24"/>
      <c r="Z103" s="24">
        <f t="shared" si="70"/>
        <v>78</v>
      </c>
      <c r="AA103" s="24">
        <v>240</v>
      </c>
      <c r="AB103" s="24">
        <v>60</v>
      </c>
      <c r="AC103" s="24">
        <v>1824</v>
      </c>
      <c r="AD103" s="24">
        <f t="shared" si="49"/>
        <v>500</v>
      </c>
      <c r="AE103" s="18">
        <v>433</v>
      </c>
      <c r="AF103" s="18">
        <f t="shared" si="66"/>
        <v>13940.039999999999</v>
      </c>
      <c r="AG103" s="24">
        <f t="shared" si="50"/>
        <v>1394.0039999999999</v>
      </c>
      <c r="AH103" s="47">
        <f t="shared" si="51"/>
        <v>1672.8047999999999</v>
      </c>
      <c r="AI103" s="24">
        <f t="shared" si="52"/>
        <v>2788.0079999999998</v>
      </c>
      <c r="AK103" s="18"/>
      <c r="AL103" s="18"/>
      <c r="AM103" s="24">
        <v>1610</v>
      </c>
      <c r="AN103" s="24">
        <v>1750</v>
      </c>
      <c r="AO103" s="39"/>
      <c r="AP103" s="39"/>
      <c r="AQ103" s="18">
        <v>1887</v>
      </c>
      <c r="AR103" s="18">
        <v>1817</v>
      </c>
      <c r="AS103" s="18">
        <v>1490</v>
      </c>
      <c r="AU103" s="5">
        <f t="shared" si="53"/>
        <v>1710.8</v>
      </c>
      <c r="AW103" s="5">
        <f t="shared" si="54"/>
        <v>316.79600000000005</v>
      </c>
      <c r="AX103" s="5">
        <f t="shared" si="55"/>
        <v>3167.9600000000005</v>
      </c>
    </row>
    <row r="104" spans="2:50" x14ac:dyDescent="0.25">
      <c r="B104" s="38" t="s">
        <v>11</v>
      </c>
      <c r="C104" s="38">
        <v>1</v>
      </c>
      <c r="D104" s="38">
        <v>7</v>
      </c>
      <c r="E104" s="38" t="s">
        <v>139</v>
      </c>
      <c r="F104" s="24">
        <f t="shared" si="56"/>
        <v>60</v>
      </c>
      <c r="G104" s="24">
        <f t="shared" si="57"/>
        <v>60</v>
      </c>
      <c r="H104" s="18">
        <v>100</v>
      </c>
      <c r="I104" s="24">
        <f>70*C104*$B$105*1.18</f>
        <v>578.19999999999993</v>
      </c>
      <c r="J104" s="24">
        <f>2*D104*$B$105*1.18</f>
        <v>115.64</v>
      </c>
      <c r="K104" s="24">
        <f>50*C104*$B$107*1.18</f>
        <v>354</v>
      </c>
      <c r="L104" s="18">
        <v>0</v>
      </c>
      <c r="M104" s="24">
        <f t="shared" si="44"/>
        <v>12.979999999999999</v>
      </c>
      <c r="N104" s="24">
        <f t="shared" si="45"/>
        <v>16.52</v>
      </c>
      <c r="O104" s="24">
        <f t="shared" si="46"/>
        <v>23.599999999999998</v>
      </c>
      <c r="P104" s="40" t="s">
        <v>136</v>
      </c>
      <c r="Q104" s="24">
        <v>8</v>
      </c>
      <c r="R104" s="24">
        <v>30</v>
      </c>
      <c r="S104" s="24">
        <v>26</v>
      </c>
      <c r="T104" s="24">
        <v>42</v>
      </c>
      <c r="U104" s="24">
        <v>30</v>
      </c>
      <c r="V104" s="24">
        <f t="shared" si="47"/>
        <v>4</v>
      </c>
      <c r="W104" s="24">
        <v>17</v>
      </c>
      <c r="X104" s="24">
        <f t="shared" si="48"/>
        <v>4</v>
      </c>
      <c r="Y104" s="24"/>
      <c r="Z104" s="24">
        <f>13*$B$105</f>
        <v>91</v>
      </c>
      <c r="AA104" s="24">
        <v>0</v>
      </c>
      <c r="AB104" s="24">
        <v>70</v>
      </c>
      <c r="AC104" s="24">
        <v>217</v>
      </c>
      <c r="AD104" s="24">
        <f t="shared" si="49"/>
        <v>50</v>
      </c>
      <c r="AE104" s="24">
        <v>160</v>
      </c>
      <c r="AF104" s="18">
        <f t="shared" si="66"/>
        <v>2069.9399999999996</v>
      </c>
      <c r="AG104" s="24">
        <f t="shared" si="50"/>
        <v>2069.9399999999996</v>
      </c>
      <c r="AH104" s="45">
        <f t="shared" si="51"/>
        <v>2483.9279999999994</v>
      </c>
      <c r="AI104" s="24">
        <f t="shared" si="52"/>
        <v>413.98799999999983</v>
      </c>
      <c r="AK104" s="18"/>
      <c r="AL104" s="18"/>
      <c r="AM104" s="24">
        <v>2300</v>
      </c>
      <c r="AN104" s="18">
        <v>2050</v>
      </c>
      <c r="AO104" s="38"/>
      <c r="AP104" s="38"/>
      <c r="AQ104" s="18">
        <v>2169</v>
      </c>
      <c r="AR104" s="18"/>
      <c r="AS104" s="18"/>
      <c r="AU104" s="5">
        <f t="shared" si="53"/>
        <v>2173</v>
      </c>
      <c r="AW104" s="5">
        <f t="shared" si="54"/>
        <v>103.0600000000004</v>
      </c>
      <c r="AX104" s="5">
        <f t="shared" si="55"/>
        <v>103.0600000000004</v>
      </c>
    </row>
    <row r="105" spans="2:50" x14ac:dyDescent="0.25">
      <c r="B105" s="38">
        <v>7</v>
      </c>
      <c r="C105" s="38">
        <v>2</v>
      </c>
      <c r="D105" s="38">
        <v>11</v>
      </c>
      <c r="E105" s="38" t="s">
        <v>140</v>
      </c>
      <c r="F105" s="24">
        <f t="shared" si="56"/>
        <v>120</v>
      </c>
      <c r="G105" s="24">
        <f t="shared" si="57"/>
        <v>120</v>
      </c>
      <c r="H105" s="24">
        <v>100</v>
      </c>
      <c r="I105" s="24">
        <f t="shared" ref="I105:I113" si="71">70*C105*$B$105*1.18</f>
        <v>1156.3999999999999</v>
      </c>
      <c r="J105" s="24">
        <f t="shared" ref="J105:J112" si="72">2*D105*$B$105*1.18</f>
        <v>181.72</v>
      </c>
      <c r="K105" s="24">
        <f t="shared" ref="K105:K113" si="73">50*C105*$B$107*1.18</f>
        <v>708</v>
      </c>
      <c r="L105" s="18">
        <v>0</v>
      </c>
      <c r="M105" s="24">
        <f t="shared" si="44"/>
        <v>25.959999999999997</v>
      </c>
      <c r="N105" s="24">
        <f t="shared" si="45"/>
        <v>25.959999999999997</v>
      </c>
      <c r="O105" s="24">
        <f t="shared" si="46"/>
        <v>47.199999999999996</v>
      </c>
      <c r="P105" s="41" t="s">
        <v>136</v>
      </c>
      <c r="Q105" s="24">
        <v>14</v>
      </c>
      <c r="R105" s="24">
        <v>30</v>
      </c>
      <c r="S105" s="24">
        <v>26</v>
      </c>
      <c r="T105" s="24">
        <v>42</v>
      </c>
      <c r="U105" s="24">
        <v>30</v>
      </c>
      <c r="V105" s="24">
        <f t="shared" si="47"/>
        <v>8</v>
      </c>
      <c r="W105" s="24">
        <v>17</v>
      </c>
      <c r="X105" s="24">
        <f t="shared" si="48"/>
        <v>8</v>
      </c>
      <c r="Y105" s="24"/>
      <c r="Z105" s="24">
        <f t="shared" ref="Z105:Z113" si="74">13*$B$105</f>
        <v>91</v>
      </c>
      <c r="AA105" s="24">
        <v>70</v>
      </c>
      <c r="AB105" s="24">
        <v>70</v>
      </c>
      <c r="AC105" s="24">
        <v>448</v>
      </c>
      <c r="AD105" s="24">
        <f t="shared" si="49"/>
        <v>100</v>
      </c>
      <c r="AE105" s="24">
        <v>185</v>
      </c>
      <c r="AF105" s="18">
        <f t="shared" si="66"/>
        <v>3624.24</v>
      </c>
      <c r="AG105" s="24">
        <f t="shared" si="50"/>
        <v>1812.12</v>
      </c>
      <c r="AH105" s="46">
        <f t="shared" si="51"/>
        <v>2174.5439999999999</v>
      </c>
      <c r="AI105" s="24">
        <f t="shared" si="52"/>
        <v>724.84799999999996</v>
      </c>
      <c r="AK105" s="24"/>
      <c r="AL105" s="24"/>
      <c r="AM105" s="24">
        <v>1900</v>
      </c>
      <c r="AN105" s="24">
        <v>1950</v>
      </c>
      <c r="AO105" s="38"/>
      <c r="AP105" s="38"/>
      <c r="AQ105" s="18">
        <v>2169</v>
      </c>
      <c r="AR105" s="18"/>
      <c r="AS105" s="18"/>
      <c r="AU105" s="5">
        <f t="shared" si="53"/>
        <v>2006.3333333333333</v>
      </c>
      <c r="AW105" s="5">
        <f t="shared" si="54"/>
        <v>194.21333333333337</v>
      </c>
      <c r="AX105" s="5">
        <f t="shared" si="55"/>
        <v>388.42666666666673</v>
      </c>
    </row>
    <row r="106" spans="2:50" x14ac:dyDescent="0.25">
      <c r="B106" s="38" t="s">
        <v>113</v>
      </c>
      <c r="C106" s="38">
        <v>3</v>
      </c>
      <c r="D106" s="38">
        <v>13</v>
      </c>
      <c r="E106" s="38" t="s">
        <v>140</v>
      </c>
      <c r="F106" s="24">
        <f t="shared" si="56"/>
        <v>180</v>
      </c>
      <c r="G106" s="24">
        <f t="shared" si="57"/>
        <v>180</v>
      </c>
      <c r="H106" s="24">
        <v>100</v>
      </c>
      <c r="I106" s="24">
        <f t="shared" si="71"/>
        <v>1734.6</v>
      </c>
      <c r="J106" s="24">
        <f t="shared" si="72"/>
        <v>214.76</v>
      </c>
      <c r="K106" s="24">
        <f t="shared" si="73"/>
        <v>1062</v>
      </c>
      <c r="L106" s="18">
        <v>0</v>
      </c>
      <c r="M106" s="24">
        <f t="shared" si="44"/>
        <v>38.94</v>
      </c>
      <c r="N106" s="24">
        <f t="shared" si="45"/>
        <v>30.68</v>
      </c>
      <c r="O106" s="24">
        <f t="shared" si="46"/>
        <v>70.8</v>
      </c>
      <c r="P106" s="41" t="s">
        <v>136</v>
      </c>
      <c r="Q106" s="24">
        <v>20</v>
      </c>
      <c r="R106" s="24">
        <v>30</v>
      </c>
      <c r="S106" s="24">
        <v>26</v>
      </c>
      <c r="T106" s="24">
        <v>84</v>
      </c>
      <c r="U106" s="24">
        <v>30</v>
      </c>
      <c r="V106" s="24">
        <f t="shared" si="47"/>
        <v>12</v>
      </c>
      <c r="W106" s="24">
        <v>17</v>
      </c>
      <c r="X106" s="24">
        <f t="shared" si="48"/>
        <v>12</v>
      </c>
      <c r="Y106" s="24"/>
      <c r="Z106" s="24">
        <f t="shared" si="74"/>
        <v>91</v>
      </c>
      <c r="AA106" s="24">
        <v>70</v>
      </c>
      <c r="AB106" s="24">
        <v>70</v>
      </c>
      <c r="AC106" s="24">
        <v>672</v>
      </c>
      <c r="AD106" s="24">
        <f t="shared" si="49"/>
        <v>150</v>
      </c>
      <c r="AE106" s="24">
        <v>206</v>
      </c>
      <c r="AF106" s="18">
        <f t="shared" si="66"/>
        <v>5101.78</v>
      </c>
      <c r="AG106" s="24">
        <f t="shared" si="50"/>
        <v>1700.5933333333332</v>
      </c>
      <c r="AH106" s="46">
        <f t="shared" si="51"/>
        <v>2040.7119999999998</v>
      </c>
      <c r="AI106" s="24">
        <f t="shared" si="52"/>
        <v>1020.3559999999995</v>
      </c>
      <c r="AK106" s="24"/>
      <c r="AL106" s="24"/>
      <c r="AM106" s="24">
        <v>1900</v>
      </c>
      <c r="AN106" s="24">
        <v>1950</v>
      </c>
      <c r="AO106" s="38"/>
      <c r="AP106" s="38"/>
      <c r="AQ106" s="18">
        <v>2169</v>
      </c>
      <c r="AR106" s="18"/>
      <c r="AS106" s="18"/>
      <c r="AU106" s="5">
        <f t="shared" si="53"/>
        <v>2006.3333333333333</v>
      </c>
      <c r="AW106" s="5">
        <f t="shared" si="54"/>
        <v>305.74</v>
      </c>
      <c r="AX106" s="5">
        <f t="shared" si="55"/>
        <v>917.22</v>
      </c>
    </row>
    <row r="107" spans="2:50" x14ac:dyDescent="0.25">
      <c r="B107" s="38">
        <v>6</v>
      </c>
      <c r="C107" s="38">
        <v>4</v>
      </c>
      <c r="D107" s="38">
        <v>15</v>
      </c>
      <c r="E107" s="38" t="s">
        <v>141</v>
      </c>
      <c r="F107" s="24">
        <f t="shared" si="56"/>
        <v>240</v>
      </c>
      <c r="G107" s="24">
        <f t="shared" si="57"/>
        <v>240</v>
      </c>
      <c r="H107" s="24">
        <v>150</v>
      </c>
      <c r="I107" s="24">
        <f t="shared" si="71"/>
        <v>2312.7999999999997</v>
      </c>
      <c r="J107" s="24">
        <f t="shared" si="72"/>
        <v>247.79999999999998</v>
      </c>
      <c r="K107" s="24">
        <f t="shared" si="73"/>
        <v>1416</v>
      </c>
      <c r="L107" s="18">
        <v>0</v>
      </c>
      <c r="M107" s="24">
        <f t="shared" si="44"/>
        <v>51.919999999999995</v>
      </c>
      <c r="N107" s="24">
        <f t="shared" si="45"/>
        <v>35.4</v>
      </c>
      <c r="O107" s="24">
        <f t="shared" si="46"/>
        <v>94.399999999999991</v>
      </c>
      <c r="P107" s="41" t="s">
        <v>136</v>
      </c>
      <c r="Q107" s="24">
        <v>26</v>
      </c>
      <c r="R107" s="24">
        <v>30</v>
      </c>
      <c r="S107" s="24">
        <v>26</v>
      </c>
      <c r="T107" s="24">
        <v>84</v>
      </c>
      <c r="U107" s="24">
        <v>30</v>
      </c>
      <c r="V107" s="24">
        <f t="shared" si="47"/>
        <v>16</v>
      </c>
      <c r="W107" s="24">
        <v>17</v>
      </c>
      <c r="X107" s="24">
        <f t="shared" si="48"/>
        <v>16</v>
      </c>
      <c r="Y107" s="24"/>
      <c r="Z107" s="24">
        <f t="shared" si="74"/>
        <v>91</v>
      </c>
      <c r="AA107" s="24">
        <v>70</v>
      </c>
      <c r="AB107" s="24">
        <v>70</v>
      </c>
      <c r="AC107" s="24">
        <v>896</v>
      </c>
      <c r="AD107" s="24">
        <f t="shared" si="49"/>
        <v>200</v>
      </c>
      <c r="AE107" s="24">
        <v>246</v>
      </c>
      <c r="AF107" s="18">
        <f t="shared" si="66"/>
        <v>6606.32</v>
      </c>
      <c r="AG107" s="24">
        <f t="shared" si="50"/>
        <v>1651.58</v>
      </c>
      <c r="AH107" s="47">
        <f t="shared" si="51"/>
        <v>1981.8959999999997</v>
      </c>
      <c r="AI107" s="24">
        <f t="shared" si="52"/>
        <v>1321.2639999999992</v>
      </c>
      <c r="AK107" s="24"/>
      <c r="AL107" s="24"/>
      <c r="AM107" s="24">
        <v>1900</v>
      </c>
      <c r="AN107" s="24">
        <v>1950</v>
      </c>
      <c r="AO107" s="38"/>
      <c r="AP107" s="38"/>
      <c r="AQ107" s="18">
        <v>2169</v>
      </c>
      <c r="AR107" s="18"/>
      <c r="AS107" s="18"/>
      <c r="AU107" s="5">
        <f t="shared" si="53"/>
        <v>2006.3333333333333</v>
      </c>
      <c r="AW107" s="5">
        <f t="shared" si="54"/>
        <v>354.75333333333333</v>
      </c>
      <c r="AX107" s="5">
        <f t="shared" si="55"/>
        <v>1419.0133333333333</v>
      </c>
    </row>
    <row r="108" spans="2:50" x14ac:dyDescent="0.25">
      <c r="B108" s="38" t="s">
        <v>114</v>
      </c>
      <c r="C108" s="38">
        <v>5</v>
      </c>
      <c r="D108" s="38">
        <v>20</v>
      </c>
      <c r="E108" s="38" t="s">
        <v>141</v>
      </c>
      <c r="F108" s="24">
        <f t="shared" si="56"/>
        <v>300</v>
      </c>
      <c r="G108" s="24">
        <f t="shared" si="57"/>
        <v>300</v>
      </c>
      <c r="H108" s="24">
        <v>150</v>
      </c>
      <c r="I108" s="24">
        <f t="shared" si="71"/>
        <v>2891</v>
      </c>
      <c r="J108" s="24">
        <f t="shared" si="72"/>
        <v>330.4</v>
      </c>
      <c r="K108" s="24">
        <f t="shared" si="73"/>
        <v>1770</v>
      </c>
      <c r="L108" s="18">
        <v>0</v>
      </c>
      <c r="M108" s="24">
        <f t="shared" si="44"/>
        <v>64.899999999999991</v>
      </c>
      <c r="N108" s="24">
        <f t="shared" si="45"/>
        <v>47.199999999999996</v>
      </c>
      <c r="O108" s="24">
        <f t="shared" si="46"/>
        <v>118</v>
      </c>
      <c r="P108" s="41" t="s">
        <v>136</v>
      </c>
      <c r="Q108" s="24">
        <v>32</v>
      </c>
      <c r="R108" s="24">
        <v>30</v>
      </c>
      <c r="S108" s="24">
        <v>26</v>
      </c>
      <c r="T108" s="24">
        <v>126</v>
      </c>
      <c r="U108" s="24">
        <v>30</v>
      </c>
      <c r="V108" s="24">
        <f t="shared" si="47"/>
        <v>20</v>
      </c>
      <c r="W108" s="24">
        <v>34</v>
      </c>
      <c r="X108" s="24">
        <f t="shared" si="48"/>
        <v>20</v>
      </c>
      <c r="Y108" s="24"/>
      <c r="Z108" s="24">
        <f t="shared" si="74"/>
        <v>91</v>
      </c>
      <c r="AA108" s="24">
        <v>140</v>
      </c>
      <c r="AB108" s="24">
        <v>70</v>
      </c>
      <c r="AC108" s="24">
        <v>1008</v>
      </c>
      <c r="AD108" s="24">
        <f t="shared" si="49"/>
        <v>250</v>
      </c>
      <c r="AE108" s="24">
        <v>277</v>
      </c>
      <c r="AF108" s="18">
        <f t="shared" si="66"/>
        <v>8125.4999999999991</v>
      </c>
      <c r="AG108" s="24">
        <f t="shared" si="50"/>
        <v>1625.1</v>
      </c>
      <c r="AH108" s="47">
        <f t="shared" si="51"/>
        <v>1950.12</v>
      </c>
      <c r="AI108" s="24">
        <f t="shared" si="52"/>
        <v>1625.1</v>
      </c>
      <c r="AK108" s="24"/>
      <c r="AL108" s="24"/>
      <c r="AM108" s="24">
        <v>1900</v>
      </c>
      <c r="AN108" s="24">
        <v>1900</v>
      </c>
      <c r="AO108" s="38"/>
      <c r="AP108" s="38"/>
      <c r="AQ108" s="18">
        <v>2169</v>
      </c>
      <c r="AR108" s="18"/>
      <c r="AS108" s="18"/>
      <c r="AU108" s="5">
        <f t="shared" si="53"/>
        <v>1989.6666666666667</v>
      </c>
      <c r="AW108" s="5">
        <f t="shared" si="54"/>
        <v>364.56666666666683</v>
      </c>
      <c r="AX108" s="5">
        <f t="shared" si="55"/>
        <v>1822.8333333333342</v>
      </c>
    </row>
    <row r="109" spans="2:50" x14ac:dyDescent="0.25">
      <c r="B109" s="38"/>
      <c r="C109" s="38">
        <v>6</v>
      </c>
      <c r="D109" s="38">
        <v>23</v>
      </c>
      <c r="E109" s="38" t="s">
        <v>141</v>
      </c>
      <c r="F109" s="24">
        <f t="shared" si="56"/>
        <v>360</v>
      </c>
      <c r="G109" s="24">
        <f t="shared" si="57"/>
        <v>360</v>
      </c>
      <c r="H109" s="24">
        <v>150</v>
      </c>
      <c r="I109" s="24">
        <f t="shared" si="71"/>
        <v>3469.2</v>
      </c>
      <c r="J109" s="24">
        <f t="shared" si="72"/>
        <v>379.96</v>
      </c>
      <c r="K109" s="24">
        <f t="shared" si="73"/>
        <v>2124</v>
      </c>
      <c r="L109" s="18">
        <v>0</v>
      </c>
      <c r="M109" s="24">
        <f t="shared" si="44"/>
        <v>77.88</v>
      </c>
      <c r="N109" s="24">
        <f t="shared" si="45"/>
        <v>54.279999999999994</v>
      </c>
      <c r="O109" s="24">
        <f t="shared" si="46"/>
        <v>141.6</v>
      </c>
      <c r="P109" s="41" t="s">
        <v>136</v>
      </c>
      <c r="Q109" s="24">
        <v>38</v>
      </c>
      <c r="R109" s="24">
        <v>30</v>
      </c>
      <c r="S109" s="24">
        <v>26</v>
      </c>
      <c r="T109" s="24">
        <v>126</v>
      </c>
      <c r="U109" s="24">
        <v>30</v>
      </c>
      <c r="V109" s="24">
        <f t="shared" si="47"/>
        <v>24</v>
      </c>
      <c r="W109" s="24">
        <v>34</v>
      </c>
      <c r="X109" s="24">
        <f t="shared" si="48"/>
        <v>24</v>
      </c>
      <c r="Y109" s="24"/>
      <c r="Z109" s="24">
        <f t="shared" si="74"/>
        <v>91</v>
      </c>
      <c r="AA109" s="24">
        <v>140</v>
      </c>
      <c r="AB109" s="24">
        <v>70</v>
      </c>
      <c r="AC109" s="24">
        <v>1232</v>
      </c>
      <c r="AD109" s="24">
        <f t="shared" si="49"/>
        <v>300</v>
      </c>
      <c r="AE109" s="24">
        <v>284</v>
      </c>
      <c r="AF109" s="18">
        <f t="shared" si="66"/>
        <v>9565.92</v>
      </c>
      <c r="AG109" s="24">
        <f t="shared" si="50"/>
        <v>1594.32</v>
      </c>
      <c r="AH109" s="47">
        <f t="shared" si="51"/>
        <v>1913.1839999999997</v>
      </c>
      <c r="AI109" s="24">
        <f t="shared" si="52"/>
        <v>1913.1839999999988</v>
      </c>
      <c r="AK109" s="24"/>
      <c r="AL109" s="24"/>
      <c r="AM109" s="24">
        <v>1850</v>
      </c>
      <c r="AN109" s="24">
        <v>1900</v>
      </c>
      <c r="AO109" s="38"/>
      <c r="AP109" s="38"/>
      <c r="AQ109" s="18">
        <v>2169</v>
      </c>
      <c r="AR109" s="18"/>
      <c r="AS109" s="18"/>
      <c r="AU109" s="5">
        <f t="shared" si="53"/>
        <v>1973</v>
      </c>
      <c r="AW109" s="5">
        <f t="shared" si="54"/>
        <v>378.68000000000006</v>
      </c>
      <c r="AX109" s="5">
        <f t="shared" si="55"/>
        <v>2272.0800000000004</v>
      </c>
    </row>
    <row r="110" spans="2:50" x14ac:dyDescent="0.25">
      <c r="B110" s="38"/>
      <c r="C110" s="38">
        <v>7</v>
      </c>
      <c r="D110" s="38">
        <v>27</v>
      </c>
      <c r="E110" s="42" t="s">
        <v>142</v>
      </c>
      <c r="F110" s="24">
        <f t="shared" si="56"/>
        <v>420</v>
      </c>
      <c r="G110" s="24">
        <f t="shared" si="57"/>
        <v>420</v>
      </c>
      <c r="H110" s="24">
        <v>250</v>
      </c>
      <c r="I110" s="24">
        <f t="shared" si="71"/>
        <v>4047.3999999999996</v>
      </c>
      <c r="J110" s="24">
        <f t="shared" si="72"/>
        <v>446.03999999999996</v>
      </c>
      <c r="K110" s="24">
        <f t="shared" si="73"/>
        <v>2478</v>
      </c>
      <c r="L110" s="18">
        <v>0</v>
      </c>
      <c r="M110" s="24">
        <f t="shared" si="44"/>
        <v>90.86</v>
      </c>
      <c r="N110" s="24">
        <f t="shared" si="45"/>
        <v>63.72</v>
      </c>
      <c r="O110" s="24">
        <f t="shared" si="46"/>
        <v>165.2</v>
      </c>
      <c r="P110" s="41" t="s">
        <v>136</v>
      </c>
      <c r="Q110" s="24">
        <v>44</v>
      </c>
      <c r="R110" s="24">
        <v>30</v>
      </c>
      <c r="S110" s="24">
        <v>26</v>
      </c>
      <c r="T110" s="24">
        <v>168</v>
      </c>
      <c r="U110" s="24">
        <v>30</v>
      </c>
      <c r="V110" s="24">
        <f t="shared" si="47"/>
        <v>28</v>
      </c>
      <c r="W110" s="24">
        <v>34</v>
      </c>
      <c r="X110" s="24">
        <f t="shared" si="48"/>
        <v>28</v>
      </c>
      <c r="Y110" s="24"/>
      <c r="Z110" s="24">
        <f t="shared" si="74"/>
        <v>91</v>
      </c>
      <c r="AA110" s="24">
        <v>210</v>
      </c>
      <c r="AB110" s="24">
        <v>70</v>
      </c>
      <c r="AC110" s="24">
        <v>1456</v>
      </c>
      <c r="AD110" s="24">
        <f t="shared" si="49"/>
        <v>350</v>
      </c>
      <c r="AE110" s="24">
        <v>318</v>
      </c>
      <c r="AF110" s="18">
        <f t="shared" si="66"/>
        <v>11264.22</v>
      </c>
      <c r="AG110" s="24">
        <f t="shared" si="50"/>
        <v>1609.1742857142856</v>
      </c>
      <c r="AH110" s="47">
        <f t="shared" si="51"/>
        <v>1931.0091428571427</v>
      </c>
      <c r="AI110" s="24">
        <f t="shared" si="52"/>
        <v>2252.8440000000001</v>
      </c>
      <c r="AK110" s="24"/>
      <c r="AL110" s="24"/>
      <c r="AM110" s="24">
        <v>1850</v>
      </c>
      <c r="AN110" s="24">
        <v>1900</v>
      </c>
      <c r="AO110" s="38"/>
      <c r="AP110" s="38"/>
      <c r="AQ110" s="18">
        <v>2169</v>
      </c>
      <c r="AR110" s="18"/>
      <c r="AS110" s="18"/>
      <c r="AU110" s="5">
        <f t="shared" si="53"/>
        <v>1973</v>
      </c>
      <c r="AW110" s="5">
        <f t="shared" si="54"/>
        <v>363.82571428571441</v>
      </c>
      <c r="AX110" s="5">
        <f t="shared" si="55"/>
        <v>2546.7800000000007</v>
      </c>
    </row>
    <row r="111" spans="2:50" x14ac:dyDescent="0.25">
      <c r="B111" s="38"/>
      <c r="C111" s="38">
        <v>8</v>
      </c>
      <c r="D111" s="38">
        <v>30</v>
      </c>
      <c r="E111" s="42" t="s">
        <v>142</v>
      </c>
      <c r="F111" s="24">
        <f t="shared" si="56"/>
        <v>480</v>
      </c>
      <c r="G111" s="24">
        <f t="shared" si="57"/>
        <v>480</v>
      </c>
      <c r="H111" s="24">
        <v>250</v>
      </c>
      <c r="I111" s="24">
        <f t="shared" si="71"/>
        <v>4625.5999999999995</v>
      </c>
      <c r="J111" s="24">
        <f t="shared" si="72"/>
        <v>495.59999999999997</v>
      </c>
      <c r="K111" s="24">
        <f t="shared" si="73"/>
        <v>2832</v>
      </c>
      <c r="L111" s="18">
        <v>0</v>
      </c>
      <c r="M111" s="24">
        <f t="shared" si="44"/>
        <v>103.83999999999999</v>
      </c>
      <c r="N111" s="24">
        <f t="shared" si="45"/>
        <v>70.8</v>
      </c>
      <c r="O111" s="24">
        <f t="shared" si="46"/>
        <v>188.79999999999998</v>
      </c>
      <c r="P111" s="41" t="s">
        <v>137</v>
      </c>
      <c r="Q111" s="24">
        <v>50</v>
      </c>
      <c r="R111" s="24">
        <v>60</v>
      </c>
      <c r="S111" s="24">
        <v>26</v>
      </c>
      <c r="T111" s="24">
        <v>168</v>
      </c>
      <c r="U111" s="24">
        <v>30</v>
      </c>
      <c r="V111" s="24">
        <f t="shared" si="47"/>
        <v>32</v>
      </c>
      <c r="W111" s="24">
        <v>34</v>
      </c>
      <c r="X111" s="24">
        <f t="shared" si="48"/>
        <v>32</v>
      </c>
      <c r="Y111" s="24"/>
      <c r="Z111" s="24">
        <f t="shared" si="74"/>
        <v>91</v>
      </c>
      <c r="AA111" s="24">
        <v>210</v>
      </c>
      <c r="AB111" s="24">
        <v>70</v>
      </c>
      <c r="AC111" s="24">
        <v>1680</v>
      </c>
      <c r="AD111" s="24">
        <f t="shared" si="49"/>
        <v>400</v>
      </c>
      <c r="AE111" s="24">
        <v>282</v>
      </c>
      <c r="AF111" s="18">
        <f t="shared" si="66"/>
        <v>12691.64</v>
      </c>
      <c r="AG111" s="24">
        <f t="shared" si="50"/>
        <v>1586.4549999999999</v>
      </c>
      <c r="AH111" s="46">
        <f t="shared" si="51"/>
        <v>1903.7459999999999</v>
      </c>
      <c r="AI111" s="24">
        <f t="shared" si="52"/>
        <v>2538.3279999999995</v>
      </c>
      <c r="AK111" s="24"/>
      <c r="AL111" s="24"/>
      <c r="AM111" s="24">
        <v>1850</v>
      </c>
      <c r="AN111" s="24">
        <v>1850</v>
      </c>
      <c r="AO111" s="38"/>
      <c r="AP111" s="38"/>
      <c r="AQ111" s="18">
        <v>2169</v>
      </c>
      <c r="AR111" s="18"/>
      <c r="AS111" s="18"/>
      <c r="AU111" s="5">
        <f t="shared" si="53"/>
        <v>1956.3333333333333</v>
      </c>
      <c r="AW111" s="5">
        <f t="shared" si="54"/>
        <v>369.87833333333333</v>
      </c>
      <c r="AX111" s="5">
        <f t="shared" si="55"/>
        <v>2959.0266666666666</v>
      </c>
    </row>
    <row r="112" spans="2:50" x14ac:dyDescent="0.25">
      <c r="B112" s="38"/>
      <c r="C112" s="38">
        <v>9</v>
      </c>
      <c r="D112" s="38">
        <v>35</v>
      </c>
      <c r="E112" s="42" t="s">
        <v>143</v>
      </c>
      <c r="F112" s="24">
        <f t="shared" si="56"/>
        <v>540</v>
      </c>
      <c r="G112" s="24">
        <f t="shared" si="57"/>
        <v>540</v>
      </c>
      <c r="H112" s="18">
        <v>250</v>
      </c>
      <c r="I112" s="24">
        <f t="shared" si="71"/>
        <v>5203.7999999999993</v>
      </c>
      <c r="J112" s="24">
        <f t="shared" si="72"/>
        <v>578.19999999999993</v>
      </c>
      <c r="K112" s="24">
        <f t="shared" si="73"/>
        <v>3186</v>
      </c>
      <c r="L112" s="18">
        <v>0</v>
      </c>
      <c r="M112" s="24">
        <f t="shared" si="44"/>
        <v>116.82</v>
      </c>
      <c r="N112" s="24">
        <f t="shared" si="45"/>
        <v>82.6</v>
      </c>
      <c r="O112" s="24">
        <f t="shared" si="46"/>
        <v>212.39999999999998</v>
      </c>
      <c r="P112" s="41" t="s">
        <v>137</v>
      </c>
      <c r="Q112" s="24">
        <v>56</v>
      </c>
      <c r="R112" s="24">
        <v>60</v>
      </c>
      <c r="S112" s="24">
        <v>26</v>
      </c>
      <c r="T112" s="24">
        <v>210</v>
      </c>
      <c r="U112" s="24">
        <v>30</v>
      </c>
      <c r="V112" s="24">
        <f t="shared" si="47"/>
        <v>36</v>
      </c>
      <c r="W112" s="24">
        <v>34</v>
      </c>
      <c r="X112" s="24">
        <f t="shared" si="48"/>
        <v>36</v>
      </c>
      <c r="Y112" s="24"/>
      <c r="Z112" s="24">
        <f t="shared" si="74"/>
        <v>91</v>
      </c>
      <c r="AA112" s="24">
        <v>280</v>
      </c>
      <c r="AB112" s="24">
        <v>70</v>
      </c>
      <c r="AC112" s="24">
        <v>1904</v>
      </c>
      <c r="AD112" s="24">
        <f t="shared" si="49"/>
        <v>450</v>
      </c>
      <c r="AE112" s="18">
        <v>384</v>
      </c>
      <c r="AF112" s="18">
        <f t="shared" si="66"/>
        <v>14376.82</v>
      </c>
      <c r="AG112" s="24">
        <f t="shared" si="50"/>
        <v>1597.4244444444444</v>
      </c>
      <c r="AH112" s="46">
        <f t="shared" si="51"/>
        <v>1916.9093333333331</v>
      </c>
      <c r="AI112" s="24">
        <f t="shared" si="52"/>
        <v>2875.3639999999982</v>
      </c>
      <c r="AK112" s="18"/>
      <c r="AL112" s="18"/>
      <c r="AM112" s="24">
        <v>1850</v>
      </c>
      <c r="AN112" s="24">
        <v>1850</v>
      </c>
      <c r="AO112" s="38"/>
      <c r="AP112" s="38"/>
      <c r="AQ112" s="18">
        <v>2169</v>
      </c>
      <c r="AR112" s="18"/>
      <c r="AS112" s="18"/>
      <c r="AU112" s="5">
        <f t="shared" si="53"/>
        <v>1956.3333333333333</v>
      </c>
      <c r="AW112" s="5">
        <f t="shared" si="54"/>
        <v>358.9088888888889</v>
      </c>
      <c r="AX112" s="5">
        <f t="shared" si="55"/>
        <v>3230.1800000000003</v>
      </c>
    </row>
    <row r="113" spans="2:52" x14ac:dyDescent="0.25">
      <c r="B113" s="51"/>
      <c r="C113" s="51">
        <v>10</v>
      </c>
      <c r="D113" s="51">
        <v>39</v>
      </c>
      <c r="E113" s="52" t="s">
        <v>143</v>
      </c>
      <c r="F113" s="53">
        <f t="shared" si="56"/>
        <v>600</v>
      </c>
      <c r="G113" s="53">
        <f t="shared" si="57"/>
        <v>600</v>
      </c>
      <c r="H113" s="54">
        <v>250</v>
      </c>
      <c r="I113" s="53">
        <f t="shared" si="71"/>
        <v>5782</v>
      </c>
      <c r="J113" s="53">
        <f>2*D113*$B$105*1.18</f>
        <v>644.28</v>
      </c>
      <c r="K113" s="53">
        <f t="shared" si="73"/>
        <v>3540</v>
      </c>
      <c r="L113" s="54">
        <v>0</v>
      </c>
      <c r="M113" s="53">
        <f t="shared" si="44"/>
        <v>129.79999999999998</v>
      </c>
      <c r="N113" s="53">
        <f t="shared" si="45"/>
        <v>92.039999999999992</v>
      </c>
      <c r="O113" s="53">
        <f t="shared" si="46"/>
        <v>236</v>
      </c>
      <c r="P113" s="55" t="s">
        <v>137</v>
      </c>
      <c r="Q113" s="53">
        <v>62</v>
      </c>
      <c r="R113" s="53">
        <v>60</v>
      </c>
      <c r="S113" s="53">
        <v>26</v>
      </c>
      <c r="T113" s="53">
        <v>210</v>
      </c>
      <c r="U113" s="53">
        <v>30</v>
      </c>
      <c r="V113" s="53">
        <f t="shared" si="47"/>
        <v>40</v>
      </c>
      <c r="W113" s="53">
        <v>34</v>
      </c>
      <c r="X113" s="53">
        <f t="shared" si="48"/>
        <v>40</v>
      </c>
      <c r="Y113" s="53"/>
      <c r="Z113" s="53">
        <f t="shared" si="74"/>
        <v>91</v>
      </c>
      <c r="AA113" s="53">
        <v>280</v>
      </c>
      <c r="AB113" s="53">
        <v>70</v>
      </c>
      <c r="AC113" s="53">
        <v>2128</v>
      </c>
      <c r="AD113" s="53">
        <f t="shared" si="49"/>
        <v>500</v>
      </c>
      <c r="AE113" s="54">
        <v>433</v>
      </c>
      <c r="AF113" s="54">
        <f t="shared" si="66"/>
        <v>15878.119999999999</v>
      </c>
      <c r="AG113" s="53">
        <f t="shared" si="50"/>
        <v>1587.8119999999999</v>
      </c>
      <c r="AH113" s="56">
        <f t="shared" si="51"/>
        <v>1905.3743999999997</v>
      </c>
      <c r="AI113" s="53">
        <f t="shared" si="52"/>
        <v>3175.623999999998</v>
      </c>
      <c r="AK113" s="54"/>
      <c r="AL113" s="54"/>
      <c r="AM113" s="53">
        <v>1850</v>
      </c>
      <c r="AN113" s="53">
        <v>1850</v>
      </c>
      <c r="AO113" s="57"/>
      <c r="AP113" s="57"/>
      <c r="AQ113" s="54">
        <v>2169</v>
      </c>
      <c r="AR113" s="54"/>
      <c r="AS113" s="54"/>
      <c r="AU113" s="5">
        <f t="shared" si="53"/>
        <v>1956.3333333333333</v>
      </c>
      <c r="AW113" s="5">
        <f t="shared" si="54"/>
        <v>368.52133333333336</v>
      </c>
      <c r="AX113" s="5">
        <f t="shared" si="55"/>
        <v>3685.2133333333336</v>
      </c>
    </row>
    <row r="114" spans="2:52" s="80" customFormat="1" x14ac:dyDescent="0.25">
      <c r="B114" s="81" t="s">
        <v>283</v>
      </c>
      <c r="C114" s="81">
        <v>1</v>
      </c>
      <c r="D114" s="81">
        <v>8</v>
      </c>
      <c r="E114" s="81" t="s">
        <v>139</v>
      </c>
      <c r="F114" s="81" t="s">
        <v>158</v>
      </c>
      <c r="G114" s="81" t="s">
        <v>158</v>
      </c>
      <c r="H114" s="81" t="s">
        <v>159</v>
      </c>
      <c r="I114" s="81">
        <f>70*C114*B115*1.118</f>
        <v>626.08000000000004</v>
      </c>
      <c r="J114" s="81">
        <f>D114*2*B115*1.18</f>
        <v>151.04</v>
      </c>
      <c r="K114" s="81">
        <f>50*1.18*C114*B117</f>
        <v>413</v>
      </c>
      <c r="L114" s="81" t="s">
        <v>160</v>
      </c>
      <c r="M114" s="81" t="s">
        <v>161</v>
      </c>
      <c r="N114" s="81" t="s">
        <v>162</v>
      </c>
      <c r="O114" s="81" t="s">
        <v>163</v>
      </c>
      <c r="P114" s="81" t="s">
        <v>164</v>
      </c>
      <c r="Q114" s="81" t="s">
        <v>165</v>
      </c>
      <c r="R114" s="81" t="s">
        <v>166</v>
      </c>
      <c r="S114" s="81" t="s">
        <v>164</v>
      </c>
      <c r="T114" s="81" t="s">
        <v>167</v>
      </c>
      <c r="U114" s="81" t="s">
        <v>166</v>
      </c>
      <c r="V114" s="81" t="s">
        <v>168</v>
      </c>
      <c r="W114" s="81" t="s">
        <v>169</v>
      </c>
      <c r="X114" s="81" t="s">
        <v>168</v>
      </c>
      <c r="Y114" s="81"/>
      <c r="Z114" s="81" t="s">
        <v>170</v>
      </c>
      <c r="AA114" s="81" t="s">
        <v>160</v>
      </c>
      <c r="AB114" s="81" t="s">
        <v>171</v>
      </c>
      <c r="AC114" s="81" t="s">
        <v>172</v>
      </c>
      <c r="AD114" s="81" t="s">
        <v>173</v>
      </c>
      <c r="AE114" s="81" t="s">
        <v>174</v>
      </c>
      <c r="AF114" s="81">
        <f>SUM(I114:AE114)</f>
        <v>1190.1199999999999</v>
      </c>
      <c r="AG114" s="81">
        <f>AF114</f>
        <v>1190.1199999999999</v>
      </c>
      <c r="AH114" s="81"/>
      <c r="AI114" s="81"/>
      <c r="AJ114" s="81"/>
      <c r="AK114" s="81"/>
      <c r="AL114" s="81"/>
      <c r="AM114" s="81"/>
      <c r="AN114" s="81"/>
      <c r="AO114" s="81"/>
      <c r="AP114" s="81"/>
      <c r="AQ114" s="81"/>
      <c r="AR114" s="81"/>
      <c r="AS114" s="81"/>
      <c r="AT114" s="81"/>
      <c r="AU114" s="81"/>
      <c r="AV114" s="81"/>
      <c r="AW114" s="81"/>
      <c r="AX114" s="81"/>
      <c r="AY114" s="81"/>
      <c r="AZ114" s="81"/>
    </row>
    <row r="115" spans="2:52" s="80" customFormat="1" x14ac:dyDescent="0.25">
      <c r="B115" s="81">
        <v>8</v>
      </c>
      <c r="C115" s="81">
        <v>2</v>
      </c>
      <c r="D115" s="81">
        <v>10</v>
      </c>
      <c r="E115" s="81" t="s">
        <v>140</v>
      </c>
      <c r="F115" s="81" t="s">
        <v>175</v>
      </c>
      <c r="G115" s="81" t="s">
        <v>175</v>
      </c>
      <c r="H115" s="81" t="s">
        <v>159</v>
      </c>
      <c r="I115" s="81">
        <f>70*1.18*C115*B115</f>
        <v>1321.6</v>
      </c>
      <c r="J115" s="81">
        <f>2*D115*B115*1.18</f>
        <v>188.79999999999998</v>
      </c>
      <c r="K115" s="81">
        <f>50*1.18*C115*B117</f>
        <v>826</v>
      </c>
      <c r="L115" s="81" t="s">
        <v>160</v>
      </c>
      <c r="M115" s="81" t="s">
        <v>177</v>
      </c>
      <c r="N115" s="81" t="s">
        <v>163</v>
      </c>
      <c r="O115" s="81" t="s">
        <v>178</v>
      </c>
      <c r="P115" s="81" t="s">
        <v>164</v>
      </c>
      <c r="Q115" s="81" t="s">
        <v>179</v>
      </c>
      <c r="R115" s="81" t="s">
        <v>166</v>
      </c>
      <c r="S115" s="81" t="s">
        <v>164</v>
      </c>
      <c r="T115" s="81" t="s">
        <v>167</v>
      </c>
      <c r="U115" s="81" t="s">
        <v>166</v>
      </c>
      <c r="V115" s="81" t="s">
        <v>165</v>
      </c>
      <c r="W115" s="81" t="s">
        <v>169</v>
      </c>
      <c r="X115" s="81" t="s">
        <v>165</v>
      </c>
      <c r="Y115" s="81"/>
      <c r="Z115" s="81" t="s">
        <v>170</v>
      </c>
      <c r="AA115" s="81" t="s">
        <v>171</v>
      </c>
      <c r="AB115" s="81" t="s">
        <v>171</v>
      </c>
      <c r="AC115" s="81" t="s">
        <v>180</v>
      </c>
      <c r="AD115" s="81" t="s">
        <v>159</v>
      </c>
      <c r="AE115" s="81" t="s">
        <v>181</v>
      </c>
      <c r="AF115" s="81">
        <f>SUM(I115:AE115)</f>
        <v>2336.3999999999996</v>
      </c>
      <c r="AG115" s="81">
        <f>AF115/2</f>
        <v>1168.1999999999998</v>
      </c>
      <c r="AH115" s="81"/>
      <c r="AI115" s="81"/>
      <c r="AJ115" s="81"/>
      <c r="AK115" s="81"/>
      <c r="AL115" s="81"/>
      <c r="AM115" s="81"/>
      <c r="AN115" s="81"/>
      <c r="AO115" s="81"/>
      <c r="AP115" s="81"/>
      <c r="AQ115" s="81"/>
      <c r="AR115" s="81"/>
      <c r="AS115" s="81"/>
      <c r="AT115" s="81"/>
      <c r="AU115" s="81"/>
      <c r="AV115" s="81"/>
      <c r="AW115" s="81"/>
      <c r="AX115" s="81"/>
      <c r="AY115" s="81"/>
      <c r="AZ115" s="81"/>
    </row>
    <row r="116" spans="2:52" s="80" customFormat="1" x14ac:dyDescent="0.25">
      <c r="B116" s="81" t="s">
        <v>113</v>
      </c>
      <c r="C116" s="81">
        <v>3</v>
      </c>
      <c r="D116" s="81">
        <v>13</v>
      </c>
      <c r="E116" s="81" t="s">
        <v>140</v>
      </c>
      <c r="F116" s="81" t="s">
        <v>182</v>
      </c>
      <c r="G116" s="81" t="s">
        <v>182</v>
      </c>
      <c r="H116" s="81" t="s">
        <v>159</v>
      </c>
      <c r="I116" s="81">
        <f>70*1.18*C116*B115</f>
        <v>1982.3999999999999</v>
      </c>
      <c r="J116" s="81">
        <f>2*D116*B115*1.18</f>
        <v>245.44</v>
      </c>
      <c r="K116" s="81">
        <f>50*1.18*C116*B117</f>
        <v>1239</v>
      </c>
      <c r="L116" s="81" t="s">
        <v>160</v>
      </c>
      <c r="M116" s="81" t="s">
        <v>183</v>
      </c>
      <c r="N116" s="81" t="s">
        <v>184</v>
      </c>
      <c r="O116" s="81" t="s">
        <v>185</v>
      </c>
      <c r="P116" s="81" t="s">
        <v>164</v>
      </c>
      <c r="Q116" s="81" t="s">
        <v>186</v>
      </c>
      <c r="R116" s="81" t="s">
        <v>166</v>
      </c>
      <c r="S116" s="81" t="s">
        <v>164</v>
      </c>
      <c r="T116" s="81" t="s">
        <v>187</v>
      </c>
      <c r="U116" s="81" t="s">
        <v>166</v>
      </c>
      <c r="V116" s="81" t="s">
        <v>188</v>
      </c>
      <c r="W116" s="81" t="s">
        <v>169</v>
      </c>
      <c r="X116" s="81" t="s">
        <v>188</v>
      </c>
      <c r="Y116" s="81"/>
      <c r="Z116" s="81" t="s">
        <v>170</v>
      </c>
      <c r="AA116" s="81" t="s">
        <v>171</v>
      </c>
      <c r="AB116" s="81" t="s">
        <v>171</v>
      </c>
      <c r="AC116" s="81" t="s">
        <v>189</v>
      </c>
      <c r="AD116" s="81" t="s">
        <v>190</v>
      </c>
      <c r="AE116" s="81" t="s">
        <v>191</v>
      </c>
      <c r="AF116" s="81">
        <f>SUM(I116:AE116)</f>
        <v>3466.8399999999997</v>
      </c>
      <c r="AG116" s="81">
        <f>AF116/3</f>
        <v>1155.6133333333332</v>
      </c>
      <c r="AH116" s="81"/>
      <c r="AI116" s="81"/>
      <c r="AJ116" s="81"/>
      <c r="AK116" s="81"/>
      <c r="AL116" s="81"/>
      <c r="AM116" s="81"/>
      <c r="AN116" s="81"/>
      <c r="AO116" s="81"/>
      <c r="AP116" s="81"/>
      <c r="AQ116" s="81"/>
      <c r="AR116" s="81"/>
      <c r="AS116" s="81"/>
      <c r="AT116" s="81"/>
      <c r="AU116" s="81"/>
      <c r="AV116" s="81"/>
      <c r="AW116" s="81"/>
      <c r="AX116" s="81"/>
      <c r="AY116" s="81"/>
      <c r="AZ116" s="81"/>
    </row>
    <row r="117" spans="2:52" s="80" customFormat="1" x14ac:dyDescent="0.25">
      <c r="B117" s="81">
        <v>7</v>
      </c>
      <c r="C117" s="81">
        <v>4</v>
      </c>
      <c r="D117" s="81">
        <v>16</v>
      </c>
      <c r="E117" s="81" t="s">
        <v>141</v>
      </c>
      <c r="F117" s="81" t="s">
        <v>192</v>
      </c>
      <c r="G117" s="81" t="s">
        <v>192</v>
      </c>
      <c r="H117" s="81" t="s">
        <v>190</v>
      </c>
      <c r="I117" s="81">
        <f>70*1.18*C117*B115</f>
        <v>2643.2</v>
      </c>
      <c r="J117" s="81">
        <f>2*D117*B115*1.18</f>
        <v>302.08</v>
      </c>
      <c r="K117" s="81">
        <f>50*1.18*C117*B117</f>
        <v>1652</v>
      </c>
      <c r="L117" s="81" t="s">
        <v>160</v>
      </c>
      <c r="M117" s="81" t="s">
        <v>193</v>
      </c>
      <c r="N117" s="81" t="s">
        <v>194</v>
      </c>
      <c r="O117" s="81" t="s">
        <v>195</v>
      </c>
      <c r="P117" s="81" t="s">
        <v>164</v>
      </c>
      <c r="Q117" s="81" t="s">
        <v>164</v>
      </c>
      <c r="R117" s="81" t="s">
        <v>166</v>
      </c>
      <c r="S117" s="81" t="s">
        <v>164</v>
      </c>
      <c r="T117" s="81" t="s">
        <v>187</v>
      </c>
      <c r="U117" s="81" t="s">
        <v>166</v>
      </c>
      <c r="V117" s="81" t="s">
        <v>196</v>
      </c>
      <c r="W117" s="81" t="s">
        <v>169</v>
      </c>
      <c r="X117" s="81" t="s">
        <v>196</v>
      </c>
      <c r="Y117" s="81"/>
      <c r="Z117" s="81" t="s">
        <v>170</v>
      </c>
      <c r="AA117" s="81" t="s">
        <v>171</v>
      </c>
      <c r="AB117" s="81" t="s">
        <v>171</v>
      </c>
      <c r="AC117" s="81" t="s">
        <v>197</v>
      </c>
      <c r="AD117" s="81" t="s">
        <v>198</v>
      </c>
      <c r="AE117" s="81" t="s">
        <v>199</v>
      </c>
      <c r="AF117" s="81">
        <f>SUM(I117:AE117)</f>
        <v>4597.28</v>
      </c>
      <c r="AG117" s="81">
        <f>AF117/4</f>
        <v>1149.32</v>
      </c>
      <c r="AH117" s="81"/>
      <c r="AI117" s="81"/>
      <c r="AJ117" s="81"/>
      <c r="AK117" s="81"/>
      <c r="AL117" s="81"/>
      <c r="AM117" s="81"/>
      <c r="AN117" s="81"/>
      <c r="AO117" s="81"/>
      <c r="AP117" s="81"/>
      <c r="AQ117" s="81"/>
      <c r="AR117" s="81"/>
      <c r="AS117" s="81"/>
      <c r="AT117" s="81"/>
      <c r="AU117" s="81"/>
      <c r="AV117" s="81"/>
      <c r="AW117" s="81"/>
      <c r="AX117" s="81"/>
      <c r="AY117" s="81"/>
      <c r="AZ117" s="81"/>
    </row>
    <row r="118" spans="2:52" s="80" customFormat="1" x14ac:dyDescent="0.25">
      <c r="B118" s="81" t="s">
        <v>114</v>
      </c>
      <c r="C118" s="81">
        <v>5</v>
      </c>
      <c r="D118" s="81">
        <v>22</v>
      </c>
      <c r="E118" s="81" t="s">
        <v>141</v>
      </c>
      <c r="F118" s="81" t="s">
        <v>200</v>
      </c>
      <c r="G118" s="81" t="s">
        <v>200</v>
      </c>
      <c r="H118" s="81" t="s">
        <v>190</v>
      </c>
      <c r="I118" s="81">
        <f>70*1.18*C118*B115</f>
        <v>3304</v>
      </c>
      <c r="J118" s="81">
        <f>2*D118*B115*1.18</f>
        <v>415.35999999999996</v>
      </c>
      <c r="K118" s="81">
        <f>50*1.18*C118*B117</f>
        <v>2065</v>
      </c>
      <c r="L118" s="81" t="s">
        <v>160</v>
      </c>
      <c r="M118" s="81" t="s">
        <v>201</v>
      </c>
      <c r="N118" s="81" t="s">
        <v>193</v>
      </c>
      <c r="O118" s="81" t="s">
        <v>202</v>
      </c>
      <c r="P118" s="81" t="s">
        <v>164</v>
      </c>
      <c r="Q118" s="81" t="s">
        <v>203</v>
      </c>
      <c r="R118" s="81" t="s">
        <v>166</v>
      </c>
      <c r="S118" s="81" t="s">
        <v>164</v>
      </c>
      <c r="T118" s="81" t="s">
        <v>204</v>
      </c>
      <c r="U118" s="81" t="s">
        <v>166</v>
      </c>
      <c r="V118" s="81" t="s">
        <v>186</v>
      </c>
      <c r="W118" s="81" t="s">
        <v>205</v>
      </c>
      <c r="X118" s="81" t="s">
        <v>186</v>
      </c>
      <c r="Y118" s="81"/>
      <c r="Z118" s="81" t="s">
        <v>170</v>
      </c>
      <c r="AA118" s="81" t="s">
        <v>174</v>
      </c>
      <c r="AB118" s="81" t="s">
        <v>171</v>
      </c>
      <c r="AC118" s="81" t="s">
        <v>206</v>
      </c>
      <c r="AD118" s="81" t="s">
        <v>207</v>
      </c>
      <c r="AE118" s="81" t="s">
        <v>208</v>
      </c>
      <c r="AF118" s="81">
        <f>SUM(I118:AE118)</f>
        <v>5784.3600000000006</v>
      </c>
      <c r="AG118" s="81">
        <f>AF118/5</f>
        <v>1156.8720000000001</v>
      </c>
      <c r="AH118" s="81"/>
      <c r="AI118" s="81"/>
      <c r="AJ118" s="81"/>
      <c r="AK118" s="81"/>
      <c r="AL118" s="81"/>
      <c r="AM118" s="81"/>
      <c r="AN118" s="81"/>
      <c r="AO118" s="81"/>
      <c r="AP118" s="81"/>
      <c r="AQ118" s="81"/>
      <c r="AR118" s="81"/>
      <c r="AS118" s="81"/>
      <c r="AT118" s="81"/>
      <c r="AU118" s="81"/>
      <c r="AV118" s="81"/>
      <c r="AW118" s="81"/>
      <c r="AX118" s="81"/>
      <c r="AY118" s="81"/>
      <c r="AZ118" s="81"/>
    </row>
    <row r="119" spans="2:52" s="80" customFormat="1" x14ac:dyDescent="0.25">
      <c r="B119" s="81"/>
      <c r="C119" s="81">
        <v>6</v>
      </c>
      <c r="D119" s="81">
        <v>24</v>
      </c>
      <c r="E119" s="81" t="s">
        <v>141</v>
      </c>
      <c r="F119" s="81" t="s">
        <v>209</v>
      </c>
      <c r="G119" s="81" t="s">
        <v>209</v>
      </c>
      <c r="H119" s="81" t="s">
        <v>190</v>
      </c>
      <c r="I119" s="81">
        <f>70*1.18*C119*B115</f>
        <v>3964.7999999999997</v>
      </c>
      <c r="J119" s="81">
        <f>2*D119*B115*1.18</f>
        <v>453.12</v>
      </c>
      <c r="K119" s="81">
        <f>50*1.18*C119*B117</f>
        <v>2478</v>
      </c>
      <c r="L119" s="81" t="s">
        <v>160</v>
      </c>
      <c r="M119" s="81" t="s">
        <v>210</v>
      </c>
      <c r="N119" s="81" t="s">
        <v>211</v>
      </c>
      <c r="O119" s="81" t="s">
        <v>212</v>
      </c>
      <c r="P119" s="81" t="s">
        <v>164</v>
      </c>
      <c r="Q119" s="81" t="s">
        <v>213</v>
      </c>
      <c r="R119" s="81" t="s">
        <v>166</v>
      </c>
      <c r="S119" s="81" t="s">
        <v>164</v>
      </c>
      <c r="T119" s="81" t="s">
        <v>204</v>
      </c>
      <c r="U119" s="81" t="s">
        <v>166</v>
      </c>
      <c r="V119" s="81" t="s">
        <v>214</v>
      </c>
      <c r="W119" s="81" t="s">
        <v>205</v>
      </c>
      <c r="X119" s="81" t="s">
        <v>214</v>
      </c>
      <c r="Y119" s="81"/>
      <c r="Z119" s="81" t="s">
        <v>170</v>
      </c>
      <c r="AA119" s="81" t="s">
        <v>174</v>
      </c>
      <c r="AB119" s="81" t="s">
        <v>171</v>
      </c>
      <c r="AC119" s="81" t="s">
        <v>215</v>
      </c>
      <c r="AD119" s="81" t="s">
        <v>200</v>
      </c>
      <c r="AE119" s="81" t="s">
        <v>216</v>
      </c>
      <c r="AF119" s="81">
        <f>SUM(I119:AE119)</f>
        <v>6895.92</v>
      </c>
      <c r="AG119" s="81">
        <f>AF119/6</f>
        <v>1149.32</v>
      </c>
      <c r="AH119" s="81"/>
      <c r="AI119" s="81"/>
      <c r="AJ119" s="81"/>
      <c r="AK119" s="81"/>
      <c r="AL119" s="81"/>
      <c r="AM119" s="81"/>
      <c r="AN119" s="81"/>
      <c r="AO119" s="81"/>
      <c r="AP119" s="81"/>
      <c r="AQ119" s="81"/>
      <c r="AR119" s="81"/>
      <c r="AS119" s="81"/>
      <c r="AT119" s="81"/>
      <c r="AU119" s="81"/>
      <c r="AV119" s="81"/>
      <c r="AW119" s="81"/>
      <c r="AX119" s="81"/>
      <c r="AY119" s="81"/>
      <c r="AZ119" s="81"/>
    </row>
    <row r="120" spans="2:52" s="80" customFormat="1" x14ac:dyDescent="0.25">
      <c r="B120" s="81"/>
      <c r="C120" s="81">
        <v>7</v>
      </c>
      <c r="D120" s="81">
        <v>28</v>
      </c>
      <c r="E120" s="81" t="s">
        <v>142</v>
      </c>
      <c r="F120" s="81" t="s">
        <v>217</v>
      </c>
      <c r="G120" s="81" t="s">
        <v>217</v>
      </c>
      <c r="H120" s="81" t="s">
        <v>207</v>
      </c>
      <c r="I120" s="81">
        <f>70*1.18*7*8</f>
        <v>4625.5999999999995</v>
      </c>
      <c r="J120" s="81">
        <f>2*D120*B115*1.18</f>
        <v>528.64</v>
      </c>
      <c r="K120" s="81">
        <f>50*1.18*C120*B117</f>
        <v>2891</v>
      </c>
      <c r="L120" s="81" t="s">
        <v>160</v>
      </c>
      <c r="M120" s="81" t="s">
        <v>218</v>
      </c>
      <c r="N120" s="81" t="s">
        <v>219</v>
      </c>
      <c r="O120" s="81" t="s">
        <v>220</v>
      </c>
      <c r="P120" s="81" t="s">
        <v>164</v>
      </c>
      <c r="Q120" s="81" t="s">
        <v>221</v>
      </c>
      <c r="R120" s="81" t="s">
        <v>166</v>
      </c>
      <c r="S120" s="81" t="s">
        <v>164</v>
      </c>
      <c r="T120" s="81" t="s">
        <v>222</v>
      </c>
      <c r="U120" s="81" t="s">
        <v>166</v>
      </c>
      <c r="V120" s="81" t="s">
        <v>223</v>
      </c>
      <c r="W120" s="81" t="s">
        <v>205</v>
      </c>
      <c r="X120" s="81" t="s">
        <v>223</v>
      </c>
      <c r="Y120" s="81"/>
      <c r="Z120" s="81" t="s">
        <v>170</v>
      </c>
      <c r="AA120" s="81" t="s">
        <v>192</v>
      </c>
      <c r="AB120" s="81" t="s">
        <v>171</v>
      </c>
      <c r="AC120" s="81" t="s">
        <v>224</v>
      </c>
      <c r="AD120" s="81" t="s">
        <v>225</v>
      </c>
      <c r="AE120" s="81" t="s">
        <v>226</v>
      </c>
      <c r="AF120" s="81">
        <f>SUM(I120:AE120)</f>
        <v>8045.24</v>
      </c>
      <c r="AG120" s="81">
        <f>AF120/7</f>
        <v>1149.32</v>
      </c>
      <c r="AH120" s="81"/>
      <c r="AI120" s="81"/>
      <c r="AJ120" s="81"/>
      <c r="AK120" s="81"/>
      <c r="AL120" s="81"/>
      <c r="AM120" s="81"/>
      <c r="AN120" s="81"/>
      <c r="AO120" s="81"/>
      <c r="AP120" s="81"/>
      <c r="AQ120" s="81"/>
      <c r="AR120" s="81"/>
      <c r="AS120" s="81"/>
      <c r="AT120" s="81"/>
      <c r="AU120" s="81"/>
      <c r="AV120" s="81"/>
      <c r="AW120" s="81"/>
      <c r="AX120" s="81"/>
      <c r="AY120" s="81"/>
      <c r="AZ120" s="81"/>
    </row>
    <row r="121" spans="2:52" s="80" customFormat="1" x14ac:dyDescent="0.25">
      <c r="B121" s="81"/>
      <c r="C121" s="81">
        <v>8</v>
      </c>
      <c r="D121" s="81">
        <v>32</v>
      </c>
      <c r="E121" s="81" t="s">
        <v>142</v>
      </c>
      <c r="F121" s="81" t="s">
        <v>227</v>
      </c>
      <c r="G121" s="81" t="s">
        <v>227</v>
      </c>
      <c r="H121" s="81" t="s">
        <v>207</v>
      </c>
      <c r="I121" s="81">
        <f>70*1.18*B115*C121</f>
        <v>5286.4</v>
      </c>
      <c r="J121" s="81">
        <f>2*D121*B115*1.18</f>
        <v>604.16</v>
      </c>
      <c r="K121" s="81">
        <f>50*1.18*C121*B117</f>
        <v>3304</v>
      </c>
      <c r="L121" s="81" t="s">
        <v>160</v>
      </c>
      <c r="M121" s="81" t="s">
        <v>228</v>
      </c>
      <c r="N121" s="81" t="s">
        <v>229</v>
      </c>
      <c r="O121" s="81" t="s">
        <v>176</v>
      </c>
      <c r="P121" s="81" t="s">
        <v>230</v>
      </c>
      <c r="Q121" s="81" t="s">
        <v>173</v>
      </c>
      <c r="R121" s="81" t="s">
        <v>158</v>
      </c>
      <c r="S121" s="81" t="s">
        <v>164</v>
      </c>
      <c r="T121" s="81" t="s">
        <v>222</v>
      </c>
      <c r="U121" s="81" t="s">
        <v>166</v>
      </c>
      <c r="V121" s="81" t="s">
        <v>203</v>
      </c>
      <c r="W121" s="81" t="s">
        <v>205</v>
      </c>
      <c r="X121" s="81" t="s">
        <v>203</v>
      </c>
      <c r="Y121" s="81"/>
      <c r="Z121" s="81" t="s">
        <v>170</v>
      </c>
      <c r="AA121" s="81" t="s">
        <v>192</v>
      </c>
      <c r="AB121" s="81" t="s">
        <v>171</v>
      </c>
      <c r="AC121" s="81" t="s">
        <v>231</v>
      </c>
      <c r="AD121" s="81" t="s">
        <v>232</v>
      </c>
      <c r="AE121" s="81" t="s">
        <v>233</v>
      </c>
      <c r="AF121" s="81">
        <f>SUM(I121:AE121)</f>
        <v>9194.56</v>
      </c>
      <c r="AG121" s="81">
        <f>AF121/8</f>
        <v>1149.32</v>
      </c>
      <c r="AH121" s="81"/>
      <c r="AI121" s="81"/>
      <c r="AJ121" s="81"/>
      <c r="AK121" s="81"/>
      <c r="AL121" s="81"/>
      <c r="AM121" s="81"/>
      <c r="AN121" s="81"/>
      <c r="AO121" s="81"/>
      <c r="AP121" s="81"/>
      <c r="AQ121" s="81"/>
      <c r="AR121" s="81"/>
      <c r="AS121" s="81"/>
      <c r="AT121" s="81"/>
      <c r="AU121" s="81"/>
      <c r="AV121" s="81"/>
      <c r="AW121" s="81"/>
      <c r="AX121" s="81"/>
      <c r="AY121" s="81"/>
      <c r="AZ121" s="81"/>
    </row>
    <row r="122" spans="2:52" s="80" customFormat="1" x14ac:dyDescent="0.25">
      <c r="B122" s="81"/>
      <c r="C122" s="81">
        <v>9</v>
      </c>
      <c r="D122" s="81">
        <v>36</v>
      </c>
      <c r="E122" s="81" t="s">
        <v>143</v>
      </c>
      <c r="F122" s="81" t="s">
        <v>234</v>
      </c>
      <c r="G122" s="81" t="s">
        <v>234</v>
      </c>
      <c r="H122" s="81" t="s">
        <v>207</v>
      </c>
      <c r="I122" s="81">
        <f>70*1.18*C122*B115</f>
        <v>5947.2</v>
      </c>
      <c r="J122" s="81">
        <f>2*D122*B115*1.18</f>
        <v>679.68</v>
      </c>
      <c r="K122" s="81">
        <f>50*1.18*C122*B117</f>
        <v>3717</v>
      </c>
      <c r="L122" s="81" t="s">
        <v>160</v>
      </c>
      <c r="M122" s="81" t="s">
        <v>235</v>
      </c>
      <c r="N122" s="81" t="s">
        <v>236</v>
      </c>
      <c r="O122" s="81" t="s">
        <v>237</v>
      </c>
      <c r="P122" s="81" t="s">
        <v>230</v>
      </c>
      <c r="Q122" s="81" t="s">
        <v>238</v>
      </c>
      <c r="R122" s="81" t="s">
        <v>158</v>
      </c>
      <c r="S122" s="81" t="s">
        <v>164</v>
      </c>
      <c r="T122" s="81" t="s">
        <v>192</v>
      </c>
      <c r="U122" s="81" t="s">
        <v>166</v>
      </c>
      <c r="V122" s="81" t="s">
        <v>239</v>
      </c>
      <c r="W122" s="81" t="s">
        <v>205</v>
      </c>
      <c r="X122" s="81" t="s">
        <v>239</v>
      </c>
      <c r="Y122" s="81"/>
      <c r="Z122" s="81" t="s">
        <v>170</v>
      </c>
      <c r="AA122" s="81" t="s">
        <v>240</v>
      </c>
      <c r="AB122" s="81" t="s">
        <v>171</v>
      </c>
      <c r="AC122" s="81" t="s">
        <v>241</v>
      </c>
      <c r="AD122" s="81" t="s">
        <v>242</v>
      </c>
      <c r="AE122" s="81" t="s">
        <v>243</v>
      </c>
      <c r="AF122" s="81">
        <f>SUM(I122:AE122)</f>
        <v>10343.880000000001</v>
      </c>
      <c r="AG122" s="81">
        <f>AF122/9</f>
        <v>1149.3200000000002</v>
      </c>
      <c r="AH122" s="81"/>
      <c r="AI122" s="81"/>
      <c r="AJ122" s="81"/>
      <c r="AK122" s="81"/>
      <c r="AL122" s="81"/>
      <c r="AM122" s="81"/>
      <c r="AN122" s="81"/>
      <c r="AO122" s="81"/>
      <c r="AP122" s="81"/>
      <c r="AQ122" s="81"/>
      <c r="AR122" s="81"/>
      <c r="AS122" s="81"/>
      <c r="AT122" s="81"/>
      <c r="AU122" s="81"/>
      <c r="AV122" s="81"/>
      <c r="AW122" s="81"/>
      <c r="AX122" s="81"/>
      <c r="AY122" s="81"/>
      <c r="AZ122" s="81"/>
    </row>
    <row r="123" spans="2:52" s="80" customFormat="1" x14ac:dyDescent="0.25">
      <c r="B123" s="81"/>
      <c r="C123" s="81">
        <v>10</v>
      </c>
      <c r="D123" s="81">
        <v>39</v>
      </c>
      <c r="E123" s="81" t="s">
        <v>143</v>
      </c>
      <c r="F123" s="81" t="s">
        <v>244</v>
      </c>
      <c r="G123" s="81" t="s">
        <v>244</v>
      </c>
      <c r="H123" s="81" t="s">
        <v>207</v>
      </c>
      <c r="I123" s="81">
        <f>70*1.18*C123*B115</f>
        <v>6608</v>
      </c>
      <c r="J123" s="81">
        <f>2*D123*B115*1.18</f>
        <v>736.31999999999994</v>
      </c>
      <c r="K123" s="81">
        <f>50*1.18*C123*B117</f>
        <v>4130</v>
      </c>
      <c r="L123" s="81" t="s">
        <v>160</v>
      </c>
      <c r="M123" s="81" t="s">
        <v>245</v>
      </c>
      <c r="N123" s="81" t="s">
        <v>246</v>
      </c>
      <c r="O123" s="81" t="s">
        <v>247</v>
      </c>
      <c r="P123" s="81" t="s">
        <v>230</v>
      </c>
      <c r="Q123" s="81" t="s">
        <v>248</v>
      </c>
      <c r="R123" s="81" t="s">
        <v>158</v>
      </c>
      <c r="S123" s="81" t="s">
        <v>164</v>
      </c>
      <c r="T123" s="81" t="s">
        <v>192</v>
      </c>
      <c r="U123" s="81" t="s">
        <v>166</v>
      </c>
      <c r="V123" s="81" t="s">
        <v>249</v>
      </c>
      <c r="W123" s="81" t="s">
        <v>205</v>
      </c>
      <c r="X123" s="81" t="s">
        <v>249</v>
      </c>
      <c r="Y123" s="81"/>
      <c r="Z123" s="81" t="s">
        <v>170</v>
      </c>
      <c r="AA123" s="81" t="s">
        <v>240</v>
      </c>
      <c r="AB123" s="81" t="s">
        <v>171</v>
      </c>
      <c r="AC123" s="81" t="s">
        <v>250</v>
      </c>
      <c r="AD123" s="81" t="s">
        <v>251</v>
      </c>
      <c r="AE123" s="81" t="s">
        <v>252</v>
      </c>
      <c r="AF123" s="81">
        <f>SUM(I123:AE123)</f>
        <v>11474.32</v>
      </c>
      <c r="AG123" s="81">
        <f>AF123/10</f>
        <v>1147.432</v>
      </c>
      <c r="AH123" s="81"/>
      <c r="AI123" s="81"/>
      <c r="AJ123" s="81"/>
      <c r="AK123" s="81"/>
      <c r="AL123" s="81"/>
      <c r="AM123" s="81"/>
      <c r="AN123" s="81"/>
      <c r="AO123" s="81"/>
      <c r="AP123" s="81"/>
      <c r="AQ123" s="81"/>
      <c r="AR123" s="81"/>
      <c r="AS123" s="81"/>
      <c r="AT123" s="81"/>
      <c r="AU123" s="81"/>
      <c r="AV123" s="81"/>
      <c r="AW123" s="81"/>
      <c r="AX123" s="81"/>
      <c r="AY123" s="81"/>
      <c r="AZ123" s="81"/>
    </row>
    <row r="124" spans="2:52" s="80" customFormat="1" x14ac:dyDescent="0.25">
      <c r="B124" s="81" t="s">
        <v>282</v>
      </c>
      <c r="C124" s="81">
        <v>1</v>
      </c>
      <c r="D124" s="81">
        <v>9</v>
      </c>
      <c r="E124" s="81" t="s">
        <v>139</v>
      </c>
      <c r="F124" s="81" t="s">
        <v>158</v>
      </c>
      <c r="G124" s="81" t="s">
        <v>158</v>
      </c>
      <c r="H124" s="81" t="s">
        <v>159</v>
      </c>
      <c r="I124" s="81">
        <f>70*1.18*C124*B125</f>
        <v>743.4</v>
      </c>
      <c r="J124" s="81">
        <f>2*D124*B125*1.18</f>
        <v>191.16</v>
      </c>
      <c r="K124" s="81">
        <f>50*1.18*C124*B127</f>
        <v>472</v>
      </c>
      <c r="L124" s="81" t="s">
        <v>160</v>
      </c>
      <c r="M124" s="81" t="s">
        <v>161</v>
      </c>
      <c r="N124" s="81" t="s">
        <v>253</v>
      </c>
      <c r="O124" s="81" t="s">
        <v>163</v>
      </c>
      <c r="P124" s="81" t="s">
        <v>254</v>
      </c>
      <c r="Q124" s="81" t="s">
        <v>165</v>
      </c>
      <c r="R124" s="81" t="s">
        <v>166</v>
      </c>
      <c r="S124" s="81" t="s">
        <v>164</v>
      </c>
      <c r="T124" s="81" t="s">
        <v>255</v>
      </c>
      <c r="U124" s="81" t="s">
        <v>166</v>
      </c>
      <c r="V124" s="81" t="s">
        <v>168</v>
      </c>
      <c r="W124" s="81" t="s">
        <v>169</v>
      </c>
      <c r="X124" s="81" t="s">
        <v>168</v>
      </c>
      <c r="Y124" s="81"/>
      <c r="Z124" s="81" t="s">
        <v>256</v>
      </c>
      <c r="AA124" s="81" t="s">
        <v>160</v>
      </c>
      <c r="AB124" s="81" t="s">
        <v>257</v>
      </c>
      <c r="AC124" s="81" t="s">
        <v>258</v>
      </c>
      <c r="AD124" s="81" t="s">
        <v>173</v>
      </c>
      <c r="AE124" s="81" t="s">
        <v>174</v>
      </c>
      <c r="AF124" s="81">
        <f>SUM(I124:AE124)</f>
        <v>1406.56</v>
      </c>
      <c r="AG124" s="81">
        <f>AF124</f>
        <v>1406.56</v>
      </c>
      <c r="AH124" s="81"/>
      <c r="AI124" s="81"/>
      <c r="AJ124" s="81"/>
      <c r="AK124" s="81"/>
      <c r="AL124" s="81"/>
      <c r="AM124" s="81"/>
      <c r="AN124" s="81"/>
      <c r="AO124" s="81"/>
      <c r="AP124" s="81"/>
      <c r="AQ124" s="81"/>
      <c r="AR124" s="81"/>
      <c r="AS124" s="81"/>
      <c r="AT124" s="81"/>
      <c r="AU124" s="81"/>
      <c r="AV124" s="81"/>
      <c r="AW124" s="81"/>
      <c r="AX124" s="81"/>
      <c r="AY124" s="81"/>
      <c r="AZ124" s="81"/>
    </row>
    <row r="125" spans="2:52" s="80" customFormat="1" x14ac:dyDescent="0.25">
      <c r="B125" s="81">
        <v>9</v>
      </c>
      <c r="C125" s="81">
        <v>2</v>
      </c>
      <c r="D125" s="81">
        <v>12</v>
      </c>
      <c r="E125" s="81" t="s">
        <v>140</v>
      </c>
      <c r="F125" s="81" t="s">
        <v>175</v>
      </c>
      <c r="G125" s="81" t="s">
        <v>175</v>
      </c>
      <c r="H125" s="81" t="s">
        <v>159</v>
      </c>
      <c r="I125" s="81">
        <f>70*1.18*C125*B125</f>
        <v>1486.8</v>
      </c>
      <c r="J125" s="81">
        <f>D125*2*1.18*B125</f>
        <v>254.88</v>
      </c>
      <c r="K125" s="81">
        <f>50*1.18*C125*B127</f>
        <v>944</v>
      </c>
      <c r="L125" s="81" t="s">
        <v>160</v>
      </c>
      <c r="M125" s="81" t="s">
        <v>177</v>
      </c>
      <c r="N125" s="81" t="s">
        <v>259</v>
      </c>
      <c r="O125" s="81" t="s">
        <v>178</v>
      </c>
      <c r="P125" s="81" t="s">
        <v>254</v>
      </c>
      <c r="Q125" s="81" t="s">
        <v>179</v>
      </c>
      <c r="R125" s="81" t="s">
        <v>166</v>
      </c>
      <c r="S125" s="81" t="s">
        <v>164</v>
      </c>
      <c r="T125" s="81" t="s">
        <v>255</v>
      </c>
      <c r="U125" s="81" t="s">
        <v>166</v>
      </c>
      <c r="V125" s="81" t="s">
        <v>165</v>
      </c>
      <c r="W125" s="81" t="s">
        <v>169</v>
      </c>
      <c r="X125" s="81" t="s">
        <v>165</v>
      </c>
      <c r="Y125" s="81"/>
      <c r="Z125" s="81" t="s">
        <v>256</v>
      </c>
      <c r="AA125" s="81" t="s">
        <v>257</v>
      </c>
      <c r="AB125" s="81" t="s">
        <v>257</v>
      </c>
      <c r="AC125" s="81" t="s">
        <v>260</v>
      </c>
      <c r="AD125" s="81" t="s">
        <v>159</v>
      </c>
      <c r="AE125" s="81" t="s">
        <v>181</v>
      </c>
      <c r="AF125" s="81">
        <f>SUM(I125:AE125)</f>
        <v>2685.68</v>
      </c>
      <c r="AG125" s="81">
        <f>AF125/2</f>
        <v>1342.84</v>
      </c>
      <c r="AH125" s="81"/>
      <c r="AI125" s="81"/>
      <c r="AJ125" s="81"/>
      <c r="AK125" s="81"/>
      <c r="AL125" s="81"/>
      <c r="AM125" s="81"/>
      <c r="AN125" s="81"/>
      <c r="AO125" s="81"/>
      <c r="AP125" s="81"/>
      <c r="AQ125" s="81"/>
      <c r="AR125" s="81"/>
      <c r="AS125" s="81"/>
      <c r="AT125" s="81"/>
      <c r="AU125" s="81"/>
      <c r="AV125" s="81"/>
      <c r="AW125" s="81"/>
      <c r="AX125" s="81"/>
      <c r="AY125" s="81"/>
      <c r="AZ125" s="81"/>
    </row>
    <row r="126" spans="2:52" s="80" customFormat="1" x14ac:dyDescent="0.25">
      <c r="B126" s="81" t="s">
        <v>113</v>
      </c>
      <c r="C126" s="81">
        <v>3</v>
      </c>
      <c r="D126" s="81">
        <v>14</v>
      </c>
      <c r="E126" s="81" t="s">
        <v>140</v>
      </c>
      <c r="F126" s="81" t="s">
        <v>182</v>
      </c>
      <c r="G126" s="81" t="s">
        <v>182</v>
      </c>
      <c r="H126" s="81" t="s">
        <v>159</v>
      </c>
      <c r="I126" s="81">
        <f>70*1.18*C126*B125</f>
        <v>2230.1999999999998</v>
      </c>
      <c r="J126" s="81">
        <f>2*1.18*D126*B125</f>
        <v>297.36</v>
      </c>
      <c r="K126" s="81">
        <f>50*1.18*C126*B127</f>
        <v>1416</v>
      </c>
      <c r="L126" s="81" t="s">
        <v>160</v>
      </c>
      <c r="M126" s="81" t="s">
        <v>183</v>
      </c>
      <c r="N126" s="81" t="s">
        <v>261</v>
      </c>
      <c r="O126" s="81" t="s">
        <v>185</v>
      </c>
      <c r="P126" s="81" t="s">
        <v>254</v>
      </c>
      <c r="Q126" s="81" t="s">
        <v>186</v>
      </c>
      <c r="R126" s="81" t="s">
        <v>166</v>
      </c>
      <c r="S126" s="81" t="s">
        <v>164</v>
      </c>
      <c r="T126" s="81" t="s">
        <v>262</v>
      </c>
      <c r="U126" s="81" t="s">
        <v>166</v>
      </c>
      <c r="V126" s="81" t="s">
        <v>188</v>
      </c>
      <c r="W126" s="81" t="s">
        <v>169</v>
      </c>
      <c r="X126" s="81" t="s">
        <v>188</v>
      </c>
      <c r="Y126" s="81"/>
      <c r="Z126" s="81" t="s">
        <v>256</v>
      </c>
      <c r="AA126" s="81" t="s">
        <v>257</v>
      </c>
      <c r="AB126" s="81" t="s">
        <v>257</v>
      </c>
      <c r="AC126" s="81" t="s">
        <v>263</v>
      </c>
      <c r="AD126" s="81" t="s">
        <v>190</v>
      </c>
      <c r="AE126" s="81" t="s">
        <v>191</v>
      </c>
      <c r="AF126" s="81">
        <f>SUM(I126:AE126)</f>
        <v>3943.56</v>
      </c>
      <c r="AG126" s="81">
        <f>AF126/3</f>
        <v>1314.52</v>
      </c>
      <c r="AH126" s="81"/>
      <c r="AI126" s="81"/>
      <c r="AJ126" s="81"/>
      <c r="AK126" s="81"/>
      <c r="AL126" s="81"/>
      <c r="AM126" s="81"/>
      <c r="AN126" s="81"/>
      <c r="AO126" s="81"/>
      <c r="AP126" s="81"/>
      <c r="AQ126" s="81"/>
      <c r="AR126" s="81"/>
      <c r="AS126" s="81"/>
      <c r="AT126" s="81"/>
      <c r="AU126" s="81"/>
      <c r="AV126" s="81"/>
      <c r="AW126" s="81"/>
      <c r="AX126" s="81"/>
      <c r="AY126" s="81"/>
      <c r="AZ126" s="81"/>
    </row>
    <row r="127" spans="2:52" s="80" customFormat="1" x14ac:dyDescent="0.25">
      <c r="B127" s="81">
        <v>8</v>
      </c>
      <c r="C127" s="81">
        <v>4</v>
      </c>
      <c r="D127" s="81">
        <v>17</v>
      </c>
      <c r="E127" s="81" t="s">
        <v>141</v>
      </c>
      <c r="F127" s="81" t="s">
        <v>192</v>
      </c>
      <c r="G127" s="81" t="s">
        <v>192</v>
      </c>
      <c r="H127" s="81" t="s">
        <v>190</v>
      </c>
      <c r="I127" s="81">
        <f>70*1.18*C127*B125</f>
        <v>2973.6</v>
      </c>
      <c r="J127" s="81">
        <f>2*1.18*D127*B125</f>
        <v>361.08</v>
      </c>
      <c r="K127" s="81">
        <f>50*1.18*C127*B127</f>
        <v>1888</v>
      </c>
      <c r="L127" s="81" t="s">
        <v>160</v>
      </c>
      <c r="M127" s="81" t="s">
        <v>193</v>
      </c>
      <c r="N127" s="81" t="s">
        <v>264</v>
      </c>
      <c r="O127" s="81" t="s">
        <v>195</v>
      </c>
      <c r="P127" s="81" t="s">
        <v>254</v>
      </c>
      <c r="Q127" s="81" t="s">
        <v>164</v>
      </c>
      <c r="R127" s="81" t="s">
        <v>166</v>
      </c>
      <c r="S127" s="81" t="s">
        <v>164</v>
      </c>
      <c r="T127" s="81" t="s">
        <v>262</v>
      </c>
      <c r="U127" s="81" t="s">
        <v>166</v>
      </c>
      <c r="V127" s="81" t="s">
        <v>196</v>
      </c>
      <c r="W127" s="81" t="s">
        <v>169</v>
      </c>
      <c r="X127" s="81" t="s">
        <v>196</v>
      </c>
      <c r="Y127" s="81"/>
      <c r="Z127" s="81" t="s">
        <v>256</v>
      </c>
      <c r="AA127" s="81" t="s">
        <v>257</v>
      </c>
      <c r="AB127" s="81" t="s">
        <v>257</v>
      </c>
      <c r="AC127" s="81" t="s">
        <v>265</v>
      </c>
      <c r="AD127" s="81" t="s">
        <v>198</v>
      </c>
      <c r="AE127" s="81" t="s">
        <v>199</v>
      </c>
      <c r="AF127" s="81">
        <f>SUM(I127:AE127)</f>
        <v>5222.68</v>
      </c>
      <c r="AG127" s="81">
        <f>AF127/4</f>
        <v>1305.67</v>
      </c>
      <c r="AH127" s="81"/>
      <c r="AI127" s="81"/>
      <c r="AJ127" s="81"/>
      <c r="AK127" s="81"/>
      <c r="AL127" s="81"/>
      <c r="AM127" s="81"/>
      <c r="AN127" s="81"/>
      <c r="AO127" s="81"/>
      <c r="AP127" s="81"/>
      <c r="AQ127" s="81"/>
      <c r="AR127" s="81"/>
      <c r="AS127" s="81"/>
      <c r="AT127" s="81"/>
      <c r="AU127" s="81"/>
      <c r="AV127" s="81"/>
      <c r="AW127" s="81"/>
      <c r="AX127" s="81"/>
      <c r="AY127" s="81"/>
      <c r="AZ127" s="81"/>
    </row>
    <row r="128" spans="2:52" s="80" customFormat="1" x14ac:dyDescent="0.25">
      <c r="B128" s="81" t="s">
        <v>114</v>
      </c>
      <c r="C128" s="81">
        <v>5</v>
      </c>
      <c r="D128" s="81">
        <v>21</v>
      </c>
      <c r="E128" s="81" t="s">
        <v>141</v>
      </c>
      <c r="F128" s="81" t="s">
        <v>200</v>
      </c>
      <c r="G128" s="81" t="s">
        <v>200</v>
      </c>
      <c r="H128" s="81" t="s">
        <v>190</v>
      </c>
      <c r="I128" s="81">
        <f>70*1.18*C128*B125</f>
        <v>3717</v>
      </c>
      <c r="J128" s="81">
        <f>2*1.18*D128*B125</f>
        <v>446.03999999999996</v>
      </c>
      <c r="K128" s="81">
        <f>50*1.18*C128*B127</f>
        <v>2360</v>
      </c>
      <c r="L128" s="81" t="s">
        <v>160</v>
      </c>
      <c r="M128" s="81" t="s">
        <v>201</v>
      </c>
      <c r="N128" s="81" t="s">
        <v>266</v>
      </c>
      <c r="O128" s="81" t="s">
        <v>202</v>
      </c>
      <c r="P128" s="81" t="s">
        <v>254</v>
      </c>
      <c r="Q128" s="81" t="s">
        <v>203</v>
      </c>
      <c r="R128" s="81" t="s">
        <v>166</v>
      </c>
      <c r="S128" s="81" t="s">
        <v>164</v>
      </c>
      <c r="T128" s="81" t="s">
        <v>267</v>
      </c>
      <c r="U128" s="81" t="s">
        <v>166</v>
      </c>
      <c r="V128" s="81" t="s">
        <v>186</v>
      </c>
      <c r="W128" s="81" t="s">
        <v>205</v>
      </c>
      <c r="X128" s="81" t="s">
        <v>186</v>
      </c>
      <c r="Y128" s="81"/>
      <c r="Z128" s="81" t="s">
        <v>256</v>
      </c>
      <c r="AA128" s="81" t="s">
        <v>268</v>
      </c>
      <c r="AB128" s="81" t="s">
        <v>257</v>
      </c>
      <c r="AC128" s="81" t="s">
        <v>269</v>
      </c>
      <c r="AD128" s="81" t="s">
        <v>207</v>
      </c>
      <c r="AE128" s="81" t="s">
        <v>208</v>
      </c>
      <c r="AF128" s="81">
        <f>SUM(I128:AE128)</f>
        <v>6523.04</v>
      </c>
      <c r="AG128" s="81">
        <f>AF128/5</f>
        <v>1304.6079999999999</v>
      </c>
      <c r="AH128" s="81"/>
      <c r="AI128" s="81"/>
      <c r="AJ128" s="81"/>
      <c r="AK128" s="81"/>
      <c r="AL128" s="81"/>
      <c r="AM128" s="81"/>
      <c r="AN128" s="81"/>
      <c r="AO128" s="81"/>
      <c r="AP128" s="81"/>
      <c r="AQ128" s="81"/>
      <c r="AR128" s="81"/>
      <c r="AS128" s="81"/>
      <c r="AT128" s="81"/>
      <c r="AU128" s="81"/>
      <c r="AV128" s="81"/>
      <c r="AW128" s="81"/>
      <c r="AX128" s="81"/>
      <c r="AY128" s="81"/>
      <c r="AZ128" s="81"/>
    </row>
    <row r="129" spans="2:52" s="80" customFormat="1" x14ac:dyDescent="0.25">
      <c r="B129" s="81"/>
      <c r="C129" s="81">
        <v>6</v>
      </c>
      <c r="D129" s="81">
        <v>24</v>
      </c>
      <c r="E129" s="81" t="s">
        <v>141</v>
      </c>
      <c r="F129" s="81" t="s">
        <v>209</v>
      </c>
      <c r="G129" s="81" t="s">
        <v>209</v>
      </c>
      <c r="H129" s="81" t="s">
        <v>190</v>
      </c>
      <c r="I129" s="81">
        <f>70*1.18*C129*B125</f>
        <v>4460.3999999999996</v>
      </c>
      <c r="J129" s="81">
        <f>2*D129*1.18*B125</f>
        <v>509.76</v>
      </c>
      <c r="K129" s="81">
        <f>50*1.18*C129*B127</f>
        <v>2832</v>
      </c>
      <c r="L129" s="81" t="s">
        <v>160</v>
      </c>
      <c r="M129" s="81" t="s">
        <v>210</v>
      </c>
      <c r="N129" s="81" t="s">
        <v>211</v>
      </c>
      <c r="O129" s="81" t="s">
        <v>212</v>
      </c>
      <c r="P129" s="81" t="s">
        <v>254</v>
      </c>
      <c r="Q129" s="81" t="s">
        <v>213</v>
      </c>
      <c r="R129" s="81" t="s">
        <v>166</v>
      </c>
      <c r="S129" s="81" t="s">
        <v>164</v>
      </c>
      <c r="T129" s="81" t="s">
        <v>267</v>
      </c>
      <c r="U129" s="81" t="s">
        <v>166</v>
      </c>
      <c r="V129" s="81" t="s">
        <v>214</v>
      </c>
      <c r="W129" s="81" t="s">
        <v>205</v>
      </c>
      <c r="X129" s="81" t="s">
        <v>214</v>
      </c>
      <c r="Y129" s="81"/>
      <c r="Z129" s="81" t="s">
        <v>256</v>
      </c>
      <c r="AA129" s="81" t="s">
        <v>268</v>
      </c>
      <c r="AB129" s="81" t="s">
        <v>257</v>
      </c>
      <c r="AC129" s="81" t="s">
        <v>270</v>
      </c>
      <c r="AD129" s="81" t="s">
        <v>200</v>
      </c>
      <c r="AE129" s="81" t="s">
        <v>216</v>
      </c>
      <c r="AF129" s="81">
        <f>SUM(I129:AE129)</f>
        <v>7802.16</v>
      </c>
      <c r="AG129" s="81">
        <f>AF129/6</f>
        <v>1300.3599999999999</v>
      </c>
      <c r="AH129" s="81"/>
      <c r="AI129" s="81"/>
      <c r="AJ129" s="81"/>
      <c r="AK129" s="81"/>
      <c r="AL129" s="81"/>
      <c r="AM129" s="81"/>
      <c r="AN129" s="81"/>
      <c r="AO129" s="81"/>
      <c r="AP129" s="81"/>
      <c r="AQ129" s="81"/>
      <c r="AR129" s="81"/>
      <c r="AS129" s="81"/>
      <c r="AT129" s="81"/>
      <c r="AU129" s="81"/>
      <c r="AV129" s="81"/>
      <c r="AW129" s="81"/>
      <c r="AX129" s="81"/>
      <c r="AY129" s="81"/>
      <c r="AZ129" s="81"/>
    </row>
    <row r="130" spans="2:52" s="80" customFormat="1" x14ac:dyDescent="0.25">
      <c r="B130" s="81"/>
      <c r="C130" s="81">
        <v>7</v>
      </c>
      <c r="D130" s="81">
        <v>27</v>
      </c>
      <c r="E130" s="81" t="s">
        <v>142</v>
      </c>
      <c r="F130" s="81" t="s">
        <v>217</v>
      </c>
      <c r="G130" s="81" t="s">
        <v>217</v>
      </c>
      <c r="H130" s="81" t="s">
        <v>207</v>
      </c>
      <c r="I130" s="81">
        <f>70*1.18*C130*B125</f>
        <v>5203.7999999999993</v>
      </c>
      <c r="J130" s="81">
        <f>2*1.18*D130*B125</f>
        <v>573.48</v>
      </c>
      <c r="K130" s="81">
        <f>50*1.18*C130*B127</f>
        <v>3304</v>
      </c>
      <c r="L130" s="81" t="s">
        <v>160</v>
      </c>
      <c r="M130" s="81" t="s">
        <v>218</v>
      </c>
      <c r="N130" s="81" t="s">
        <v>271</v>
      </c>
      <c r="O130" s="81" t="s">
        <v>220</v>
      </c>
      <c r="P130" s="81" t="s">
        <v>254</v>
      </c>
      <c r="Q130" s="81" t="s">
        <v>221</v>
      </c>
      <c r="R130" s="81" t="s">
        <v>166</v>
      </c>
      <c r="S130" s="81" t="s">
        <v>164</v>
      </c>
      <c r="T130" s="81" t="s">
        <v>272</v>
      </c>
      <c r="U130" s="81" t="s">
        <v>166</v>
      </c>
      <c r="V130" s="81" t="s">
        <v>223</v>
      </c>
      <c r="W130" s="81" t="s">
        <v>205</v>
      </c>
      <c r="X130" s="81" t="s">
        <v>223</v>
      </c>
      <c r="Y130" s="81"/>
      <c r="Z130" s="81" t="s">
        <v>256</v>
      </c>
      <c r="AA130" s="81" t="s">
        <v>273</v>
      </c>
      <c r="AB130" s="81" t="s">
        <v>257</v>
      </c>
      <c r="AC130" s="81" t="s">
        <v>274</v>
      </c>
      <c r="AD130" s="81" t="s">
        <v>225</v>
      </c>
      <c r="AE130" s="81" t="s">
        <v>226</v>
      </c>
      <c r="AF130" s="81">
        <f>SUM(I130:AE130)</f>
        <v>9081.2799999999988</v>
      </c>
      <c r="AG130" s="81">
        <f>AF130/7</f>
        <v>1297.3257142857142</v>
      </c>
      <c r="AH130" s="81"/>
      <c r="AI130" s="81"/>
      <c r="AJ130" s="81"/>
      <c r="AK130" s="81"/>
      <c r="AL130" s="81"/>
      <c r="AM130" s="81"/>
      <c r="AN130" s="81"/>
      <c r="AO130" s="81"/>
      <c r="AP130" s="81"/>
      <c r="AQ130" s="81"/>
      <c r="AR130" s="81"/>
      <c r="AS130" s="81"/>
      <c r="AT130" s="81"/>
      <c r="AU130" s="81"/>
      <c r="AV130" s="81"/>
      <c r="AW130" s="81"/>
      <c r="AX130" s="81"/>
      <c r="AY130" s="81"/>
      <c r="AZ130" s="81"/>
    </row>
    <row r="131" spans="2:52" s="80" customFormat="1" x14ac:dyDescent="0.25">
      <c r="B131" s="81"/>
      <c r="C131" s="81">
        <v>8</v>
      </c>
      <c r="D131" s="81">
        <v>30</v>
      </c>
      <c r="E131" s="81" t="s">
        <v>142</v>
      </c>
      <c r="F131" s="81" t="s">
        <v>227</v>
      </c>
      <c r="G131" s="81" t="s">
        <v>227</v>
      </c>
      <c r="H131" s="81" t="s">
        <v>207</v>
      </c>
      <c r="I131" s="81">
        <f>70*1.18*C131*B125</f>
        <v>5947.2</v>
      </c>
      <c r="J131" s="81">
        <f>2*1.18*D131*B125</f>
        <v>637.19999999999993</v>
      </c>
      <c r="K131" s="81">
        <f>50*1.18*C131*B127</f>
        <v>3776</v>
      </c>
      <c r="L131" s="81" t="s">
        <v>160</v>
      </c>
      <c r="M131" s="81" t="s">
        <v>228</v>
      </c>
      <c r="N131" s="81" t="s">
        <v>185</v>
      </c>
      <c r="O131" s="81" t="s">
        <v>176</v>
      </c>
      <c r="P131" s="81" t="s">
        <v>275</v>
      </c>
      <c r="Q131" s="81" t="s">
        <v>173</v>
      </c>
      <c r="R131" s="81" t="s">
        <v>158</v>
      </c>
      <c r="S131" s="81" t="s">
        <v>164</v>
      </c>
      <c r="T131" s="81" t="s">
        <v>272</v>
      </c>
      <c r="U131" s="81" t="s">
        <v>166</v>
      </c>
      <c r="V131" s="81" t="s">
        <v>203</v>
      </c>
      <c r="W131" s="81" t="s">
        <v>205</v>
      </c>
      <c r="X131" s="81" t="s">
        <v>203</v>
      </c>
      <c r="Y131" s="81"/>
      <c r="Z131" s="81" t="s">
        <v>256</v>
      </c>
      <c r="AA131" s="81" t="s">
        <v>273</v>
      </c>
      <c r="AB131" s="81" t="s">
        <v>257</v>
      </c>
      <c r="AC131" s="81" t="s">
        <v>276</v>
      </c>
      <c r="AD131" s="81" t="s">
        <v>232</v>
      </c>
      <c r="AE131" s="81" t="s">
        <v>233</v>
      </c>
      <c r="AF131" s="81">
        <f>SUM(I131:AE131)</f>
        <v>10360.4</v>
      </c>
      <c r="AG131" s="81">
        <f>AF131/8</f>
        <v>1295.05</v>
      </c>
      <c r="AH131" s="81"/>
      <c r="AI131" s="81"/>
      <c r="AJ131" s="81"/>
      <c r="AK131" s="81"/>
      <c r="AL131" s="81"/>
      <c r="AM131" s="81"/>
      <c r="AN131" s="81"/>
      <c r="AO131" s="81"/>
      <c r="AP131" s="81"/>
      <c r="AQ131" s="81"/>
      <c r="AR131" s="81"/>
      <c r="AS131" s="81"/>
      <c r="AT131" s="81"/>
      <c r="AU131" s="81"/>
      <c r="AV131" s="81"/>
      <c r="AW131" s="81"/>
      <c r="AX131" s="81"/>
      <c r="AY131" s="81"/>
      <c r="AZ131" s="81"/>
    </row>
    <row r="132" spans="2:52" s="80" customFormat="1" x14ac:dyDescent="0.25">
      <c r="B132" s="81"/>
      <c r="C132" s="81">
        <v>9</v>
      </c>
      <c r="D132" s="81">
        <v>34</v>
      </c>
      <c r="E132" s="81" t="s">
        <v>143</v>
      </c>
      <c r="F132" s="81" t="s">
        <v>234</v>
      </c>
      <c r="G132" s="81" t="s">
        <v>234</v>
      </c>
      <c r="H132" s="81" t="s">
        <v>207</v>
      </c>
      <c r="I132" s="81">
        <f>70*1.18*C132*B125</f>
        <v>6690.5999999999995</v>
      </c>
      <c r="J132" s="81">
        <f>2*1.18*D132*B125</f>
        <v>722.16</v>
      </c>
      <c r="K132" s="81">
        <f>50*1.18*C132*B127</f>
        <v>4248</v>
      </c>
      <c r="L132" s="81" t="s">
        <v>160</v>
      </c>
      <c r="M132" s="81" t="s">
        <v>235</v>
      </c>
      <c r="N132" s="81" t="s">
        <v>277</v>
      </c>
      <c r="O132" s="81" t="s">
        <v>237</v>
      </c>
      <c r="P132" s="81" t="s">
        <v>275</v>
      </c>
      <c r="Q132" s="81" t="s">
        <v>238</v>
      </c>
      <c r="R132" s="81" t="s">
        <v>158</v>
      </c>
      <c r="S132" s="81" t="s">
        <v>164</v>
      </c>
      <c r="T132" s="81" t="s">
        <v>278</v>
      </c>
      <c r="U132" s="81" t="s">
        <v>166</v>
      </c>
      <c r="V132" s="81" t="s">
        <v>239</v>
      </c>
      <c r="W132" s="81" t="s">
        <v>205</v>
      </c>
      <c r="X132" s="81" t="s">
        <v>239</v>
      </c>
      <c r="Y132" s="81"/>
      <c r="Z132" s="81" t="s">
        <v>256</v>
      </c>
      <c r="AA132" s="81" t="s">
        <v>279</v>
      </c>
      <c r="AB132" s="81" t="s">
        <v>257</v>
      </c>
      <c r="AC132" s="81" t="s">
        <v>280</v>
      </c>
      <c r="AD132" s="81" t="s">
        <v>242</v>
      </c>
      <c r="AE132" s="81" t="s">
        <v>243</v>
      </c>
      <c r="AF132" s="81">
        <f>SUM(I132:AE132)</f>
        <v>11660.759999999998</v>
      </c>
      <c r="AG132" s="81">
        <f>AF132/9</f>
        <v>1295.6399999999999</v>
      </c>
      <c r="AH132" s="81"/>
      <c r="AI132" s="81"/>
      <c r="AJ132" s="81"/>
      <c r="AK132" s="81"/>
      <c r="AL132" s="81"/>
      <c r="AM132" s="81"/>
      <c r="AN132" s="81"/>
      <c r="AO132" s="81"/>
      <c r="AP132" s="81"/>
      <c r="AQ132" s="81"/>
      <c r="AR132" s="81"/>
      <c r="AS132" s="81"/>
      <c r="AT132" s="81"/>
      <c r="AU132" s="81"/>
      <c r="AV132" s="81"/>
      <c r="AW132" s="81"/>
      <c r="AX132" s="81"/>
      <c r="AY132" s="81"/>
      <c r="AZ132" s="81"/>
    </row>
    <row r="133" spans="2:52" s="80" customFormat="1" x14ac:dyDescent="0.25">
      <c r="B133" s="81"/>
      <c r="C133" s="81">
        <v>10</v>
      </c>
      <c r="D133" s="81">
        <v>40</v>
      </c>
      <c r="E133" s="81" t="s">
        <v>143</v>
      </c>
      <c r="F133" s="81" t="s">
        <v>244</v>
      </c>
      <c r="G133" s="81" t="s">
        <v>244</v>
      </c>
      <c r="H133" s="81" t="s">
        <v>207</v>
      </c>
      <c r="I133" s="81">
        <f>70*1.18*C133*B125</f>
        <v>7434</v>
      </c>
      <c r="J133" s="81">
        <f>2*1.18*B125*D133</f>
        <v>849.59999999999991</v>
      </c>
      <c r="K133" s="81">
        <f>50*1.18*C133*B127</f>
        <v>4720</v>
      </c>
      <c r="L133" s="81" t="s">
        <v>160</v>
      </c>
      <c r="M133" s="81" t="s">
        <v>245</v>
      </c>
      <c r="N133" s="81" t="s">
        <v>195</v>
      </c>
      <c r="O133" s="81" t="s">
        <v>247</v>
      </c>
      <c r="P133" s="81" t="s">
        <v>275</v>
      </c>
      <c r="Q133" s="81" t="s">
        <v>248</v>
      </c>
      <c r="R133" s="81" t="s">
        <v>158</v>
      </c>
      <c r="S133" s="81" t="s">
        <v>164</v>
      </c>
      <c r="T133" s="81" t="s">
        <v>278</v>
      </c>
      <c r="U133" s="81" t="s">
        <v>166</v>
      </c>
      <c r="V133" s="81" t="s">
        <v>249</v>
      </c>
      <c r="W133" s="81" t="s">
        <v>205</v>
      </c>
      <c r="X133" s="81" t="s">
        <v>249</v>
      </c>
      <c r="Y133" s="81"/>
      <c r="Z133" s="81" t="s">
        <v>256</v>
      </c>
      <c r="AA133" s="81" t="s">
        <v>279</v>
      </c>
      <c r="AB133" s="81" t="s">
        <v>257</v>
      </c>
      <c r="AC133" s="81" t="s">
        <v>281</v>
      </c>
      <c r="AD133" s="81" t="s">
        <v>251</v>
      </c>
      <c r="AE133" s="81" t="s">
        <v>252</v>
      </c>
      <c r="AF133" s="81">
        <f>SUM(I133:AE133)</f>
        <v>13003.6</v>
      </c>
      <c r="AG133" s="81">
        <f>AF133/10</f>
        <v>1300.3600000000001</v>
      </c>
      <c r="AH133" s="81"/>
      <c r="AI133" s="81"/>
      <c r="AJ133" s="81"/>
      <c r="AK133" s="81"/>
      <c r="AL133" s="81"/>
      <c r="AM133" s="81"/>
      <c r="AN133" s="81"/>
      <c r="AO133" s="81"/>
      <c r="AP133" s="81"/>
      <c r="AQ133" s="81"/>
      <c r="AR133" s="81"/>
      <c r="AS133" s="81"/>
      <c r="AT133" s="81"/>
      <c r="AU133" s="81"/>
      <c r="AV133" s="81"/>
      <c r="AW133" s="81"/>
      <c r="AX133" s="81"/>
      <c r="AY133" s="81"/>
      <c r="AZ133" s="81"/>
    </row>
    <row r="134" spans="2:52" x14ac:dyDescent="0.25">
      <c r="AG134" s="33" t="s">
        <v>33</v>
      </c>
    </row>
    <row r="1048576" spans="45:45" x14ac:dyDescent="0.25">
      <c r="AS1048576" s="18"/>
    </row>
  </sheetData>
  <mergeCells count="7">
    <mergeCell ref="AK1:AO1"/>
    <mergeCell ref="F1:AE1"/>
    <mergeCell ref="F2:G2"/>
    <mergeCell ref="I2:O2"/>
    <mergeCell ref="P2:X2"/>
    <mergeCell ref="AD2:AE2"/>
    <mergeCell ref="Z2:AC2"/>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6"/>
  <sheetViews>
    <sheetView zoomScale="150" workbookViewId="0">
      <selection activeCell="A9" sqref="A9"/>
    </sheetView>
  </sheetViews>
  <sheetFormatPr defaultColWidth="11.42578125" defaultRowHeight="15" x14ac:dyDescent="0.25"/>
  <cols>
    <col min="2" max="2" width="31.7109375" customWidth="1"/>
    <col min="3" max="3" width="14.7109375" customWidth="1"/>
  </cols>
  <sheetData>
    <row r="1" spans="1:8" x14ac:dyDescent="0.25">
      <c r="A1" t="s">
        <v>49</v>
      </c>
    </row>
    <row r="2" spans="1:8" x14ac:dyDescent="0.25">
      <c r="A2" t="s">
        <v>50</v>
      </c>
      <c r="E2" t="s">
        <v>64</v>
      </c>
      <c r="F2" t="s">
        <v>65</v>
      </c>
    </row>
    <row r="3" spans="1:8" x14ac:dyDescent="0.25">
      <c r="A3" t="s">
        <v>51</v>
      </c>
      <c r="C3">
        <v>5</v>
      </c>
      <c r="E3">
        <v>70</v>
      </c>
      <c r="F3" s="16">
        <f>E3*C3</f>
        <v>350</v>
      </c>
      <c r="H3">
        <f>E3*1.18</f>
        <v>82.6</v>
      </c>
    </row>
    <row r="4" spans="1:8" x14ac:dyDescent="0.25">
      <c r="A4" t="s">
        <v>52</v>
      </c>
      <c r="C4">
        <v>4</v>
      </c>
      <c r="E4">
        <v>60</v>
      </c>
      <c r="F4" s="16">
        <f>E4*C4</f>
        <v>240</v>
      </c>
    </row>
    <row r="5" spans="1:8" x14ac:dyDescent="0.25">
      <c r="A5" t="s">
        <v>53</v>
      </c>
      <c r="F5" s="16">
        <v>20</v>
      </c>
    </row>
    <row r="6" spans="1:8" x14ac:dyDescent="0.25">
      <c r="F6" s="16"/>
    </row>
    <row r="7" spans="1:8" x14ac:dyDescent="0.25">
      <c r="A7" t="s">
        <v>54</v>
      </c>
      <c r="F7" s="16"/>
    </row>
    <row r="8" spans="1:8" x14ac:dyDescent="0.25">
      <c r="A8" t="s">
        <v>55</v>
      </c>
      <c r="F8" s="16">
        <v>65</v>
      </c>
    </row>
    <row r="9" spans="1:8" x14ac:dyDescent="0.25">
      <c r="A9" t="s">
        <v>112</v>
      </c>
      <c r="F9" s="16">
        <v>60</v>
      </c>
    </row>
    <row r="10" spans="1:8" x14ac:dyDescent="0.25">
      <c r="F10" s="16"/>
    </row>
    <row r="11" spans="1:8" x14ac:dyDescent="0.25">
      <c r="A11" t="s">
        <v>56</v>
      </c>
      <c r="F11" s="16"/>
    </row>
    <row r="12" spans="1:8" x14ac:dyDescent="0.25">
      <c r="A12" t="s">
        <v>57</v>
      </c>
      <c r="F12" s="16">
        <v>156</v>
      </c>
    </row>
    <row r="13" spans="1:8" x14ac:dyDescent="0.25">
      <c r="F13" s="16"/>
    </row>
    <row r="14" spans="1:8" x14ac:dyDescent="0.25">
      <c r="A14" t="s">
        <v>58</v>
      </c>
      <c r="F14" s="16">
        <v>86</v>
      </c>
    </row>
    <row r="16" spans="1:8" x14ac:dyDescent="0.25">
      <c r="A16" t="s">
        <v>59</v>
      </c>
    </row>
    <row r="17" spans="1:6" x14ac:dyDescent="0.25">
      <c r="A17" t="s">
        <v>60</v>
      </c>
      <c r="F17">
        <v>117</v>
      </c>
    </row>
    <row r="19" spans="1:6" x14ac:dyDescent="0.25">
      <c r="A19" t="s">
        <v>61</v>
      </c>
    </row>
    <row r="20" spans="1:6" x14ac:dyDescent="0.25">
      <c r="A20" t="s">
        <v>62</v>
      </c>
      <c r="F20">
        <v>352</v>
      </c>
    </row>
    <row r="22" spans="1:6" x14ac:dyDescent="0.25">
      <c r="A22" t="s">
        <v>68</v>
      </c>
      <c r="F22">
        <v>26</v>
      </c>
    </row>
    <row r="24" spans="1:6" x14ac:dyDescent="0.25">
      <c r="A24" t="s">
        <v>69</v>
      </c>
      <c r="F24">
        <v>5.21</v>
      </c>
    </row>
    <row r="26" spans="1:6" x14ac:dyDescent="0.25">
      <c r="A26" t="s">
        <v>70</v>
      </c>
    </row>
    <row r="27" spans="1:6" x14ac:dyDescent="0.25">
      <c r="A27" t="s">
        <v>71</v>
      </c>
      <c r="F27">
        <v>30.44</v>
      </c>
    </row>
    <row r="29" spans="1:6" x14ac:dyDescent="0.25">
      <c r="A29" t="s">
        <v>72</v>
      </c>
      <c r="F29">
        <v>26.09</v>
      </c>
    </row>
    <row r="31" spans="1:6" x14ac:dyDescent="0.25">
      <c r="A31" t="s">
        <v>73</v>
      </c>
      <c r="F31">
        <v>32.61</v>
      </c>
    </row>
    <row r="33" spans="1:6" x14ac:dyDescent="0.25">
      <c r="A33" t="s">
        <v>74</v>
      </c>
      <c r="F33">
        <v>17.39</v>
      </c>
    </row>
    <row r="35" spans="1:6" x14ac:dyDescent="0.25">
      <c r="A35" t="s">
        <v>75</v>
      </c>
      <c r="F35">
        <v>4.43</v>
      </c>
    </row>
    <row r="37" spans="1:6" x14ac:dyDescent="0.25">
      <c r="A37" t="s">
        <v>76</v>
      </c>
      <c r="F37">
        <v>4.34</v>
      </c>
    </row>
    <row r="38" spans="1:6" x14ac:dyDescent="0.25">
      <c r="F38">
        <f>SUM(F22:F37)</f>
        <v>146.51000000000002</v>
      </c>
    </row>
    <row r="40" spans="1:6" s="26" customFormat="1" ht="15.75" thickBot="1" x14ac:dyDescent="0.3"/>
    <row r="41" spans="1:6" s="25" customFormat="1" x14ac:dyDescent="0.25">
      <c r="A41" s="25" t="s">
        <v>78</v>
      </c>
    </row>
    <row r="43" spans="1:6" x14ac:dyDescent="0.25">
      <c r="A43" t="s">
        <v>79</v>
      </c>
      <c r="C43">
        <v>6</v>
      </c>
    </row>
    <row r="44" spans="1:6" x14ac:dyDescent="0.25">
      <c r="A44" t="s">
        <v>33</v>
      </c>
      <c r="C44">
        <v>5</v>
      </c>
    </row>
    <row r="45" spans="1:6" x14ac:dyDescent="0.25">
      <c r="A45" t="s">
        <v>80</v>
      </c>
      <c r="C45">
        <v>7</v>
      </c>
    </row>
    <row r="46" spans="1:6" x14ac:dyDescent="0.25">
      <c r="A46" t="s">
        <v>81</v>
      </c>
    </row>
    <row r="48" spans="1:6" x14ac:dyDescent="0.25">
      <c r="A48" t="s">
        <v>82</v>
      </c>
      <c r="C48">
        <v>71.8</v>
      </c>
      <c r="D48" s="27">
        <f>C48*C43</f>
        <v>430.79999999999995</v>
      </c>
    </row>
    <row r="50" spans="1:4" x14ac:dyDescent="0.25">
      <c r="A50" t="s">
        <v>83</v>
      </c>
      <c r="C50">
        <v>50</v>
      </c>
      <c r="D50" s="27">
        <f>C50*C44</f>
        <v>250</v>
      </c>
    </row>
    <row r="52" spans="1:4" x14ac:dyDescent="0.25">
      <c r="A52" t="s">
        <v>84</v>
      </c>
      <c r="D52" s="27">
        <v>20</v>
      </c>
    </row>
    <row r="54" spans="1:4" x14ac:dyDescent="0.25">
      <c r="A54" t="s">
        <v>63</v>
      </c>
      <c r="C54">
        <v>2</v>
      </c>
      <c r="D54" s="27">
        <f>C54*C45</f>
        <v>14</v>
      </c>
    </row>
    <row r="56" spans="1:4" x14ac:dyDescent="0.25">
      <c r="A56" t="s">
        <v>85</v>
      </c>
    </row>
    <row r="57" spans="1:4" x14ac:dyDescent="0.25">
      <c r="A57" t="s">
        <v>86</v>
      </c>
      <c r="D57" s="27">
        <v>60</v>
      </c>
    </row>
    <row r="59" spans="1:4" x14ac:dyDescent="0.25">
      <c r="A59" t="s">
        <v>87</v>
      </c>
      <c r="D59" s="27">
        <v>30</v>
      </c>
    </row>
    <row r="61" spans="1:4" x14ac:dyDescent="0.25">
      <c r="A61" t="s">
        <v>68</v>
      </c>
      <c r="D61">
        <v>26</v>
      </c>
    </row>
    <row r="62" spans="1:4" x14ac:dyDescent="0.25">
      <c r="A62" t="s">
        <v>69</v>
      </c>
      <c r="D62">
        <v>5.21</v>
      </c>
    </row>
    <row r="63" spans="1:4" x14ac:dyDescent="0.25">
      <c r="A63" t="s">
        <v>71</v>
      </c>
      <c r="D63">
        <v>30.44</v>
      </c>
    </row>
    <row r="64" spans="1:4" x14ac:dyDescent="0.25">
      <c r="A64" t="s">
        <v>72</v>
      </c>
      <c r="D64">
        <v>26.09</v>
      </c>
    </row>
    <row r="65" spans="1:4" x14ac:dyDescent="0.25">
      <c r="A65" t="s">
        <v>73</v>
      </c>
      <c r="D65">
        <v>39.14</v>
      </c>
    </row>
    <row r="66" spans="1:4" x14ac:dyDescent="0.25">
      <c r="A66" t="s">
        <v>74</v>
      </c>
      <c r="D66">
        <v>17.39</v>
      </c>
    </row>
    <row r="67" spans="1:4" x14ac:dyDescent="0.25">
      <c r="A67" t="s">
        <v>75</v>
      </c>
      <c r="D67">
        <v>4.43</v>
      </c>
    </row>
    <row r="68" spans="1:4" x14ac:dyDescent="0.25">
      <c r="A68" t="s">
        <v>76</v>
      </c>
      <c r="D68">
        <v>4.43</v>
      </c>
    </row>
    <row r="69" spans="1:4" x14ac:dyDescent="0.25">
      <c r="D69" s="27">
        <f>SUM(D61:D68)</f>
        <v>153.13000000000002</v>
      </c>
    </row>
    <row r="71" spans="1:4" x14ac:dyDescent="0.25">
      <c r="A71" t="s">
        <v>77</v>
      </c>
      <c r="D71" s="27">
        <v>117</v>
      </c>
    </row>
    <row r="73" spans="1:4" x14ac:dyDescent="0.25">
      <c r="A73" t="s">
        <v>88</v>
      </c>
      <c r="C73">
        <v>13.4</v>
      </c>
      <c r="D73">
        <f>C73*C43</f>
        <v>80.400000000000006</v>
      </c>
    </row>
    <row r="74" spans="1:4" x14ac:dyDescent="0.25">
      <c r="A74" t="s">
        <v>89</v>
      </c>
      <c r="C74">
        <v>10.8</v>
      </c>
      <c r="D74">
        <f>C74*C44</f>
        <v>54</v>
      </c>
    </row>
    <row r="75" spans="1:4" x14ac:dyDescent="0.25">
      <c r="A75" t="s">
        <v>90</v>
      </c>
      <c r="C75">
        <v>8.69</v>
      </c>
      <c r="D75">
        <f>C75*C45*5</f>
        <v>304.14999999999998</v>
      </c>
    </row>
    <row r="76" spans="1:4" x14ac:dyDescent="0.25">
      <c r="D76" s="27">
        <f>SUM(D73:D75)</f>
        <v>438.54999999999995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2"/>
  <sheetViews>
    <sheetView topLeftCell="B1" zoomScale="150" workbookViewId="0">
      <selection activeCell="C39" sqref="C39"/>
    </sheetView>
  </sheetViews>
  <sheetFormatPr defaultColWidth="8.85546875" defaultRowHeight="15" x14ac:dyDescent="0.25"/>
  <cols>
    <col min="1" max="1" width="1.42578125" customWidth="1"/>
    <col min="2" max="2" width="56" bestFit="1" customWidth="1"/>
    <col min="3" max="3" width="10.28515625" bestFit="1" customWidth="1"/>
    <col min="4" max="4" width="8.85546875" bestFit="1" customWidth="1"/>
    <col min="6" max="6" width="15.7109375" bestFit="1" customWidth="1"/>
    <col min="7" max="7" width="19.28515625" bestFit="1" customWidth="1"/>
    <col min="8" max="8" width="19.28515625" customWidth="1"/>
    <col min="9" max="9" width="11.28515625" bestFit="1" customWidth="1"/>
    <col min="10" max="10" width="10.7109375" bestFit="1" customWidth="1"/>
    <col min="13" max="13" width="12.7109375" bestFit="1" customWidth="1"/>
  </cols>
  <sheetData>
    <row r="1" spans="2:13" ht="8.25" customHeight="1" thickBot="1" x14ac:dyDescent="0.3"/>
    <row r="2" spans="2:13" ht="15.75" thickBot="1" x14ac:dyDescent="0.3">
      <c r="C2" s="6"/>
      <c r="D2" s="6"/>
      <c r="F2" s="73" t="s">
        <v>17</v>
      </c>
      <c r="G2" s="74"/>
      <c r="H2" s="74"/>
      <c r="I2" s="74"/>
      <c r="J2" s="74"/>
      <c r="K2" s="75"/>
    </row>
    <row r="3" spans="2:13" ht="15.75" thickBot="1" x14ac:dyDescent="0.3">
      <c r="B3" s="1" t="s">
        <v>0</v>
      </c>
      <c r="C3" s="76" t="s">
        <v>19</v>
      </c>
      <c r="D3" s="77"/>
      <c r="E3" s="78"/>
      <c r="F3" s="2" t="s">
        <v>12</v>
      </c>
      <c r="G3" s="3" t="s">
        <v>13</v>
      </c>
      <c r="H3" s="3" t="s">
        <v>18</v>
      </c>
      <c r="I3" s="3" t="s">
        <v>14</v>
      </c>
      <c r="J3" s="3" t="s">
        <v>15</v>
      </c>
      <c r="K3" s="4" t="s">
        <v>16</v>
      </c>
      <c r="M3" s="8" t="s">
        <v>24</v>
      </c>
    </row>
    <row r="4" spans="2:13" x14ac:dyDescent="0.25">
      <c r="B4" t="s">
        <v>29</v>
      </c>
      <c r="C4" t="s">
        <v>20</v>
      </c>
      <c r="D4" s="7">
        <v>450</v>
      </c>
      <c r="E4" t="s">
        <v>22</v>
      </c>
      <c r="F4" s="5">
        <v>0</v>
      </c>
      <c r="G4" s="5">
        <v>0</v>
      </c>
      <c r="H4" s="5">
        <v>0</v>
      </c>
      <c r="I4" s="5">
        <v>0</v>
      </c>
      <c r="J4" s="5">
        <v>0</v>
      </c>
      <c r="K4" s="5">
        <v>0</v>
      </c>
      <c r="M4" s="9">
        <f>SUM(F4:L4)</f>
        <v>0</v>
      </c>
    </row>
    <row r="5" spans="2:13" x14ac:dyDescent="0.25">
      <c r="C5" t="s">
        <v>21</v>
      </c>
      <c r="D5" s="7">
        <v>300</v>
      </c>
      <c r="E5" t="s">
        <v>22</v>
      </c>
      <c r="F5" s="5">
        <v>0</v>
      </c>
      <c r="G5" s="5">
        <v>0</v>
      </c>
      <c r="H5" s="5">
        <v>0</v>
      </c>
      <c r="I5" s="5">
        <v>0</v>
      </c>
      <c r="J5" s="5">
        <v>0</v>
      </c>
      <c r="K5" s="5">
        <v>0</v>
      </c>
      <c r="M5" s="7">
        <f t="shared" ref="M5:M38" si="0">SUM(F5:L5)</f>
        <v>0</v>
      </c>
    </row>
    <row r="6" spans="2:13" x14ac:dyDescent="0.25">
      <c r="C6" t="s">
        <v>23</v>
      </c>
      <c r="D6" s="7">
        <v>250</v>
      </c>
      <c r="E6" t="s">
        <v>22</v>
      </c>
      <c r="F6" s="5">
        <v>0</v>
      </c>
      <c r="G6" s="5">
        <v>0</v>
      </c>
      <c r="H6" s="5">
        <v>0</v>
      </c>
      <c r="I6" s="5">
        <v>0</v>
      </c>
      <c r="J6" s="5">
        <v>0</v>
      </c>
      <c r="K6" s="5">
        <v>0</v>
      </c>
      <c r="M6" s="7">
        <f t="shared" si="0"/>
        <v>0</v>
      </c>
    </row>
    <row r="7" spans="2:13" x14ac:dyDescent="0.25">
      <c r="B7" t="s">
        <v>30</v>
      </c>
      <c r="C7" s="72" t="s">
        <v>27</v>
      </c>
      <c r="D7" s="72"/>
      <c r="E7" s="72"/>
      <c r="F7" s="5">
        <v>0</v>
      </c>
      <c r="G7" s="5">
        <v>0</v>
      </c>
      <c r="H7" s="5">
        <v>0</v>
      </c>
      <c r="I7" s="5">
        <v>0</v>
      </c>
      <c r="J7" s="5">
        <v>0</v>
      </c>
      <c r="K7" s="5">
        <v>0</v>
      </c>
      <c r="M7" s="7">
        <f t="shared" si="0"/>
        <v>0</v>
      </c>
    </row>
    <row r="8" spans="2:13" x14ac:dyDescent="0.25">
      <c r="B8" t="s">
        <v>26</v>
      </c>
      <c r="C8" t="s">
        <v>20</v>
      </c>
      <c r="D8" s="7">
        <v>400</v>
      </c>
      <c r="E8" t="s">
        <v>22</v>
      </c>
      <c r="F8" s="5">
        <v>0</v>
      </c>
      <c r="G8" s="5">
        <v>0</v>
      </c>
      <c r="H8" s="5">
        <v>0</v>
      </c>
      <c r="I8" s="5">
        <v>0</v>
      </c>
      <c r="J8" s="5">
        <v>0</v>
      </c>
      <c r="K8" s="5">
        <v>0</v>
      </c>
      <c r="M8" s="7">
        <f t="shared" si="0"/>
        <v>0</v>
      </c>
    </row>
    <row r="9" spans="2:13" x14ac:dyDescent="0.25">
      <c r="C9" t="s">
        <v>21</v>
      </c>
      <c r="D9" s="7">
        <v>300</v>
      </c>
      <c r="E9" t="s">
        <v>22</v>
      </c>
      <c r="F9" s="5">
        <v>0</v>
      </c>
      <c r="G9" s="5">
        <v>0</v>
      </c>
      <c r="H9" s="5">
        <v>0</v>
      </c>
      <c r="I9" s="5">
        <v>0</v>
      </c>
      <c r="J9" s="5">
        <v>0</v>
      </c>
      <c r="K9" s="5">
        <v>0</v>
      </c>
      <c r="M9" s="7">
        <f t="shared" si="0"/>
        <v>0</v>
      </c>
    </row>
    <row r="10" spans="2:13" x14ac:dyDescent="0.25">
      <c r="C10" t="s">
        <v>23</v>
      </c>
      <c r="D10" s="7">
        <v>250</v>
      </c>
      <c r="E10" t="s">
        <v>22</v>
      </c>
      <c r="F10" s="5">
        <v>0</v>
      </c>
      <c r="G10" s="5">
        <v>0</v>
      </c>
      <c r="H10" s="5">
        <v>0</v>
      </c>
      <c r="I10" s="5">
        <v>0</v>
      </c>
      <c r="J10" s="5">
        <v>0</v>
      </c>
      <c r="K10" s="5">
        <v>0</v>
      </c>
      <c r="M10" s="7">
        <f t="shared" si="0"/>
        <v>0</v>
      </c>
    </row>
    <row r="11" spans="2:13" x14ac:dyDescent="0.25">
      <c r="C11" s="72" t="s">
        <v>28</v>
      </c>
      <c r="D11" s="72"/>
      <c r="E11" s="72"/>
      <c r="F11" s="5">
        <v>0</v>
      </c>
      <c r="G11" s="5">
        <v>0</v>
      </c>
      <c r="H11" s="5">
        <v>0</v>
      </c>
      <c r="I11" s="5">
        <v>0</v>
      </c>
      <c r="J11" s="5">
        <v>0</v>
      </c>
      <c r="K11" s="5">
        <v>0</v>
      </c>
      <c r="M11" s="7">
        <f t="shared" si="0"/>
        <v>0</v>
      </c>
    </row>
    <row r="12" spans="2:13" x14ac:dyDescent="0.25">
      <c r="C12" t="s">
        <v>20</v>
      </c>
      <c r="D12" s="7">
        <v>650</v>
      </c>
      <c r="E12" t="s">
        <v>22</v>
      </c>
      <c r="F12" s="5">
        <v>0</v>
      </c>
      <c r="G12" s="5">
        <v>0</v>
      </c>
      <c r="H12" s="5">
        <v>0</v>
      </c>
      <c r="I12" s="5">
        <v>0</v>
      </c>
      <c r="J12" s="5">
        <v>0</v>
      </c>
      <c r="K12" s="5">
        <v>0</v>
      </c>
      <c r="M12" s="7">
        <f t="shared" si="0"/>
        <v>0</v>
      </c>
    </row>
    <row r="13" spans="2:13" x14ac:dyDescent="0.25">
      <c r="B13" t="s">
        <v>26</v>
      </c>
      <c r="C13" t="s">
        <v>21</v>
      </c>
      <c r="D13" s="7">
        <v>500</v>
      </c>
      <c r="E13" t="s">
        <v>22</v>
      </c>
      <c r="F13" s="5">
        <v>0</v>
      </c>
      <c r="G13" s="5">
        <v>0</v>
      </c>
      <c r="H13" s="5">
        <v>0</v>
      </c>
      <c r="I13" s="5">
        <v>0</v>
      </c>
      <c r="J13" s="5">
        <v>0</v>
      </c>
      <c r="K13" s="5">
        <v>0</v>
      </c>
      <c r="M13" s="7">
        <f t="shared" si="0"/>
        <v>0</v>
      </c>
    </row>
    <row r="14" spans="2:13" x14ac:dyDescent="0.25">
      <c r="C14" t="s">
        <v>23</v>
      </c>
      <c r="D14" s="7">
        <v>450</v>
      </c>
      <c r="E14" t="s">
        <v>22</v>
      </c>
      <c r="F14" s="5">
        <v>0</v>
      </c>
      <c r="G14" s="5">
        <v>0</v>
      </c>
      <c r="H14" s="5">
        <v>0</v>
      </c>
      <c r="I14" s="5">
        <v>0</v>
      </c>
      <c r="J14" s="5">
        <v>0</v>
      </c>
      <c r="K14" s="5">
        <v>0</v>
      </c>
      <c r="M14" s="7">
        <f t="shared" si="0"/>
        <v>0</v>
      </c>
    </row>
    <row r="15" spans="2:13" x14ac:dyDescent="0.25">
      <c r="B15" t="s">
        <v>31</v>
      </c>
      <c r="C15" s="72" t="s">
        <v>27</v>
      </c>
      <c r="D15" s="72"/>
      <c r="E15" s="72"/>
      <c r="F15" s="5">
        <v>0</v>
      </c>
      <c r="G15" s="5">
        <v>0</v>
      </c>
      <c r="H15" s="5">
        <v>0</v>
      </c>
      <c r="I15" s="5">
        <v>0</v>
      </c>
      <c r="J15" s="5">
        <v>0</v>
      </c>
      <c r="K15" s="5">
        <v>0</v>
      </c>
      <c r="M15" s="7">
        <f t="shared" si="0"/>
        <v>0</v>
      </c>
    </row>
    <row r="16" spans="2:13" x14ac:dyDescent="0.25">
      <c r="C16" t="s">
        <v>20</v>
      </c>
      <c r="D16" s="7">
        <v>400</v>
      </c>
      <c r="E16" t="s">
        <v>22</v>
      </c>
      <c r="F16" s="5">
        <v>0</v>
      </c>
      <c r="G16" s="5">
        <v>0</v>
      </c>
      <c r="H16" s="5">
        <v>0</v>
      </c>
      <c r="I16" s="5">
        <v>0</v>
      </c>
      <c r="J16" s="5">
        <v>0</v>
      </c>
      <c r="K16" s="5">
        <v>0</v>
      </c>
      <c r="M16" s="7">
        <f t="shared" si="0"/>
        <v>0</v>
      </c>
    </row>
    <row r="17" spans="2:13" x14ac:dyDescent="0.25">
      <c r="C17" t="s">
        <v>21</v>
      </c>
      <c r="D17" s="7">
        <v>300</v>
      </c>
      <c r="E17" t="s">
        <v>22</v>
      </c>
      <c r="F17" s="5">
        <v>0</v>
      </c>
      <c r="G17" s="5">
        <v>0</v>
      </c>
      <c r="H17" s="5">
        <v>0</v>
      </c>
      <c r="I17" s="5">
        <v>0</v>
      </c>
      <c r="J17" s="5">
        <v>0</v>
      </c>
      <c r="K17" s="5">
        <v>0</v>
      </c>
      <c r="M17" s="7">
        <f t="shared" si="0"/>
        <v>0</v>
      </c>
    </row>
    <row r="18" spans="2:13" x14ac:dyDescent="0.25">
      <c r="C18" t="s">
        <v>23</v>
      </c>
      <c r="D18" s="7">
        <v>250</v>
      </c>
      <c r="E18" t="s">
        <v>22</v>
      </c>
      <c r="F18" s="5">
        <v>0</v>
      </c>
      <c r="G18" s="5">
        <v>0</v>
      </c>
      <c r="H18" s="5">
        <v>0</v>
      </c>
      <c r="I18" s="5">
        <v>0</v>
      </c>
      <c r="J18" s="5">
        <v>0</v>
      </c>
      <c r="K18" s="5">
        <v>0</v>
      </c>
      <c r="M18" s="7">
        <f t="shared" si="0"/>
        <v>0</v>
      </c>
    </row>
    <row r="19" spans="2:13" x14ac:dyDescent="0.25">
      <c r="C19" s="72" t="s">
        <v>28</v>
      </c>
      <c r="D19" s="72"/>
      <c r="E19" s="72"/>
      <c r="F19" s="5">
        <v>0</v>
      </c>
      <c r="G19" s="5">
        <v>0</v>
      </c>
      <c r="H19" s="5">
        <v>0</v>
      </c>
      <c r="I19" s="5">
        <v>0</v>
      </c>
      <c r="J19" s="5">
        <v>0</v>
      </c>
      <c r="K19" s="5">
        <v>0</v>
      </c>
      <c r="M19" s="7">
        <f t="shared" si="0"/>
        <v>0</v>
      </c>
    </row>
    <row r="20" spans="2:13" x14ac:dyDescent="0.25">
      <c r="C20" t="s">
        <v>20</v>
      </c>
      <c r="D20" s="7">
        <v>650</v>
      </c>
      <c r="E20" t="s">
        <v>22</v>
      </c>
      <c r="F20" s="5">
        <v>0</v>
      </c>
      <c r="G20" s="5">
        <v>0</v>
      </c>
      <c r="H20" s="5">
        <v>0</v>
      </c>
      <c r="I20" s="5">
        <v>0</v>
      </c>
      <c r="J20" s="5">
        <v>0</v>
      </c>
      <c r="K20" s="5">
        <v>0</v>
      </c>
      <c r="M20" s="7">
        <f t="shared" si="0"/>
        <v>0</v>
      </c>
    </row>
    <row r="21" spans="2:13" x14ac:dyDescent="0.25">
      <c r="C21" t="s">
        <v>21</v>
      </c>
      <c r="D21" s="7">
        <v>500</v>
      </c>
      <c r="E21" t="s">
        <v>22</v>
      </c>
      <c r="F21" s="5">
        <v>0</v>
      </c>
      <c r="G21" s="5">
        <v>0</v>
      </c>
      <c r="H21" s="5">
        <v>0</v>
      </c>
      <c r="I21" s="5">
        <v>0</v>
      </c>
      <c r="J21" s="5">
        <v>0</v>
      </c>
      <c r="K21" s="5">
        <v>0</v>
      </c>
      <c r="M21" s="7">
        <f t="shared" si="0"/>
        <v>0</v>
      </c>
    </row>
    <row r="22" spans="2:13" x14ac:dyDescent="0.25">
      <c r="C22" t="s">
        <v>23</v>
      </c>
      <c r="D22" s="7">
        <v>450</v>
      </c>
      <c r="E22" t="s">
        <v>22</v>
      </c>
      <c r="F22" s="5">
        <v>0</v>
      </c>
      <c r="G22" s="5">
        <v>0</v>
      </c>
      <c r="H22" s="5">
        <v>0</v>
      </c>
      <c r="I22" s="5">
        <v>0</v>
      </c>
      <c r="J22" s="5">
        <v>0</v>
      </c>
      <c r="K22" s="5">
        <v>0</v>
      </c>
      <c r="M22" s="7">
        <f t="shared" si="0"/>
        <v>0</v>
      </c>
    </row>
    <row r="23" spans="2:13" x14ac:dyDescent="0.25">
      <c r="B23" t="s">
        <v>32</v>
      </c>
      <c r="C23" s="72" t="s">
        <v>27</v>
      </c>
      <c r="D23" s="72"/>
      <c r="E23" s="72"/>
      <c r="F23" s="5">
        <v>0</v>
      </c>
      <c r="G23" s="5">
        <v>0</v>
      </c>
      <c r="H23" s="5">
        <v>0</v>
      </c>
      <c r="I23" s="5">
        <v>0</v>
      </c>
      <c r="J23" s="5">
        <v>0</v>
      </c>
      <c r="K23" s="5">
        <v>0</v>
      </c>
      <c r="M23" s="7">
        <f t="shared" si="0"/>
        <v>0</v>
      </c>
    </row>
    <row r="24" spans="2:13" x14ac:dyDescent="0.25">
      <c r="C24" t="s">
        <v>20</v>
      </c>
      <c r="D24" s="7">
        <v>400</v>
      </c>
      <c r="E24" t="s">
        <v>22</v>
      </c>
      <c r="F24" s="5">
        <v>0</v>
      </c>
      <c r="G24" s="5">
        <v>0</v>
      </c>
      <c r="H24" s="5">
        <v>0</v>
      </c>
      <c r="I24" s="5">
        <v>0</v>
      </c>
      <c r="J24" s="5">
        <v>0</v>
      </c>
      <c r="K24" s="5">
        <v>0</v>
      </c>
      <c r="M24" s="7">
        <f t="shared" si="0"/>
        <v>0</v>
      </c>
    </row>
    <row r="25" spans="2:13" x14ac:dyDescent="0.25">
      <c r="C25" t="s">
        <v>21</v>
      </c>
      <c r="D25" s="7">
        <v>300</v>
      </c>
      <c r="E25" t="s">
        <v>22</v>
      </c>
      <c r="F25" s="5">
        <v>0</v>
      </c>
      <c r="G25" s="5">
        <v>0</v>
      </c>
      <c r="H25" s="5">
        <v>0</v>
      </c>
      <c r="I25" s="5">
        <v>0</v>
      </c>
      <c r="J25" s="5">
        <v>0</v>
      </c>
      <c r="K25" s="5">
        <v>0</v>
      </c>
      <c r="M25" s="7">
        <f t="shared" si="0"/>
        <v>0</v>
      </c>
    </row>
    <row r="26" spans="2:13" x14ac:dyDescent="0.25">
      <c r="C26" t="s">
        <v>23</v>
      </c>
      <c r="D26" s="7">
        <v>250</v>
      </c>
      <c r="E26" t="s">
        <v>22</v>
      </c>
      <c r="F26" s="5">
        <v>0</v>
      </c>
      <c r="G26" s="5">
        <v>0</v>
      </c>
      <c r="H26" s="5">
        <v>0</v>
      </c>
      <c r="I26" s="5">
        <v>0</v>
      </c>
      <c r="J26" s="5">
        <v>0</v>
      </c>
      <c r="K26" s="5">
        <v>0</v>
      </c>
      <c r="M26" s="7">
        <f t="shared" si="0"/>
        <v>0</v>
      </c>
    </row>
    <row r="27" spans="2:13" x14ac:dyDescent="0.25">
      <c r="C27" s="72" t="s">
        <v>28</v>
      </c>
      <c r="D27" s="72"/>
      <c r="E27" s="72"/>
      <c r="F27" s="5">
        <v>0</v>
      </c>
      <c r="G27" s="5">
        <v>0</v>
      </c>
      <c r="H27" s="5">
        <v>0</v>
      </c>
      <c r="I27" s="5">
        <v>0</v>
      </c>
      <c r="J27" s="5">
        <v>0</v>
      </c>
      <c r="K27" s="5">
        <v>0</v>
      </c>
      <c r="M27" s="7">
        <f t="shared" si="0"/>
        <v>0</v>
      </c>
    </row>
    <row r="28" spans="2:13" x14ac:dyDescent="0.25">
      <c r="C28" t="s">
        <v>20</v>
      </c>
      <c r="D28" s="7">
        <v>650</v>
      </c>
      <c r="E28" t="s">
        <v>22</v>
      </c>
      <c r="F28" s="5">
        <v>0</v>
      </c>
      <c r="G28" s="5">
        <v>0</v>
      </c>
      <c r="H28" s="5">
        <v>0</v>
      </c>
      <c r="I28" s="5">
        <v>0</v>
      </c>
      <c r="J28" s="5">
        <v>0</v>
      </c>
      <c r="K28" s="5">
        <v>0</v>
      </c>
      <c r="M28" s="7">
        <f t="shared" si="0"/>
        <v>0</v>
      </c>
    </row>
    <row r="29" spans="2:13" x14ac:dyDescent="0.25">
      <c r="C29" t="s">
        <v>21</v>
      </c>
      <c r="D29" s="7">
        <v>500</v>
      </c>
      <c r="E29" t="s">
        <v>22</v>
      </c>
      <c r="F29" s="5">
        <v>0</v>
      </c>
      <c r="G29" s="5">
        <v>0</v>
      </c>
      <c r="H29" s="5">
        <v>0</v>
      </c>
      <c r="I29" s="5">
        <v>0</v>
      </c>
      <c r="J29" s="5">
        <v>0</v>
      </c>
      <c r="K29" s="5">
        <v>0</v>
      </c>
      <c r="M29" s="7">
        <f t="shared" si="0"/>
        <v>0</v>
      </c>
    </row>
    <row r="30" spans="2:13" x14ac:dyDescent="0.25">
      <c r="C30" t="s">
        <v>23</v>
      </c>
      <c r="D30" s="7">
        <v>450</v>
      </c>
      <c r="E30" t="s">
        <v>22</v>
      </c>
      <c r="F30" s="5">
        <v>0</v>
      </c>
      <c r="G30" s="5">
        <v>0</v>
      </c>
      <c r="H30" s="5">
        <v>0</v>
      </c>
      <c r="I30" s="5">
        <v>0</v>
      </c>
      <c r="J30" s="5">
        <v>0</v>
      </c>
      <c r="K30" s="5">
        <v>0</v>
      </c>
      <c r="M30" s="7">
        <f t="shared" si="0"/>
        <v>0</v>
      </c>
    </row>
    <row r="31" spans="2:13" x14ac:dyDescent="0.25">
      <c r="B31" t="s">
        <v>34</v>
      </c>
      <c r="C31" s="72" t="s">
        <v>27</v>
      </c>
      <c r="D31" s="72"/>
      <c r="E31" s="72"/>
      <c r="F31" s="5">
        <v>0</v>
      </c>
      <c r="G31" s="5">
        <v>0</v>
      </c>
      <c r="H31" s="5">
        <v>0</v>
      </c>
      <c r="I31" s="5">
        <v>0</v>
      </c>
      <c r="J31" s="5">
        <v>0</v>
      </c>
      <c r="K31" s="5">
        <v>0</v>
      </c>
      <c r="M31" s="7">
        <f t="shared" si="0"/>
        <v>0</v>
      </c>
    </row>
    <row r="32" spans="2:13" x14ac:dyDescent="0.25">
      <c r="B32" t="s">
        <v>33</v>
      </c>
      <c r="C32" t="s">
        <v>20</v>
      </c>
      <c r="D32" s="7">
        <v>400</v>
      </c>
      <c r="E32" t="s">
        <v>22</v>
      </c>
      <c r="F32" s="5">
        <v>0</v>
      </c>
      <c r="G32" s="5">
        <v>0</v>
      </c>
      <c r="H32" s="5">
        <v>0</v>
      </c>
      <c r="I32" s="5">
        <v>0</v>
      </c>
      <c r="J32" s="5">
        <v>0</v>
      </c>
      <c r="K32" s="5">
        <v>0</v>
      </c>
      <c r="M32" s="7">
        <f t="shared" si="0"/>
        <v>0</v>
      </c>
    </row>
    <row r="33" spans="3:13" x14ac:dyDescent="0.25">
      <c r="C33" t="s">
        <v>21</v>
      </c>
      <c r="D33" s="7">
        <v>300</v>
      </c>
      <c r="E33" t="s">
        <v>22</v>
      </c>
      <c r="F33" s="5">
        <v>0</v>
      </c>
      <c r="G33" s="5">
        <v>0</v>
      </c>
      <c r="H33" s="5">
        <v>0</v>
      </c>
      <c r="I33" s="5">
        <v>0</v>
      </c>
      <c r="J33" s="5">
        <v>0</v>
      </c>
      <c r="K33" s="5">
        <v>0</v>
      </c>
      <c r="M33" s="7">
        <f t="shared" si="0"/>
        <v>0</v>
      </c>
    </row>
    <row r="34" spans="3:13" x14ac:dyDescent="0.25">
      <c r="C34" t="s">
        <v>23</v>
      </c>
      <c r="D34" s="7">
        <v>250</v>
      </c>
      <c r="E34" t="s">
        <v>22</v>
      </c>
      <c r="F34" s="5">
        <v>0</v>
      </c>
      <c r="G34" s="5">
        <v>0</v>
      </c>
      <c r="H34" s="5">
        <v>0</v>
      </c>
      <c r="I34" s="5">
        <v>0</v>
      </c>
      <c r="J34" s="5">
        <v>0</v>
      </c>
      <c r="K34" s="5">
        <v>0</v>
      </c>
      <c r="M34" s="7">
        <f t="shared" si="0"/>
        <v>0</v>
      </c>
    </row>
    <row r="35" spans="3:13" x14ac:dyDescent="0.25">
      <c r="C35" s="72" t="s">
        <v>28</v>
      </c>
      <c r="D35" s="72"/>
      <c r="E35" s="72"/>
      <c r="F35" s="5">
        <v>0</v>
      </c>
      <c r="G35" s="5">
        <v>0</v>
      </c>
      <c r="H35" s="5">
        <v>0</v>
      </c>
      <c r="I35" s="5">
        <v>0</v>
      </c>
      <c r="J35" s="5">
        <v>0</v>
      </c>
      <c r="K35" s="5">
        <v>0</v>
      </c>
      <c r="M35" s="7">
        <f t="shared" si="0"/>
        <v>0</v>
      </c>
    </row>
    <row r="36" spans="3:13" x14ac:dyDescent="0.25">
      <c r="C36" t="s">
        <v>20</v>
      </c>
      <c r="D36" s="7">
        <v>650</v>
      </c>
      <c r="E36" t="s">
        <v>22</v>
      </c>
      <c r="F36" s="5">
        <v>0</v>
      </c>
      <c r="G36" s="5">
        <v>0</v>
      </c>
      <c r="H36" s="5">
        <v>0</v>
      </c>
      <c r="I36" s="5">
        <v>0</v>
      </c>
      <c r="J36" s="5">
        <v>0</v>
      </c>
      <c r="K36" s="5">
        <v>0</v>
      </c>
      <c r="M36" s="7">
        <f t="shared" si="0"/>
        <v>0</v>
      </c>
    </row>
    <row r="37" spans="3:13" x14ac:dyDescent="0.25">
      <c r="C37" t="s">
        <v>21</v>
      </c>
      <c r="D37" s="7">
        <v>500</v>
      </c>
      <c r="E37" t="s">
        <v>22</v>
      </c>
      <c r="F37" s="5">
        <v>0</v>
      </c>
      <c r="G37" s="5">
        <v>0</v>
      </c>
      <c r="H37" s="5">
        <v>0</v>
      </c>
      <c r="I37" s="5">
        <v>0</v>
      </c>
      <c r="J37" s="5">
        <v>0</v>
      </c>
      <c r="K37" s="5">
        <v>0</v>
      </c>
      <c r="M37" s="7">
        <f t="shared" si="0"/>
        <v>0</v>
      </c>
    </row>
    <row r="38" spans="3:13" x14ac:dyDescent="0.25">
      <c r="C38" t="s">
        <v>23</v>
      </c>
      <c r="D38" s="7">
        <v>450</v>
      </c>
      <c r="E38" t="s">
        <v>22</v>
      </c>
      <c r="F38" s="5">
        <v>0</v>
      </c>
      <c r="G38" s="5">
        <v>0</v>
      </c>
      <c r="H38" s="5">
        <v>0</v>
      </c>
      <c r="I38" s="5">
        <v>0</v>
      </c>
      <c r="J38" s="5">
        <v>0</v>
      </c>
      <c r="K38" s="5">
        <v>0</v>
      </c>
      <c r="M38" s="7">
        <f t="shared" si="0"/>
        <v>0</v>
      </c>
    </row>
    <row r="39" spans="3:13" x14ac:dyDescent="0.25">
      <c r="M39" s="7"/>
    </row>
    <row r="40" spans="3:13" x14ac:dyDescent="0.25">
      <c r="M40" s="7"/>
    </row>
    <row r="41" spans="3:13" x14ac:dyDescent="0.25">
      <c r="M41" s="7"/>
    </row>
    <row r="42" spans="3:13" x14ac:dyDescent="0.25">
      <c r="M42" s="7"/>
    </row>
  </sheetData>
  <mergeCells count="10">
    <mergeCell ref="F2:K2"/>
    <mergeCell ref="C3:E3"/>
    <mergeCell ref="C7:E7"/>
    <mergeCell ref="C11:E11"/>
    <mergeCell ref="C15:E15"/>
    <mergeCell ref="C19:E19"/>
    <mergeCell ref="C23:E23"/>
    <mergeCell ref="C27:E27"/>
    <mergeCell ref="C31:E31"/>
    <mergeCell ref="C35:E3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2"/>
  <sheetViews>
    <sheetView workbookViewId="0">
      <selection activeCell="B23" sqref="B23"/>
    </sheetView>
  </sheetViews>
  <sheetFormatPr defaultColWidth="8.85546875" defaultRowHeight="15" x14ac:dyDescent="0.25"/>
  <cols>
    <col min="1" max="1" width="1.42578125" customWidth="1"/>
    <col min="2" max="2" width="56" bestFit="1" customWidth="1"/>
    <col min="3" max="3" width="10.28515625" bestFit="1" customWidth="1"/>
    <col min="4" max="4" width="8.85546875" bestFit="1" customWidth="1"/>
    <col min="6" max="6" width="15.7109375" bestFit="1" customWidth="1"/>
    <col min="7" max="7" width="19.28515625" bestFit="1" customWidth="1"/>
    <col min="8" max="8" width="19.28515625" customWidth="1"/>
    <col min="9" max="9" width="11.28515625" bestFit="1" customWidth="1"/>
    <col min="10" max="10" width="10.7109375" bestFit="1" customWidth="1"/>
  </cols>
  <sheetData>
    <row r="1" spans="2:13" ht="8.25" customHeight="1" thickBot="1" x14ac:dyDescent="0.3"/>
    <row r="2" spans="2:13" ht="15.75" thickBot="1" x14ac:dyDescent="0.3">
      <c r="C2" s="6"/>
      <c r="D2" s="6"/>
      <c r="F2" s="73" t="s">
        <v>17</v>
      </c>
      <c r="G2" s="74"/>
      <c r="H2" s="74"/>
      <c r="I2" s="74"/>
      <c r="J2" s="74"/>
      <c r="K2" s="75"/>
    </row>
    <row r="3" spans="2:13" ht="15.75" thickBot="1" x14ac:dyDescent="0.3">
      <c r="B3" s="1" t="s">
        <v>0</v>
      </c>
      <c r="C3" s="76" t="s">
        <v>19</v>
      </c>
      <c r="D3" s="77"/>
      <c r="E3" s="78"/>
      <c r="F3" s="2" t="s">
        <v>12</v>
      </c>
      <c r="G3" s="3" t="s">
        <v>13</v>
      </c>
      <c r="H3" s="3" t="s">
        <v>18</v>
      </c>
      <c r="I3" s="3" t="s">
        <v>14</v>
      </c>
      <c r="J3" s="3" t="s">
        <v>15</v>
      </c>
      <c r="K3" s="4" t="s">
        <v>16</v>
      </c>
      <c r="M3" s="8" t="s">
        <v>24</v>
      </c>
    </row>
    <row r="4" spans="2:13" x14ac:dyDescent="0.25">
      <c r="B4" t="s">
        <v>35</v>
      </c>
      <c r="C4" t="s">
        <v>20</v>
      </c>
      <c r="D4" s="7">
        <v>370</v>
      </c>
      <c r="E4" t="s">
        <v>22</v>
      </c>
      <c r="F4" s="5">
        <v>0</v>
      </c>
      <c r="G4" s="5">
        <v>0</v>
      </c>
      <c r="H4" s="5">
        <v>0</v>
      </c>
      <c r="I4" s="5">
        <v>0</v>
      </c>
      <c r="J4" s="5">
        <v>0</v>
      </c>
      <c r="K4" s="5">
        <v>0</v>
      </c>
      <c r="M4" s="9">
        <f>SUM(F4:L4)</f>
        <v>0</v>
      </c>
    </row>
    <row r="5" spans="2:13" x14ac:dyDescent="0.25">
      <c r="C5" t="s">
        <v>21</v>
      </c>
      <c r="D5" s="7">
        <v>280</v>
      </c>
      <c r="E5" t="s">
        <v>22</v>
      </c>
      <c r="F5" s="5">
        <v>0</v>
      </c>
      <c r="G5" s="5">
        <v>0</v>
      </c>
      <c r="H5" s="5">
        <v>0</v>
      </c>
      <c r="I5" s="5">
        <v>0</v>
      </c>
      <c r="J5" s="5">
        <v>0</v>
      </c>
      <c r="K5" s="5">
        <v>0</v>
      </c>
      <c r="M5" s="7">
        <f t="shared" ref="M5:M12" si="0">SUM(F5:L5)</f>
        <v>0</v>
      </c>
    </row>
    <row r="6" spans="2:13" x14ac:dyDescent="0.25">
      <c r="C6" t="s">
        <v>23</v>
      </c>
      <c r="D6" s="7">
        <v>200</v>
      </c>
      <c r="E6" t="s">
        <v>22</v>
      </c>
      <c r="F6" s="5">
        <v>0</v>
      </c>
      <c r="G6" s="5">
        <v>0</v>
      </c>
      <c r="H6" s="5">
        <v>0</v>
      </c>
      <c r="I6" s="5">
        <v>0</v>
      </c>
      <c r="J6" s="5">
        <v>0</v>
      </c>
      <c r="K6" s="5">
        <v>0</v>
      </c>
      <c r="M6" s="7">
        <f t="shared" si="0"/>
        <v>0</v>
      </c>
    </row>
    <row r="7" spans="2:13" x14ac:dyDescent="0.25">
      <c r="B7" t="s">
        <v>37</v>
      </c>
      <c r="C7" t="s">
        <v>20</v>
      </c>
      <c r="D7" s="7">
        <v>950</v>
      </c>
      <c r="E7" t="s">
        <v>22</v>
      </c>
      <c r="F7" s="5">
        <v>0</v>
      </c>
      <c r="G7" s="5">
        <v>0</v>
      </c>
      <c r="H7" s="5">
        <v>0</v>
      </c>
      <c r="I7" s="5">
        <v>0</v>
      </c>
      <c r="J7" s="5">
        <v>0</v>
      </c>
      <c r="K7" s="5">
        <v>0</v>
      </c>
      <c r="M7" s="7">
        <f t="shared" si="0"/>
        <v>0</v>
      </c>
    </row>
    <row r="8" spans="2:13" x14ac:dyDescent="0.25">
      <c r="C8" t="s">
        <v>21</v>
      </c>
      <c r="D8" s="7">
        <v>550</v>
      </c>
      <c r="E8" t="s">
        <v>22</v>
      </c>
      <c r="F8" s="5">
        <v>0</v>
      </c>
      <c r="G8" s="5">
        <v>0</v>
      </c>
      <c r="H8" s="5">
        <v>0</v>
      </c>
      <c r="I8" s="5">
        <v>0</v>
      </c>
      <c r="J8" s="5">
        <v>0</v>
      </c>
      <c r="K8" s="5">
        <v>0</v>
      </c>
      <c r="M8" s="7">
        <f t="shared" si="0"/>
        <v>0</v>
      </c>
    </row>
    <row r="9" spans="2:13" x14ac:dyDescent="0.25">
      <c r="C9" t="s">
        <v>23</v>
      </c>
      <c r="D9" s="7">
        <v>450</v>
      </c>
      <c r="E9" t="s">
        <v>22</v>
      </c>
      <c r="F9" s="5">
        <v>0</v>
      </c>
      <c r="G9" s="5">
        <v>0</v>
      </c>
      <c r="H9" s="5">
        <v>0</v>
      </c>
      <c r="I9" s="5">
        <v>0</v>
      </c>
      <c r="J9" s="5">
        <v>0</v>
      </c>
      <c r="K9" s="5">
        <v>0</v>
      </c>
      <c r="M9" s="7">
        <f t="shared" si="0"/>
        <v>0</v>
      </c>
    </row>
    <row r="10" spans="2:13" x14ac:dyDescent="0.25">
      <c r="B10" t="s">
        <v>36</v>
      </c>
      <c r="C10" t="s">
        <v>20</v>
      </c>
      <c r="D10" s="7">
        <v>450</v>
      </c>
      <c r="E10" t="s">
        <v>22</v>
      </c>
      <c r="F10" s="5">
        <v>0</v>
      </c>
      <c r="G10" s="5">
        <v>0</v>
      </c>
      <c r="H10" s="5">
        <v>0</v>
      </c>
      <c r="I10" s="5">
        <v>0</v>
      </c>
      <c r="J10" s="5">
        <v>0</v>
      </c>
      <c r="K10" s="5">
        <v>0</v>
      </c>
      <c r="M10" s="7">
        <f t="shared" si="0"/>
        <v>0</v>
      </c>
    </row>
    <row r="11" spans="2:13" x14ac:dyDescent="0.25">
      <c r="C11" t="s">
        <v>21</v>
      </c>
      <c r="D11" s="7">
        <v>300</v>
      </c>
      <c r="E11" t="s">
        <v>22</v>
      </c>
      <c r="F11" s="5">
        <v>0</v>
      </c>
      <c r="G11" s="5">
        <v>0</v>
      </c>
      <c r="H11" s="5">
        <v>0</v>
      </c>
      <c r="I11" s="5">
        <v>0</v>
      </c>
      <c r="J11" s="5">
        <v>0</v>
      </c>
      <c r="K11" s="5">
        <v>0</v>
      </c>
      <c r="M11" s="7">
        <f t="shared" si="0"/>
        <v>0</v>
      </c>
    </row>
    <row r="12" spans="2:13" x14ac:dyDescent="0.25">
      <c r="C12" t="s">
        <v>23</v>
      </c>
      <c r="D12" s="7">
        <v>250</v>
      </c>
      <c r="E12" t="s">
        <v>22</v>
      </c>
      <c r="F12" s="5">
        <v>0</v>
      </c>
      <c r="G12" s="5">
        <v>0</v>
      </c>
      <c r="H12" s="5">
        <v>0</v>
      </c>
      <c r="I12" s="5">
        <v>0</v>
      </c>
      <c r="J12" s="5">
        <v>0</v>
      </c>
      <c r="K12" s="5">
        <v>0</v>
      </c>
      <c r="M12" s="7">
        <f t="shared" si="0"/>
        <v>0</v>
      </c>
    </row>
  </sheetData>
  <mergeCells count="2">
    <mergeCell ref="F2:K2"/>
    <mergeCell ref="C3:E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48"/>
  <sheetViews>
    <sheetView zoomScale="125" workbookViewId="0">
      <selection activeCell="E21" sqref="E21"/>
    </sheetView>
  </sheetViews>
  <sheetFormatPr defaultColWidth="8.85546875" defaultRowHeight="15" x14ac:dyDescent="0.25"/>
  <cols>
    <col min="1" max="1" width="56" bestFit="1" customWidth="1"/>
    <col min="2" max="2" width="15" customWidth="1"/>
    <col min="3" max="3" width="12.42578125" bestFit="1" customWidth="1"/>
    <col min="5" max="5" width="34" customWidth="1"/>
    <col min="6" max="6" width="10" bestFit="1" customWidth="1"/>
    <col min="9" max="9" width="15.85546875" bestFit="1" customWidth="1"/>
    <col min="10" max="10" width="10.85546875" bestFit="1" customWidth="1"/>
    <col min="11" max="11" width="9.140625" customWidth="1"/>
  </cols>
  <sheetData>
    <row r="1" spans="1:11" x14ac:dyDescent="0.25">
      <c r="D1" s="12" t="s">
        <v>40</v>
      </c>
    </row>
    <row r="2" spans="1:11" x14ac:dyDescent="0.25">
      <c r="C2" t="s">
        <v>39</v>
      </c>
      <c r="D2" s="13" t="s">
        <v>41</v>
      </c>
      <c r="E2" s="13" t="s">
        <v>42</v>
      </c>
      <c r="F2" s="13" t="s">
        <v>43</v>
      </c>
      <c r="G2" s="13" t="s">
        <v>44</v>
      </c>
      <c r="H2" s="13" t="s">
        <v>45</v>
      </c>
      <c r="I2" s="13" t="s">
        <v>47</v>
      </c>
      <c r="J2" s="13" t="s">
        <v>46</v>
      </c>
    </row>
    <row r="3" spans="1:11" x14ac:dyDescent="0.25">
      <c r="A3" s="10" t="s">
        <v>35</v>
      </c>
      <c r="B3" s="10" t="s">
        <v>20</v>
      </c>
      <c r="C3" s="11">
        <v>370</v>
      </c>
    </row>
    <row r="4" spans="1:11" x14ac:dyDescent="0.25">
      <c r="A4" s="10"/>
      <c r="B4" s="10" t="s">
        <v>21</v>
      </c>
      <c r="C4" s="11">
        <v>280</v>
      </c>
    </row>
    <row r="5" spans="1:11" x14ac:dyDescent="0.25">
      <c r="A5" s="10"/>
      <c r="B5" s="10" t="s">
        <v>23</v>
      </c>
      <c r="C5" s="11">
        <v>200</v>
      </c>
    </row>
    <row r="6" spans="1:11" x14ac:dyDescent="0.25">
      <c r="A6" s="10" t="s">
        <v>37</v>
      </c>
      <c r="B6" s="10" t="s">
        <v>20</v>
      </c>
      <c r="C6" s="11">
        <v>950</v>
      </c>
    </row>
    <row r="7" spans="1:11" x14ac:dyDescent="0.25">
      <c r="A7" s="10"/>
      <c r="B7" s="10" t="s">
        <v>21</v>
      </c>
      <c r="C7" s="11">
        <v>550</v>
      </c>
    </row>
    <row r="8" spans="1:11" x14ac:dyDescent="0.25">
      <c r="A8" s="10"/>
      <c r="B8" s="10" t="s">
        <v>23</v>
      </c>
      <c r="C8" s="11">
        <v>450</v>
      </c>
    </row>
    <row r="9" spans="1:11" x14ac:dyDescent="0.25">
      <c r="A9" s="10" t="s">
        <v>36</v>
      </c>
      <c r="B9" s="10" t="s">
        <v>20</v>
      </c>
      <c r="C9" s="11">
        <v>450</v>
      </c>
    </row>
    <row r="10" spans="1:11" x14ac:dyDescent="0.25">
      <c r="A10" s="10"/>
      <c r="B10" s="10" t="s">
        <v>21</v>
      </c>
      <c r="C10" s="11">
        <v>300</v>
      </c>
    </row>
    <row r="11" spans="1:11" x14ac:dyDescent="0.25">
      <c r="A11" s="10"/>
      <c r="B11" s="10" t="s">
        <v>23</v>
      </c>
      <c r="C11" s="11">
        <v>250</v>
      </c>
    </row>
    <row r="12" spans="1:11" x14ac:dyDescent="0.25">
      <c r="A12" s="10" t="s">
        <v>29</v>
      </c>
      <c r="B12" s="10" t="s">
        <v>20</v>
      </c>
      <c r="C12" s="11">
        <v>450</v>
      </c>
    </row>
    <row r="13" spans="1:11" x14ac:dyDescent="0.25">
      <c r="A13" s="10"/>
      <c r="B13" s="10" t="s">
        <v>21</v>
      </c>
      <c r="C13" s="11">
        <v>300</v>
      </c>
    </row>
    <row r="14" spans="1:11" x14ac:dyDescent="0.25">
      <c r="A14" s="10"/>
      <c r="B14" s="10" t="s">
        <v>23</v>
      </c>
      <c r="C14" s="11">
        <v>250</v>
      </c>
    </row>
    <row r="15" spans="1:11" x14ac:dyDescent="0.25">
      <c r="A15" s="10"/>
      <c r="B15" s="10"/>
      <c r="C15" s="15"/>
    </row>
    <row r="16" spans="1:11" x14ac:dyDescent="0.25">
      <c r="A16" s="19"/>
      <c r="B16" s="19"/>
      <c r="C16" s="20" t="s">
        <v>40</v>
      </c>
      <c r="D16" s="21"/>
      <c r="E16" s="21"/>
      <c r="F16" s="21"/>
      <c r="G16" s="21"/>
      <c r="H16" s="21"/>
      <c r="I16" s="21"/>
      <c r="J16" s="21"/>
      <c r="K16" t="s">
        <v>33</v>
      </c>
    </row>
    <row r="17" spans="1:5" x14ac:dyDescent="0.25">
      <c r="A17" s="10" t="s">
        <v>30</v>
      </c>
      <c r="B17" s="79" t="s">
        <v>38</v>
      </c>
      <c r="C17" s="79"/>
      <c r="E17" t="s">
        <v>48</v>
      </c>
    </row>
    <row r="18" spans="1:5" x14ac:dyDescent="0.25">
      <c r="A18" s="10" t="s">
        <v>26</v>
      </c>
      <c r="B18" s="14" t="s">
        <v>20</v>
      </c>
      <c r="C18" s="11">
        <v>400</v>
      </c>
    </row>
    <row r="19" spans="1:5" x14ac:dyDescent="0.25">
      <c r="A19" s="10"/>
      <c r="B19" s="14" t="s">
        <v>21</v>
      </c>
      <c r="C19" s="11">
        <v>300</v>
      </c>
    </row>
    <row r="20" spans="1:5" x14ac:dyDescent="0.25">
      <c r="A20" s="10"/>
      <c r="B20" s="14" t="s">
        <v>23</v>
      </c>
      <c r="C20" s="11">
        <v>250</v>
      </c>
    </row>
    <row r="21" spans="1:5" x14ac:dyDescent="0.25">
      <c r="A21" s="10"/>
      <c r="B21" s="79" t="s">
        <v>28</v>
      </c>
      <c r="C21" s="79"/>
    </row>
    <row r="22" spans="1:5" x14ac:dyDescent="0.25">
      <c r="A22" s="10"/>
      <c r="B22" s="14" t="s">
        <v>20</v>
      </c>
      <c r="C22" s="11">
        <v>650</v>
      </c>
    </row>
    <row r="23" spans="1:5" x14ac:dyDescent="0.25">
      <c r="A23" s="10" t="s">
        <v>26</v>
      </c>
      <c r="B23" s="14" t="s">
        <v>21</v>
      </c>
      <c r="C23" s="11">
        <v>500</v>
      </c>
    </row>
    <row r="24" spans="1:5" x14ac:dyDescent="0.25">
      <c r="A24" s="10"/>
      <c r="B24" s="14" t="s">
        <v>23</v>
      </c>
      <c r="C24" s="11">
        <v>450</v>
      </c>
    </row>
    <row r="25" spans="1:5" x14ac:dyDescent="0.25">
      <c r="A25" s="10" t="s">
        <v>31</v>
      </c>
      <c r="B25" s="79" t="s">
        <v>27</v>
      </c>
      <c r="C25" s="79"/>
    </row>
    <row r="26" spans="1:5" x14ac:dyDescent="0.25">
      <c r="A26" s="10"/>
      <c r="B26" s="14" t="s">
        <v>20</v>
      </c>
      <c r="C26" s="11">
        <v>400</v>
      </c>
    </row>
    <row r="27" spans="1:5" x14ac:dyDescent="0.25">
      <c r="A27" s="10"/>
      <c r="B27" s="14" t="s">
        <v>21</v>
      </c>
      <c r="C27" s="11">
        <v>300</v>
      </c>
    </row>
    <row r="28" spans="1:5" x14ac:dyDescent="0.25">
      <c r="A28" s="10"/>
      <c r="B28" s="14" t="s">
        <v>23</v>
      </c>
      <c r="C28" s="11">
        <v>250</v>
      </c>
    </row>
    <row r="29" spans="1:5" x14ac:dyDescent="0.25">
      <c r="A29" s="10"/>
      <c r="B29" s="79" t="s">
        <v>28</v>
      </c>
      <c r="C29" s="79"/>
    </row>
    <row r="30" spans="1:5" x14ac:dyDescent="0.25">
      <c r="A30" s="10"/>
      <c r="B30" s="14" t="s">
        <v>20</v>
      </c>
      <c r="C30" s="11">
        <v>650</v>
      </c>
    </row>
    <row r="31" spans="1:5" x14ac:dyDescent="0.25">
      <c r="A31" s="10"/>
      <c r="B31" s="14" t="s">
        <v>21</v>
      </c>
      <c r="C31" s="11">
        <v>500</v>
      </c>
    </row>
    <row r="32" spans="1:5" x14ac:dyDescent="0.25">
      <c r="A32" s="10"/>
      <c r="B32" s="14" t="s">
        <v>23</v>
      </c>
      <c r="C32" s="11">
        <v>450</v>
      </c>
    </row>
    <row r="33" spans="1:3" x14ac:dyDescent="0.25">
      <c r="A33" s="10" t="s">
        <v>32</v>
      </c>
      <c r="B33" s="79" t="s">
        <v>27</v>
      </c>
      <c r="C33" s="79"/>
    </row>
    <row r="34" spans="1:3" x14ac:dyDescent="0.25">
      <c r="A34" s="10"/>
      <c r="B34" s="14" t="s">
        <v>20</v>
      </c>
      <c r="C34" s="11">
        <v>400</v>
      </c>
    </row>
    <row r="35" spans="1:3" x14ac:dyDescent="0.25">
      <c r="A35" s="10"/>
      <c r="B35" s="14" t="s">
        <v>21</v>
      </c>
      <c r="C35" s="11">
        <v>300</v>
      </c>
    </row>
    <row r="36" spans="1:3" x14ac:dyDescent="0.25">
      <c r="A36" s="10"/>
      <c r="B36" s="14" t="s">
        <v>23</v>
      </c>
      <c r="C36" s="11">
        <v>250</v>
      </c>
    </row>
    <row r="37" spans="1:3" x14ac:dyDescent="0.25">
      <c r="A37" s="10"/>
      <c r="B37" s="79" t="s">
        <v>28</v>
      </c>
      <c r="C37" s="79"/>
    </row>
    <row r="38" spans="1:3" x14ac:dyDescent="0.25">
      <c r="A38" s="10"/>
      <c r="B38" s="14" t="s">
        <v>20</v>
      </c>
      <c r="C38" s="11">
        <v>650</v>
      </c>
    </row>
    <row r="39" spans="1:3" x14ac:dyDescent="0.25">
      <c r="A39" s="10"/>
      <c r="B39" s="14" t="s">
        <v>21</v>
      </c>
      <c r="C39" s="11">
        <v>500</v>
      </c>
    </row>
    <row r="40" spans="1:3" x14ac:dyDescent="0.25">
      <c r="A40" s="10"/>
      <c r="B40" s="14" t="s">
        <v>23</v>
      </c>
      <c r="C40" s="11">
        <v>450</v>
      </c>
    </row>
    <row r="41" spans="1:3" x14ac:dyDescent="0.25">
      <c r="A41" s="10" t="s">
        <v>34</v>
      </c>
      <c r="B41" s="79" t="s">
        <v>27</v>
      </c>
      <c r="C41" s="79"/>
    </row>
    <row r="42" spans="1:3" x14ac:dyDescent="0.25">
      <c r="A42" s="10" t="s">
        <v>33</v>
      </c>
      <c r="B42" s="14" t="s">
        <v>20</v>
      </c>
      <c r="C42" s="11">
        <v>400</v>
      </c>
    </row>
    <row r="43" spans="1:3" x14ac:dyDescent="0.25">
      <c r="A43" s="10"/>
      <c r="B43" s="14" t="s">
        <v>21</v>
      </c>
      <c r="C43" s="11">
        <v>300</v>
      </c>
    </row>
    <row r="44" spans="1:3" x14ac:dyDescent="0.25">
      <c r="A44" s="10"/>
      <c r="B44" s="14" t="s">
        <v>23</v>
      </c>
      <c r="C44" s="11">
        <v>250</v>
      </c>
    </row>
    <row r="45" spans="1:3" x14ac:dyDescent="0.25">
      <c r="A45" s="10"/>
      <c r="B45" s="79" t="s">
        <v>28</v>
      </c>
      <c r="C45" s="79"/>
    </row>
    <row r="46" spans="1:3" x14ac:dyDescent="0.25">
      <c r="A46" s="10"/>
      <c r="B46" s="14" t="s">
        <v>20</v>
      </c>
      <c r="C46" s="11">
        <v>650</v>
      </c>
    </row>
    <row r="47" spans="1:3" x14ac:dyDescent="0.25">
      <c r="A47" s="10"/>
      <c r="B47" s="14" t="s">
        <v>21</v>
      </c>
      <c r="C47" s="11">
        <v>500</v>
      </c>
    </row>
    <row r="48" spans="1:3" x14ac:dyDescent="0.25">
      <c r="A48" s="10"/>
      <c r="B48" s="14" t="s">
        <v>23</v>
      </c>
      <c r="C48" s="11">
        <v>450</v>
      </c>
    </row>
  </sheetData>
  <mergeCells count="8">
    <mergeCell ref="B41:C41"/>
    <mergeCell ref="B45:C45"/>
    <mergeCell ref="B17:C17"/>
    <mergeCell ref="B21:C21"/>
    <mergeCell ref="B25:C25"/>
    <mergeCell ref="B29:C29"/>
    <mergeCell ref="B33:C33"/>
    <mergeCell ref="B37:C37"/>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KILIMANJARO</vt:lpstr>
      <vt:lpstr>Calculation notes</vt:lpstr>
      <vt:lpstr>SAFARI</vt:lpstr>
      <vt:lpstr>OTHER OFF</vt:lpstr>
      <vt:lpstr>Day Trips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Jurgis</dc:creator>
  <cp:lastModifiedBy>dinah karia</cp:lastModifiedBy>
  <dcterms:created xsi:type="dcterms:W3CDTF">2020-02-16T17:20:10Z</dcterms:created>
  <dcterms:modified xsi:type="dcterms:W3CDTF">2020-03-25T11:26:47Z</dcterms:modified>
</cp:coreProperties>
</file>