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AAC5DCF-D908-4668-9E25-D6FEE11D308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In vivo results" sheetId="14" r:id="rId1"/>
    <sheet name="Removed" sheetId="50" r:id="rId2"/>
  </sheets>
  <definedNames>
    <definedName name="_xlnm._FilterDatabase" localSheetId="0" hidden="1">'In vivo results'!$A$1:$M$1448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49" i="14" l="1"/>
  <c r="L449" i="14"/>
  <c r="E449" i="14"/>
  <c r="K448" i="14"/>
  <c r="L448" i="14"/>
  <c r="E448" i="14"/>
  <c r="K447" i="14"/>
  <c r="L447" i="14"/>
  <c r="E447" i="14"/>
  <c r="K446" i="14"/>
  <c r="L446" i="14"/>
  <c r="E446" i="14"/>
  <c r="K445" i="14"/>
  <c r="L445" i="14"/>
  <c r="E445" i="14"/>
  <c r="K444" i="14"/>
  <c r="L444" i="14"/>
  <c r="E444" i="14"/>
  <c r="K443" i="14"/>
  <c r="L443" i="14"/>
  <c r="E443" i="14"/>
  <c r="K442" i="14"/>
  <c r="L442" i="14"/>
  <c r="E442" i="14"/>
  <c r="K441" i="14"/>
  <c r="L441" i="14"/>
  <c r="E441" i="14"/>
  <c r="K440" i="14"/>
  <c r="L440" i="14"/>
  <c r="E440" i="14"/>
  <c r="K439" i="14"/>
  <c r="L439" i="14"/>
  <c r="E439" i="14"/>
  <c r="K438" i="14"/>
  <c r="L438" i="14"/>
  <c r="E438" i="14"/>
  <c r="K437" i="14"/>
  <c r="L437" i="14"/>
  <c r="E437" i="14"/>
  <c r="K436" i="14"/>
  <c r="L436" i="14"/>
  <c r="E436" i="14"/>
  <c r="K435" i="14"/>
  <c r="L435" i="14"/>
  <c r="E435" i="14"/>
  <c r="K434" i="14"/>
  <c r="L434" i="14"/>
  <c r="E434" i="14"/>
  <c r="K433" i="14"/>
  <c r="L433" i="14"/>
  <c r="E433" i="14"/>
  <c r="K432" i="14"/>
  <c r="L432" i="14"/>
  <c r="E432" i="14"/>
  <c r="K431" i="14"/>
  <c r="L431" i="14"/>
  <c r="E431" i="14"/>
  <c r="K430" i="14"/>
  <c r="L430" i="14"/>
  <c r="E430" i="14"/>
  <c r="K429" i="14"/>
  <c r="L429" i="14"/>
  <c r="E429" i="14"/>
  <c r="K428" i="14"/>
  <c r="L428" i="14"/>
  <c r="E428" i="14"/>
  <c r="K427" i="14"/>
  <c r="L427" i="14"/>
  <c r="E427" i="14"/>
  <c r="K426" i="14"/>
  <c r="L426" i="14"/>
  <c r="E426" i="14"/>
  <c r="K425" i="14"/>
  <c r="L425" i="14"/>
  <c r="E425" i="14"/>
  <c r="K424" i="14"/>
  <c r="L424" i="14"/>
  <c r="E424" i="14"/>
  <c r="K423" i="14"/>
  <c r="L423" i="14"/>
  <c r="E423" i="14"/>
  <c r="K422" i="14"/>
  <c r="L422" i="14"/>
  <c r="E422" i="14"/>
  <c r="K421" i="14"/>
  <c r="L421" i="14"/>
  <c r="E421" i="14"/>
  <c r="K420" i="14"/>
  <c r="L420" i="14"/>
  <c r="E420" i="14"/>
  <c r="K419" i="14"/>
  <c r="L419" i="14"/>
  <c r="E419" i="14"/>
  <c r="K418" i="14"/>
  <c r="L418" i="14"/>
  <c r="E418" i="14"/>
  <c r="L417" i="14"/>
  <c r="K417" i="14"/>
  <c r="E417" i="14"/>
  <c r="L416" i="14"/>
  <c r="K416" i="14"/>
  <c r="E416" i="14"/>
  <c r="L415" i="14"/>
  <c r="K415" i="14"/>
  <c r="E414" i="14"/>
  <c r="E415" i="14"/>
  <c r="L414" i="14"/>
  <c r="K414" i="14"/>
  <c r="E413" i="14"/>
  <c r="E412" i="14"/>
  <c r="L411" i="14"/>
  <c r="K411" i="14"/>
  <c r="E411" i="14"/>
  <c r="L410" i="14"/>
  <c r="K410" i="14"/>
  <c r="E410" i="14"/>
  <c r="E409" i="14"/>
  <c r="E408" i="14"/>
  <c r="E407" i="14"/>
  <c r="K406" i="14"/>
  <c r="L406" i="14"/>
  <c r="E406" i="14"/>
  <c r="K405" i="14"/>
  <c r="L405" i="14"/>
  <c r="E405" i="14"/>
  <c r="K404" i="14"/>
  <c r="L404" i="14"/>
  <c r="E404" i="14"/>
  <c r="K403" i="14"/>
  <c r="L403" i="14"/>
  <c r="E403" i="14"/>
  <c r="K402" i="14"/>
  <c r="L402" i="14"/>
  <c r="E402" i="14"/>
  <c r="K401" i="14"/>
  <c r="L401" i="14"/>
  <c r="E401" i="14"/>
  <c r="L400" i="14"/>
  <c r="K400" i="14"/>
  <c r="E400" i="14"/>
  <c r="E399" i="14"/>
  <c r="K398" i="14"/>
  <c r="L398" i="14"/>
  <c r="E398" i="14"/>
  <c r="E397" i="14"/>
  <c r="K397" i="14"/>
  <c r="L397" i="14"/>
  <c r="E396" i="14"/>
  <c r="K396" i="14"/>
  <c r="L396" i="14"/>
  <c r="E395" i="14"/>
  <c r="K395" i="14"/>
  <c r="L395" i="14"/>
  <c r="L394" i="14"/>
  <c r="K394" i="14"/>
  <c r="E394" i="14"/>
  <c r="E393" i="14"/>
  <c r="E392" i="14"/>
  <c r="K392" i="14"/>
  <c r="L392" i="14"/>
  <c r="E391" i="14"/>
  <c r="K391" i="14"/>
  <c r="L391" i="14"/>
  <c r="E388" i="14"/>
  <c r="K388" i="14"/>
  <c r="L388" i="14"/>
  <c r="E390" i="14"/>
  <c r="K390" i="14"/>
  <c r="L390" i="14"/>
  <c r="K389" i="14"/>
  <c r="L389" i="14"/>
  <c r="E389" i="14"/>
  <c r="L14" i="50"/>
  <c r="K14" i="50"/>
  <c r="E14" i="50"/>
  <c r="L13" i="50"/>
  <c r="K13" i="50"/>
  <c r="E13" i="50"/>
  <c r="L12" i="50"/>
  <c r="K12" i="50"/>
  <c r="E12" i="50"/>
  <c r="L11" i="50"/>
  <c r="K11" i="50"/>
  <c r="E11" i="50"/>
  <c r="L10" i="50"/>
  <c r="K10" i="50"/>
  <c r="E10" i="50"/>
  <c r="E9" i="50"/>
  <c r="L8" i="50"/>
  <c r="K8" i="50"/>
  <c r="E8" i="50"/>
  <c r="L7" i="50"/>
  <c r="K7" i="50"/>
  <c r="E7" i="50"/>
  <c r="L6" i="50"/>
  <c r="K6" i="50"/>
  <c r="E6" i="50"/>
  <c r="L5" i="50"/>
  <c r="K5" i="50"/>
  <c r="L4" i="50"/>
  <c r="K4" i="50"/>
  <c r="E4" i="50"/>
  <c r="L3" i="50"/>
  <c r="K3" i="50"/>
  <c r="E3" i="50"/>
  <c r="L2" i="50"/>
  <c r="K2" i="50"/>
  <c r="E2" i="50"/>
  <c r="L1" i="50"/>
  <c r="K1" i="50"/>
  <c r="E1" i="50"/>
  <c r="K940" i="14"/>
  <c r="L940" i="14"/>
  <c r="K941" i="14"/>
  <c r="L941" i="14"/>
  <c r="K942" i="14"/>
  <c r="L942" i="14"/>
  <c r="K943" i="14"/>
  <c r="L943" i="14"/>
  <c r="K947" i="14"/>
  <c r="L947" i="14"/>
  <c r="K948" i="14"/>
  <c r="L948" i="14"/>
  <c r="K950" i="14"/>
  <c r="L950" i="14"/>
  <c r="K953" i="14"/>
  <c r="L953" i="14"/>
  <c r="K954" i="14"/>
  <c r="L954" i="14"/>
  <c r="K955" i="14"/>
  <c r="L955" i="14"/>
  <c r="K956" i="14"/>
  <c r="L956" i="14"/>
  <c r="K957" i="14"/>
  <c r="L957" i="14"/>
  <c r="K959" i="14"/>
  <c r="L959" i="14"/>
  <c r="K960" i="14"/>
  <c r="L960" i="14"/>
  <c r="K961" i="14"/>
  <c r="L961" i="14"/>
  <c r="K962" i="14"/>
  <c r="L962" i="14"/>
  <c r="K963" i="14"/>
  <c r="L963" i="14"/>
  <c r="K964" i="14"/>
  <c r="L964" i="14"/>
  <c r="K965" i="14"/>
  <c r="L965" i="14"/>
  <c r="K966" i="14"/>
  <c r="L966" i="14"/>
  <c r="K967" i="14"/>
  <c r="L967" i="14"/>
  <c r="K971" i="14"/>
  <c r="L971" i="14"/>
  <c r="K972" i="14"/>
  <c r="L972" i="14"/>
  <c r="K974" i="14"/>
  <c r="L974" i="14"/>
  <c r="K975" i="14"/>
  <c r="L975" i="14"/>
  <c r="K976" i="14"/>
  <c r="L976" i="14"/>
  <c r="K977" i="14"/>
  <c r="L977" i="14"/>
  <c r="K978" i="14"/>
  <c r="L978" i="14"/>
  <c r="K979" i="14"/>
  <c r="L979" i="14"/>
  <c r="K981" i="14"/>
  <c r="L981" i="14"/>
  <c r="K982" i="14"/>
  <c r="L982" i="14"/>
  <c r="K983" i="14"/>
  <c r="L983" i="14"/>
  <c r="K984" i="14"/>
  <c r="L984" i="14"/>
  <c r="K985" i="14"/>
  <c r="L985" i="14"/>
  <c r="K986" i="14"/>
  <c r="L986" i="14"/>
  <c r="K987" i="14"/>
  <c r="L987" i="14"/>
  <c r="K988" i="14"/>
  <c r="L988" i="14"/>
  <c r="K989" i="14"/>
  <c r="L989" i="14"/>
  <c r="K990" i="14"/>
  <c r="L990" i="14"/>
  <c r="K991" i="14"/>
  <c r="L991" i="14"/>
  <c r="K992" i="14"/>
  <c r="L992" i="14"/>
  <c r="K993" i="14"/>
  <c r="L993" i="14"/>
  <c r="K994" i="14"/>
  <c r="L994" i="14"/>
  <c r="K995" i="14"/>
  <c r="L995" i="14"/>
  <c r="K998" i="14"/>
  <c r="L998" i="14"/>
  <c r="K999" i="14"/>
  <c r="L999" i="14"/>
  <c r="K1000" i="14"/>
  <c r="L1000" i="14"/>
  <c r="K1001" i="14"/>
  <c r="L1001" i="14"/>
  <c r="K1002" i="14"/>
  <c r="L1002" i="14"/>
  <c r="K1003" i="14"/>
  <c r="L1003" i="14"/>
  <c r="K1004" i="14"/>
  <c r="L1004" i="14"/>
  <c r="K1005" i="14"/>
  <c r="L1005" i="14"/>
  <c r="K1007" i="14"/>
  <c r="L1007" i="14"/>
  <c r="K1008" i="14"/>
  <c r="L1008" i="14"/>
  <c r="K1009" i="14"/>
  <c r="L1009" i="14"/>
  <c r="K1010" i="14"/>
  <c r="L1010" i="14"/>
  <c r="K1011" i="14"/>
  <c r="L1011" i="14"/>
  <c r="K1012" i="14"/>
  <c r="L1012" i="14"/>
  <c r="K1013" i="14"/>
  <c r="L1013" i="14"/>
  <c r="K1014" i="14"/>
  <c r="L1014" i="14"/>
  <c r="K1015" i="14"/>
  <c r="L1015" i="14"/>
  <c r="K1016" i="14"/>
  <c r="L1016" i="14"/>
  <c r="K1017" i="14"/>
  <c r="L1017" i="14"/>
  <c r="K1018" i="14"/>
  <c r="L1018" i="14"/>
  <c r="K1019" i="14"/>
  <c r="L1019" i="14"/>
  <c r="K1020" i="14"/>
  <c r="L1020" i="14"/>
  <c r="K1021" i="14"/>
  <c r="L1021" i="14"/>
  <c r="K1022" i="14"/>
  <c r="L1022" i="14"/>
  <c r="K1023" i="14"/>
  <c r="L1023" i="14"/>
  <c r="K1025" i="14"/>
  <c r="L1025" i="14"/>
  <c r="K1026" i="14"/>
  <c r="L1026" i="14"/>
  <c r="K1027" i="14"/>
  <c r="L1027" i="14"/>
  <c r="K1028" i="14"/>
  <c r="L1028" i="14"/>
  <c r="K1029" i="14"/>
  <c r="L1029" i="14"/>
  <c r="K1031" i="14"/>
  <c r="L1031" i="14"/>
  <c r="K1032" i="14"/>
  <c r="L1032" i="14"/>
  <c r="K1033" i="14"/>
  <c r="L1033" i="14"/>
  <c r="K1034" i="14"/>
  <c r="L1034" i="14"/>
  <c r="K1035" i="14"/>
  <c r="L1035" i="14"/>
  <c r="K1036" i="14"/>
  <c r="L1036" i="14"/>
  <c r="K1037" i="14"/>
  <c r="L1037" i="14"/>
  <c r="K1038" i="14"/>
  <c r="L1038" i="14"/>
  <c r="K1039" i="14"/>
  <c r="L1039" i="14"/>
  <c r="K1041" i="14"/>
  <c r="L1041" i="14"/>
  <c r="K1042" i="14"/>
  <c r="L1042" i="14"/>
  <c r="K1045" i="14"/>
  <c r="L1045" i="14"/>
  <c r="K1047" i="14"/>
  <c r="L1047" i="14"/>
  <c r="K1048" i="14"/>
  <c r="L1048" i="14"/>
  <c r="K1049" i="14"/>
  <c r="L1049" i="14"/>
  <c r="K1050" i="14"/>
  <c r="L1050" i="14"/>
  <c r="K1051" i="14"/>
  <c r="L1051" i="14"/>
  <c r="K1053" i="14"/>
  <c r="L1053" i="14"/>
  <c r="K1054" i="14"/>
  <c r="L1054" i="14"/>
  <c r="K1056" i="14"/>
  <c r="L1056" i="14"/>
  <c r="K1057" i="14"/>
  <c r="L1057" i="14"/>
  <c r="K1059" i="14"/>
  <c r="L1059" i="14"/>
  <c r="K1060" i="14"/>
  <c r="L1060" i="14"/>
  <c r="K1061" i="14"/>
  <c r="L1061" i="14"/>
  <c r="K1062" i="14"/>
  <c r="L1062" i="14"/>
  <c r="K1063" i="14"/>
  <c r="L1063" i="14"/>
  <c r="K1064" i="14"/>
  <c r="L1064" i="14"/>
  <c r="K1065" i="14"/>
  <c r="L1065" i="14"/>
  <c r="K1066" i="14"/>
  <c r="L1066" i="14"/>
  <c r="K1069" i="14"/>
  <c r="L1069" i="14"/>
  <c r="K1070" i="14"/>
  <c r="L1070" i="14"/>
  <c r="K1071" i="14"/>
  <c r="L1071" i="14"/>
  <c r="K1072" i="14"/>
  <c r="L1072" i="14"/>
  <c r="K1075" i="14"/>
  <c r="L1075" i="14"/>
  <c r="K1076" i="14"/>
  <c r="L1076" i="14"/>
  <c r="K1077" i="14"/>
  <c r="L1077" i="14"/>
  <c r="K1078" i="14"/>
  <c r="L1078" i="14"/>
  <c r="K1079" i="14"/>
  <c r="L1079" i="14"/>
  <c r="K1080" i="14"/>
  <c r="L1080" i="14"/>
  <c r="K1083" i="14"/>
  <c r="L1083" i="14"/>
  <c r="K1085" i="14"/>
  <c r="L1085" i="14"/>
  <c r="K1087" i="14"/>
  <c r="L1087" i="14"/>
  <c r="K1089" i="14"/>
  <c r="L1089" i="14"/>
  <c r="K1090" i="14"/>
  <c r="L1090" i="14"/>
  <c r="K1092" i="14"/>
  <c r="L1092" i="14"/>
  <c r="K1095" i="14"/>
  <c r="L1095" i="14"/>
  <c r="K1097" i="14"/>
  <c r="L1097" i="14"/>
  <c r="K1098" i="14"/>
  <c r="L1098" i="14"/>
  <c r="K1099" i="14"/>
  <c r="L1099" i="14"/>
  <c r="K1100" i="14"/>
  <c r="L1100" i="14"/>
  <c r="K1101" i="14"/>
  <c r="L1101" i="14"/>
  <c r="K1102" i="14"/>
  <c r="L1102" i="14"/>
  <c r="K1103" i="14"/>
  <c r="L1103" i="14"/>
  <c r="K1104" i="14"/>
  <c r="L1104" i="14"/>
  <c r="K1105" i="14"/>
  <c r="L1105" i="14"/>
  <c r="K1107" i="14"/>
  <c r="L1107" i="14"/>
  <c r="K1109" i="14"/>
  <c r="L1109" i="14"/>
  <c r="K1110" i="14"/>
  <c r="L1110" i="14"/>
  <c r="K1111" i="14"/>
  <c r="L1111" i="14"/>
  <c r="K1112" i="14"/>
  <c r="L1112" i="14"/>
  <c r="K1113" i="14"/>
  <c r="L1113" i="14"/>
  <c r="K1114" i="14"/>
  <c r="L1114" i="14"/>
  <c r="K1115" i="14"/>
  <c r="L1115" i="14"/>
  <c r="K1116" i="14"/>
  <c r="L1116" i="14"/>
  <c r="K1117" i="14"/>
  <c r="L1117" i="14"/>
  <c r="K1119" i="14"/>
  <c r="L1119" i="14"/>
  <c r="K1120" i="14"/>
  <c r="L1120" i="14"/>
  <c r="K1121" i="14"/>
  <c r="L1121" i="14"/>
  <c r="K1122" i="14"/>
  <c r="L1122" i="14"/>
  <c r="K1123" i="14"/>
  <c r="L1123" i="14"/>
  <c r="K1124" i="14"/>
  <c r="L1124" i="14"/>
  <c r="K1125" i="14"/>
  <c r="L1125" i="14"/>
  <c r="K1126" i="14"/>
  <c r="L1126" i="14"/>
  <c r="K1127" i="14"/>
  <c r="L1127" i="14"/>
  <c r="K1128" i="14"/>
  <c r="L1128" i="14"/>
  <c r="K1129" i="14"/>
  <c r="L1129" i="14"/>
  <c r="K1130" i="14"/>
  <c r="L1130" i="14"/>
  <c r="K1131" i="14"/>
  <c r="L1131" i="14"/>
  <c r="K1132" i="14"/>
  <c r="L1132" i="14"/>
  <c r="K1133" i="14"/>
  <c r="L1133" i="14"/>
  <c r="K1134" i="14"/>
  <c r="L1134" i="14"/>
  <c r="K1135" i="14"/>
  <c r="L1135" i="14"/>
  <c r="K1136" i="14"/>
  <c r="L1136" i="14"/>
  <c r="K1137" i="14"/>
  <c r="L1137" i="14"/>
  <c r="K1138" i="14"/>
  <c r="L1138" i="14"/>
  <c r="K1140" i="14"/>
  <c r="L1140" i="14"/>
  <c r="K1141" i="14"/>
  <c r="L1141" i="14"/>
  <c r="K1142" i="14"/>
  <c r="L1142" i="14"/>
  <c r="K1143" i="14"/>
  <c r="L1143" i="14"/>
  <c r="K1144" i="14"/>
  <c r="L1144" i="14"/>
  <c r="K1145" i="14"/>
  <c r="L1145" i="14"/>
  <c r="K1146" i="14"/>
  <c r="L1146" i="14"/>
  <c r="K1148" i="14"/>
  <c r="L1148" i="14"/>
  <c r="K1150" i="14"/>
  <c r="L1150" i="14"/>
  <c r="K1152" i="14"/>
  <c r="L1152" i="14"/>
  <c r="K1153" i="14"/>
  <c r="L1153" i="14"/>
  <c r="K1154" i="14"/>
  <c r="L1154" i="14"/>
  <c r="K1155" i="14"/>
  <c r="L1155" i="14"/>
  <c r="K1156" i="14"/>
  <c r="L1156" i="14"/>
  <c r="K1157" i="14"/>
  <c r="L1157" i="14"/>
  <c r="K1158" i="14"/>
  <c r="L1158" i="14"/>
  <c r="K1159" i="14"/>
  <c r="L1159" i="14"/>
  <c r="K1160" i="14"/>
  <c r="L1160" i="14"/>
  <c r="K1162" i="14"/>
  <c r="L1162" i="14"/>
  <c r="K1163" i="14"/>
  <c r="L1163" i="14"/>
  <c r="K1164" i="14"/>
  <c r="L1164" i="14"/>
  <c r="K1167" i="14"/>
  <c r="L1167" i="14"/>
  <c r="K1168" i="14"/>
  <c r="L1168" i="14"/>
  <c r="K1169" i="14"/>
  <c r="L1169" i="14"/>
  <c r="K1170" i="14"/>
  <c r="L1170" i="14"/>
  <c r="K1173" i="14"/>
  <c r="L1173" i="14"/>
  <c r="K1174" i="14"/>
  <c r="L1174" i="14"/>
  <c r="K1175" i="14"/>
  <c r="L1175" i="14"/>
  <c r="K1176" i="14"/>
  <c r="L1176" i="14"/>
  <c r="K1177" i="14"/>
  <c r="L1177" i="14"/>
  <c r="K1178" i="14"/>
  <c r="L1178" i="14"/>
  <c r="K1179" i="14"/>
  <c r="L1179" i="14"/>
  <c r="K1180" i="14"/>
  <c r="L1180" i="14"/>
  <c r="K1181" i="14"/>
  <c r="L1181" i="14"/>
  <c r="K1183" i="14"/>
  <c r="L1183" i="14"/>
  <c r="K1184" i="14"/>
  <c r="L1184" i="14"/>
  <c r="K1185" i="14"/>
  <c r="L1185" i="14"/>
  <c r="K1186" i="14"/>
  <c r="L1186" i="14"/>
  <c r="K1188" i="14"/>
  <c r="L1188" i="14"/>
  <c r="K1189" i="14"/>
  <c r="L1189" i="14"/>
  <c r="K1190" i="14"/>
  <c r="L1190" i="14"/>
  <c r="K1191" i="14"/>
  <c r="L1191" i="14"/>
  <c r="K1192" i="14"/>
  <c r="L1192" i="14"/>
  <c r="K1193" i="14"/>
  <c r="L1193" i="14"/>
  <c r="K1194" i="14"/>
  <c r="L1194" i="14"/>
  <c r="K1195" i="14"/>
  <c r="L1195" i="14"/>
  <c r="K1196" i="14"/>
  <c r="L1196" i="14"/>
  <c r="K1197" i="14"/>
  <c r="L1197" i="14"/>
  <c r="K1198" i="14"/>
  <c r="L1198" i="14"/>
  <c r="K1199" i="14"/>
  <c r="L1199" i="14"/>
  <c r="K1200" i="14"/>
  <c r="L1200" i="14"/>
  <c r="K1201" i="14"/>
  <c r="L1201" i="14"/>
  <c r="K1202" i="14"/>
  <c r="L1202" i="14"/>
  <c r="K1203" i="14"/>
  <c r="L1203" i="14"/>
  <c r="K1204" i="14"/>
  <c r="L1204" i="14"/>
  <c r="K1206" i="14"/>
  <c r="L1206" i="14"/>
  <c r="K1207" i="14"/>
  <c r="L1207" i="14"/>
  <c r="K1209" i="14"/>
  <c r="L1209" i="14"/>
  <c r="K1212" i="14"/>
  <c r="L1212" i="14"/>
  <c r="K1214" i="14"/>
  <c r="L1214" i="14"/>
  <c r="K1215" i="14"/>
  <c r="L1215" i="14"/>
  <c r="K1216" i="14"/>
  <c r="L1216" i="14"/>
  <c r="K1217" i="14"/>
  <c r="L1217" i="14"/>
  <c r="K1220" i="14"/>
  <c r="L1220" i="14"/>
  <c r="K1221" i="14"/>
  <c r="L1221" i="14"/>
  <c r="K1222" i="14"/>
  <c r="K1223" i="14"/>
  <c r="L1223" i="14"/>
  <c r="K1224" i="14"/>
  <c r="L1224" i="14"/>
  <c r="K1225" i="14"/>
  <c r="L1225" i="14"/>
  <c r="K1228" i="14"/>
  <c r="L1228" i="14"/>
  <c r="K1229" i="14"/>
  <c r="L1229" i="14"/>
  <c r="K1230" i="14"/>
  <c r="L1230" i="14"/>
  <c r="K1231" i="14"/>
  <c r="L1231" i="14"/>
  <c r="K1232" i="14"/>
  <c r="L1232" i="14"/>
  <c r="K1233" i="14"/>
  <c r="L1233" i="14"/>
  <c r="K1234" i="14"/>
  <c r="L1234" i="14"/>
  <c r="K1235" i="14"/>
  <c r="L1235" i="14"/>
  <c r="K1236" i="14"/>
  <c r="L1236" i="14"/>
  <c r="K1237" i="14"/>
  <c r="L1237" i="14"/>
  <c r="K1239" i="14"/>
  <c r="L1239" i="14"/>
  <c r="K1240" i="14"/>
  <c r="L1240" i="14"/>
  <c r="K1242" i="14"/>
  <c r="L1242" i="14"/>
  <c r="K1243" i="14"/>
  <c r="L1243" i="14"/>
  <c r="K1245" i="14"/>
  <c r="L1245" i="14"/>
  <c r="K1246" i="14"/>
  <c r="L1246" i="14"/>
  <c r="K1247" i="14"/>
  <c r="L1247" i="14"/>
  <c r="K1248" i="14"/>
  <c r="L1248" i="14"/>
  <c r="K1249" i="14"/>
  <c r="L1249" i="14"/>
  <c r="K1251" i="14"/>
  <c r="L1251" i="14"/>
  <c r="K1252" i="14"/>
  <c r="L1252" i="14"/>
  <c r="K1253" i="14"/>
  <c r="L1253" i="14"/>
  <c r="K1256" i="14"/>
  <c r="L1256" i="14"/>
  <c r="K1258" i="14"/>
  <c r="L1258" i="14"/>
  <c r="K1259" i="14"/>
  <c r="L1259" i="14"/>
  <c r="K1260" i="14"/>
  <c r="L1260" i="14"/>
  <c r="K1261" i="14"/>
  <c r="L1261" i="14"/>
  <c r="K1262" i="14"/>
  <c r="L1262" i="14"/>
  <c r="K1263" i="14"/>
  <c r="L1263" i="14"/>
  <c r="K1264" i="14"/>
  <c r="L1264" i="14"/>
  <c r="K1265" i="14"/>
  <c r="L1265" i="14"/>
  <c r="K1266" i="14"/>
  <c r="L1266" i="14"/>
  <c r="K1267" i="14"/>
  <c r="L1267" i="14"/>
  <c r="K1269" i="14"/>
  <c r="L1269" i="14"/>
  <c r="K1270" i="14"/>
  <c r="L1270" i="14"/>
  <c r="K1271" i="14"/>
  <c r="L1271" i="14"/>
  <c r="K1272" i="14"/>
  <c r="L1272" i="14"/>
  <c r="K1273" i="14"/>
  <c r="L1273" i="14"/>
  <c r="K1274" i="14"/>
  <c r="L1274" i="14"/>
  <c r="K1275" i="14"/>
  <c r="L1275" i="14"/>
  <c r="K1276" i="14"/>
  <c r="L1276" i="14"/>
  <c r="K1277" i="14"/>
  <c r="L1277" i="14"/>
  <c r="K1278" i="14"/>
  <c r="L1278" i="14"/>
  <c r="K1279" i="14"/>
  <c r="L1279" i="14"/>
  <c r="K1280" i="14"/>
  <c r="L1280" i="14"/>
  <c r="K1283" i="14"/>
  <c r="L1283" i="14"/>
  <c r="K1284" i="14"/>
  <c r="L1284" i="14"/>
  <c r="K1286" i="14"/>
  <c r="L1286" i="14"/>
  <c r="K1287" i="14"/>
  <c r="L1287" i="14"/>
  <c r="K1288" i="14"/>
  <c r="L1288" i="14"/>
  <c r="K1289" i="14"/>
  <c r="L1289" i="14"/>
  <c r="K1290" i="14"/>
  <c r="L1290" i="14"/>
  <c r="K1291" i="14"/>
  <c r="L1291" i="14"/>
  <c r="K1292" i="14"/>
  <c r="L1292" i="14"/>
  <c r="K1293" i="14"/>
  <c r="L1293" i="14"/>
  <c r="K1294" i="14"/>
  <c r="L1294" i="14"/>
  <c r="K1296" i="14"/>
  <c r="L1296" i="14"/>
  <c r="K1297" i="14"/>
  <c r="L1297" i="14"/>
  <c r="K1298" i="14"/>
  <c r="L1298" i="14"/>
  <c r="K1299" i="14"/>
  <c r="L1299" i="14"/>
  <c r="K1303" i="14"/>
  <c r="L1303" i="14"/>
  <c r="K1304" i="14"/>
  <c r="L1304" i="14"/>
  <c r="K1305" i="14"/>
  <c r="L1305" i="14"/>
  <c r="K1306" i="14"/>
  <c r="L1306" i="14"/>
  <c r="K1307" i="14"/>
  <c r="L1307" i="14"/>
  <c r="K1309" i="14"/>
  <c r="L1309" i="14"/>
  <c r="K1311" i="14"/>
  <c r="L1311" i="14"/>
  <c r="K1312" i="14"/>
  <c r="L1312" i="14"/>
  <c r="K1313" i="14"/>
  <c r="L1313" i="14"/>
  <c r="K1314" i="14"/>
  <c r="L1314" i="14"/>
  <c r="K1315" i="14"/>
  <c r="L1315" i="14"/>
  <c r="K1316" i="14"/>
  <c r="L1316" i="14"/>
  <c r="K1317" i="14"/>
  <c r="L1317" i="14"/>
  <c r="K1319" i="14"/>
  <c r="L1319" i="14"/>
  <c r="K1320" i="14"/>
  <c r="L1320" i="14"/>
  <c r="K1321" i="14"/>
  <c r="L1321" i="14"/>
  <c r="K1322" i="14"/>
  <c r="L1322" i="14"/>
  <c r="K1323" i="14"/>
  <c r="L1323" i="14"/>
  <c r="K1324" i="14"/>
  <c r="L1324" i="14"/>
  <c r="K1325" i="14"/>
  <c r="L1325" i="14"/>
  <c r="K1326" i="14"/>
  <c r="L1326" i="14"/>
  <c r="K1327" i="14"/>
  <c r="L1327" i="14"/>
  <c r="K1328" i="14"/>
  <c r="L1328" i="14"/>
  <c r="K1330" i="14"/>
  <c r="L1330" i="14"/>
  <c r="K1331" i="14"/>
  <c r="L1331" i="14"/>
  <c r="K1333" i="14"/>
  <c r="L1333" i="14"/>
  <c r="K1334" i="14"/>
  <c r="L1334" i="14"/>
  <c r="K1336" i="14"/>
  <c r="L1336" i="14"/>
  <c r="K1338" i="14"/>
  <c r="L1338" i="14"/>
  <c r="K1341" i="14"/>
  <c r="L1341" i="14"/>
  <c r="K1342" i="14"/>
  <c r="L1342" i="14"/>
  <c r="K1345" i="14"/>
  <c r="L1345" i="14"/>
  <c r="K1346" i="14"/>
  <c r="L1346" i="14"/>
  <c r="K1347" i="14"/>
  <c r="L1347" i="14"/>
  <c r="K1348" i="14"/>
  <c r="L1348" i="14"/>
  <c r="K1349" i="14"/>
  <c r="L1349" i="14"/>
  <c r="K1350" i="14"/>
  <c r="L1350" i="14"/>
  <c r="K1351" i="14"/>
  <c r="L1351" i="14"/>
  <c r="K1353" i="14"/>
  <c r="L1353" i="14"/>
  <c r="K1354" i="14"/>
  <c r="L1354" i="14"/>
  <c r="K1356" i="14"/>
  <c r="L1356" i="14"/>
  <c r="K1357" i="14"/>
  <c r="L1357" i="14"/>
  <c r="K1358" i="14"/>
  <c r="L1358" i="14"/>
  <c r="K1359" i="14"/>
  <c r="L1359" i="14"/>
  <c r="K1361" i="14"/>
  <c r="L1361" i="14"/>
  <c r="K1363" i="14"/>
  <c r="L1363" i="14"/>
  <c r="K1364" i="14"/>
  <c r="L1364" i="14"/>
  <c r="K1365" i="14"/>
  <c r="L1365" i="14"/>
  <c r="K1367" i="14"/>
  <c r="L1367" i="14"/>
  <c r="K1370" i="14"/>
  <c r="L1370" i="14"/>
  <c r="K1375" i="14"/>
  <c r="L1375" i="14"/>
  <c r="K1376" i="14"/>
  <c r="L1376" i="14"/>
  <c r="K1377" i="14"/>
  <c r="L1377" i="14"/>
  <c r="K1378" i="14"/>
  <c r="L1378" i="14"/>
  <c r="K1379" i="14"/>
  <c r="L1379" i="14"/>
  <c r="K1380" i="14"/>
  <c r="L1380" i="14"/>
  <c r="K1381" i="14"/>
  <c r="L1381" i="14"/>
  <c r="K1382" i="14"/>
  <c r="L1382" i="14"/>
  <c r="K1383" i="14"/>
  <c r="L1383" i="14"/>
  <c r="K1384" i="14"/>
  <c r="L1384" i="14"/>
  <c r="K1385" i="14"/>
  <c r="L1385" i="14"/>
  <c r="K1386" i="14"/>
  <c r="L1386" i="14"/>
  <c r="K1387" i="14"/>
  <c r="L1387" i="14"/>
  <c r="K1388" i="14"/>
  <c r="L1388" i="14"/>
  <c r="K1389" i="14"/>
  <c r="L1389" i="14"/>
  <c r="K1390" i="14"/>
  <c r="L1390" i="14"/>
  <c r="K1391" i="14"/>
  <c r="L1391" i="14"/>
  <c r="K1392" i="14"/>
  <c r="L1392" i="14"/>
  <c r="K1394" i="14"/>
  <c r="L1394" i="14"/>
  <c r="K1395" i="14"/>
  <c r="L1395" i="14"/>
  <c r="K1397" i="14"/>
  <c r="L1397" i="14"/>
  <c r="K1398" i="14"/>
  <c r="L1398" i="14"/>
  <c r="K1399" i="14"/>
  <c r="L1399" i="14"/>
  <c r="K1400" i="14"/>
  <c r="L1400" i="14"/>
  <c r="K1401" i="14"/>
  <c r="L1401" i="14"/>
  <c r="K1402" i="14"/>
  <c r="L1402" i="14"/>
  <c r="K1403" i="14"/>
  <c r="L1403" i="14"/>
  <c r="K1404" i="14"/>
  <c r="L1404" i="14"/>
  <c r="K1405" i="14"/>
  <c r="L1405" i="14"/>
  <c r="K1407" i="14"/>
  <c r="L1407" i="14"/>
  <c r="K1408" i="14"/>
  <c r="L1408" i="14"/>
  <c r="K1409" i="14"/>
  <c r="L1409" i="14"/>
  <c r="K1410" i="14"/>
  <c r="L1410" i="14"/>
  <c r="K1411" i="14"/>
  <c r="L1411" i="14"/>
  <c r="K1413" i="14"/>
  <c r="L1413" i="14"/>
  <c r="K1414" i="14"/>
  <c r="L1414" i="14"/>
  <c r="K1416" i="14"/>
  <c r="L1416" i="14"/>
  <c r="K1417" i="14"/>
  <c r="L1417" i="14"/>
  <c r="K1418" i="14"/>
  <c r="L1418" i="14"/>
  <c r="K1419" i="14"/>
  <c r="L1419" i="14"/>
  <c r="K1420" i="14"/>
  <c r="L1420" i="14"/>
  <c r="K1421" i="14"/>
  <c r="L1421" i="14"/>
  <c r="K1423" i="14"/>
  <c r="L1423" i="14"/>
  <c r="K1424" i="14"/>
  <c r="L1424" i="14"/>
  <c r="K1425" i="14"/>
  <c r="L1425" i="14"/>
  <c r="K1427" i="14"/>
  <c r="L1427" i="14"/>
  <c r="K1428" i="14"/>
  <c r="L1428" i="14"/>
  <c r="K1429" i="14"/>
  <c r="L1429" i="14"/>
  <c r="K1430" i="14"/>
  <c r="L1430" i="14"/>
  <c r="K1433" i="14"/>
  <c r="L1433" i="14"/>
  <c r="K1434" i="14"/>
  <c r="L1434" i="14"/>
  <c r="K1436" i="14"/>
  <c r="L1436" i="14"/>
  <c r="K1437" i="14"/>
  <c r="L1437" i="14"/>
  <c r="K1438" i="14"/>
  <c r="L1438" i="14"/>
  <c r="K1439" i="14"/>
  <c r="L1439" i="14"/>
  <c r="K1440" i="14"/>
  <c r="L1440" i="14"/>
  <c r="K1441" i="14"/>
  <c r="L1441" i="14"/>
  <c r="K1442" i="14"/>
  <c r="L1442" i="14"/>
  <c r="K1443" i="14"/>
  <c r="L1443" i="14"/>
  <c r="K1444" i="14"/>
  <c r="L1444" i="14"/>
  <c r="K1446" i="14"/>
  <c r="L1446" i="14"/>
  <c r="K1447" i="14"/>
  <c r="L1447" i="14"/>
  <c r="K1448" i="14"/>
  <c r="L1448" i="14"/>
  <c r="K860" i="14"/>
  <c r="L860" i="14"/>
  <c r="K861" i="14"/>
  <c r="L861" i="14"/>
  <c r="K862" i="14"/>
  <c r="L862" i="14"/>
  <c r="K864" i="14"/>
  <c r="L864" i="14"/>
  <c r="K865" i="14"/>
  <c r="L865" i="14"/>
  <c r="K866" i="14"/>
  <c r="L866" i="14"/>
  <c r="K867" i="14"/>
  <c r="L867" i="14"/>
  <c r="K868" i="14"/>
  <c r="L868" i="14"/>
  <c r="K870" i="14"/>
  <c r="L870" i="14"/>
  <c r="K871" i="14"/>
  <c r="L871" i="14"/>
  <c r="K872" i="14"/>
  <c r="L872" i="14"/>
  <c r="K874" i="14"/>
  <c r="L874" i="14"/>
  <c r="K875" i="14"/>
  <c r="L875" i="14"/>
  <c r="K876" i="14"/>
  <c r="L876" i="14"/>
  <c r="K877" i="14"/>
  <c r="L877" i="14"/>
  <c r="K878" i="14"/>
  <c r="L878" i="14"/>
  <c r="K880" i="14"/>
  <c r="L880" i="14"/>
  <c r="K882" i="14"/>
  <c r="L882" i="14"/>
  <c r="K883" i="14"/>
  <c r="L883" i="14"/>
  <c r="K884" i="14"/>
  <c r="L884" i="14"/>
  <c r="K886" i="14"/>
  <c r="L886" i="14"/>
  <c r="K887" i="14"/>
  <c r="L887" i="14"/>
  <c r="K888" i="14"/>
  <c r="L888" i="14"/>
  <c r="K891" i="14"/>
  <c r="L891" i="14"/>
  <c r="K892" i="14"/>
  <c r="L892" i="14"/>
  <c r="K893" i="14"/>
  <c r="L893" i="14"/>
  <c r="K894" i="14"/>
  <c r="L894" i="14"/>
  <c r="K895" i="14"/>
  <c r="L895" i="14"/>
  <c r="K896" i="14"/>
  <c r="L896" i="14"/>
  <c r="K897" i="14"/>
  <c r="L897" i="14"/>
  <c r="K898" i="14"/>
  <c r="L898" i="14"/>
  <c r="K900" i="14"/>
  <c r="L900" i="14"/>
  <c r="K901" i="14"/>
  <c r="L901" i="14"/>
  <c r="K902" i="14"/>
  <c r="L902" i="14"/>
  <c r="K903" i="14"/>
  <c r="L903" i="14"/>
  <c r="K904" i="14"/>
  <c r="L904" i="14"/>
  <c r="K905" i="14"/>
  <c r="L905" i="14"/>
  <c r="K906" i="14"/>
  <c r="L906" i="14"/>
  <c r="K907" i="14"/>
  <c r="L907" i="14"/>
  <c r="K908" i="14"/>
  <c r="L908" i="14"/>
  <c r="K909" i="14"/>
  <c r="L909" i="14"/>
  <c r="K910" i="14"/>
  <c r="L910" i="14"/>
  <c r="K911" i="14"/>
  <c r="L911" i="14"/>
  <c r="K912" i="14"/>
  <c r="L912" i="14"/>
  <c r="K913" i="14"/>
  <c r="L913" i="14"/>
  <c r="K914" i="14"/>
  <c r="L914" i="14"/>
  <c r="K916" i="14"/>
  <c r="L916" i="14"/>
  <c r="K917" i="14"/>
  <c r="L917" i="14"/>
  <c r="K918" i="14"/>
  <c r="L918" i="14"/>
  <c r="K919" i="14"/>
  <c r="L919" i="14"/>
  <c r="K920" i="14"/>
  <c r="L920" i="14"/>
  <c r="K921" i="14"/>
  <c r="L921" i="14"/>
  <c r="K922" i="14"/>
  <c r="L922" i="14"/>
  <c r="K923" i="14"/>
  <c r="L923" i="14"/>
  <c r="K924" i="14"/>
  <c r="L924" i="14"/>
  <c r="K925" i="14"/>
  <c r="L925" i="14"/>
  <c r="K926" i="14"/>
  <c r="L926" i="14"/>
  <c r="K927" i="14"/>
  <c r="L927" i="14"/>
  <c r="K928" i="14"/>
  <c r="L928" i="14"/>
  <c r="K929" i="14"/>
  <c r="L929" i="14"/>
  <c r="K930" i="14"/>
  <c r="L930" i="14"/>
  <c r="K931" i="14"/>
  <c r="L931" i="14"/>
  <c r="K932" i="14"/>
  <c r="L932" i="14"/>
  <c r="K933" i="14"/>
  <c r="L933" i="14"/>
  <c r="K935" i="14"/>
  <c r="L935" i="14"/>
  <c r="K936" i="14"/>
  <c r="L936" i="14"/>
  <c r="K937" i="14"/>
  <c r="L937" i="14"/>
  <c r="E1398" i="14"/>
  <c r="E1397" i="14"/>
  <c r="E1396" i="14"/>
  <c r="E1395" i="14"/>
  <c r="E1394" i="14"/>
  <c r="I1393" i="14"/>
  <c r="K1393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I1368" i="14"/>
  <c r="K1368" i="14"/>
  <c r="E1368" i="14"/>
  <c r="E1367" i="14"/>
  <c r="I1366" i="14"/>
  <c r="K1366" i="14"/>
  <c r="E1366" i="14"/>
  <c r="E1365" i="14"/>
  <c r="E1363" i="14"/>
  <c r="I1362" i="14"/>
  <c r="K1362" i="14"/>
  <c r="E1362" i="14"/>
  <c r="E1361" i="14"/>
  <c r="E1360" i="14"/>
  <c r="E1359" i="14"/>
  <c r="E1358" i="14"/>
  <c r="E1357" i="14"/>
  <c r="E1356" i="14"/>
  <c r="I1355" i="14"/>
  <c r="K1355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F1222" i="14"/>
  <c r="L1222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I1058" i="14"/>
  <c r="K1058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I980" i="14"/>
  <c r="L980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I945" i="14"/>
  <c r="K945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K348" i="14"/>
  <c r="L348" i="14"/>
  <c r="K349" i="14"/>
  <c r="L349" i="14"/>
  <c r="K351" i="14"/>
  <c r="L351" i="14"/>
  <c r="K352" i="14"/>
  <c r="L352" i="14"/>
  <c r="K353" i="14"/>
  <c r="L353" i="14"/>
  <c r="K354" i="14"/>
  <c r="L354" i="14"/>
  <c r="K356" i="14"/>
  <c r="L356" i="14"/>
  <c r="K357" i="14"/>
  <c r="L357" i="14"/>
  <c r="K358" i="14"/>
  <c r="L358" i="14"/>
  <c r="K359" i="14"/>
  <c r="L359" i="14"/>
  <c r="K360" i="14"/>
  <c r="L360" i="14"/>
  <c r="K362" i="14"/>
  <c r="L362" i="14"/>
  <c r="K363" i="14"/>
  <c r="L363" i="14"/>
  <c r="K364" i="14"/>
  <c r="L364" i="14"/>
  <c r="K365" i="14"/>
  <c r="L365" i="14"/>
  <c r="K366" i="14"/>
  <c r="L366" i="14"/>
  <c r="K367" i="14"/>
  <c r="L367" i="14"/>
  <c r="K368" i="14"/>
  <c r="L368" i="14"/>
  <c r="K369" i="14"/>
  <c r="L369" i="14"/>
  <c r="K370" i="14"/>
  <c r="L370" i="14"/>
  <c r="K371" i="14"/>
  <c r="L371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I355" i="14"/>
  <c r="K355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7" i="14"/>
  <c r="E336" i="14"/>
  <c r="E335" i="14"/>
  <c r="K340" i="14"/>
  <c r="L340" i="14"/>
  <c r="K341" i="14"/>
  <c r="L341" i="14"/>
  <c r="K342" i="14"/>
  <c r="L342" i="14"/>
  <c r="K343" i="14"/>
  <c r="L343" i="14"/>
  <c r="K344" i="14"/>
  <c r="L344" i="14"/>
  <c r="K345" i="14"/>
  <c r="L345" i="14"/>
  <c r="K346" i="14"/>
  <c r="L346" i="14"/>
  <c r="K372" i="14"/>
  <c r="L372" i="14"/>
  <c r="K373" i="14"/>
  <c r="L373" i="14"/>
  <c r="K374" i="14"/>
  <c r="L374" i="14"/>
  <c r="K375" i="14"/>
  <c r="L375" i="14"/>
  <c r="K376" i="14"/>
  <c r="L376" i="14"/>
  <c r="K378" i="14"/>
  <c r="L378" i="14"/>
  <c r="K379" i="14"/>
  <c r="L379" i="14"/>
  <c r="K380" i="14"/>
  <c r="L380" i="14"/>
  <c r="K381" i="14"/>
  <c r="L381" i="14"/>
  <c r="K382" i="14"/>
  <c r="L382" i="14"/>
  <c r="K383" i="14"/>
  <c r="L383" i="14"/>
  <c r="K384" i="14"/>
  <c r="L384" i="14"/>
  <c r="K385" i="14"/>
  <c r="L385" i="14"/>
  <c r="K386" i="14"/>
  <c r="L386" i="14"/>
  <c r="K387" i="14"/>
  <c r="L387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I305" i="14"/>
  <c r="K305" i="14"/>
  <c r="I304" i="14"/>
  <c r="K304" i="14"/>
  <c r="E307" i="14"/>
  <c r="E306" i="14"/>
  <c r="E305" i="14"/>
  <c r="E304" i="14"/>
  <c r="E303" i="14"/>
  <c r="E302" i="14"/>
  <c r="K298" i="14"/>
  <c r="L298" i="14"/>
  <c r="K299" i="14"/>
  <c r="L299" i="14"/>
  <c r="K300" i="14"/>
  <c r="L300" i="14"/>
  <c r="K301" i="14"/>
  <c r="L301" i="14"/>
  <c r="K302" i="14"/>
  <c r="L302" i="14"/>
  <c r="K306" i="14"/>
  <c r="L306" i="14"/>
  <c r="K307" i="14"/>
  <c r="L307" i="14"/>
  <c r="K308" i="14"/>
  <c r="L308" i="14"/>
  <c r="K309" i="14"/>
  <c r="L309" i="14"/>
  <c r="K311" i="14"/>
  <c r="L311" i="14"/>
  <c r="K312" i="14"/>
  <c r="L312" i="14"/>
  <c r="K314" i="14"/>
  <c r="L314" i="14"/>
  <c r="K315" i="14"/>
  <c r="L315" i="14"/>
  <c r="K316" i="14"/>
  <c r="L316" i="14"/>
  <c r="K317" i="14"/>
  <c r="L317" i="14"/>
  <c r="K318" i="14"/>
  <c r="L318" i="14"/>
  <c r="K320" i="14"/>
  <c r="L320" i="14"/>
  <c r="K321" i="14"/>
  <c r="L321" i="14"/>
  <c r="K322" i="14"/>
  <c r="L322" i="14"/>
  <c r="K323" i="14"/>
  <c r="L323" i="14"/>
  <c r="K324" i="14"/>
  <c r="L324" i="14"/>
  <c r="K325" i="14"/>
  <c r="L325" i="14"/>
  <c r="K326" i="14"/>
  <c r="L326" i="14"/>
  <c r="K327" i="14"/>
  <c r="L327" i="14"/>
  <c r="K328" i="14"/>
  <c r="L328" i="14"/>
  <c r="K329" i="14"/>
  <c r="L329" i="14"/>
  <c r="K330" i="14"/>
  <c r="L330" i="14"/>
  <c r="K331" i="14"/>
  <c r="L331" i="14"/>
  <c r="K332" i="14"/>
  <c r="L332" i="14"/>
  <c r="K333" i="14"/>
  <c r="L333" i="14"/>
  <c r="K334" i="14"/>
  <c r="L334" i="14"/>
  <c r="K335" i="14"/>
  <c r="L335" i="14"/>
  <c r="K336" i="14"/>
  <c r="L336" i="14"/>
  <c r="K337" i="14"/>
  <c r="L337" i="14"/>
  <c r="K338" i="14"/>
  <c r="L338" i="14"/>
  <c r="K339" i="14"/>
  <c r="L339" i="14"/>
  <c r="E301" i="14"/>
  <c r="E300" i="14"/>
  <c r="E299" i="14"/>
  <c r="E298" i="14"/>
  <c r="K293" i="14"/>
  <c r="L293" i="14"/>
  <c r="K294" i="14"/>
  <c r="L294" i="14"/>
  <c r="K295" i="14"/>
  <c r="L295" i="14"/>
  <c r="K296" i="14"/>
  <c r="L296" i="14"/>
  <c r="K297" i="14"/>
  <c r="L297" i="14"/>
  <c r="E297" i="14"/>
  <c r="E296" i="14"/>
  <c r="E295" i="14"/>
  <c r="E294" i="14"/>
  <c r="E293" i="14"/>
  <c r="K291" i="14"/>
  <c r="L291" i="14"/>
  <c r="K292" i="14"/>
  <c r="L292" i="14"/>
  <c r="E292" i="14"/>
  <c r="E291" i="14"/>
  <c r="K288" i="14"/>
  <c r="L288" i="14"/>
  <c r="K289" i="14"/>
  <c r="L289" i="14"/>
  <c r="K290" i="14"/>
  <c r="L290" i="14"/>
  <c r="E290" i="14"/>
  <c r="E289" i="14"/>
  <c r="E288" i="14"/>
  <c r="K980" i="14"/>
  <c r="L1393" i="14"/>
  <c r="L1368" i="14"/>
  <c r="L1366" i="14"/>
  <c r="L1362" i="14"/>
  <c r="L1355" i="14"/>
  <c r="L1058" i="14"/>
  <c r="L945" i="14"/>
  <c r="L355" i="14"/>
  <c r="L304" i="14"/>
  <c r="L305" i="14"/>
  <c r="K859" i="14"/>
  <c r="L859" i="14"/>
  <c r="E859" i="14"/>
  <c r="K858" i="14"/>
  <c r="L858" i="14"/>
  <c r="E858" i="14"/>
  <c r="K857" i="14"/>
  <c r="L857" i="14"/>
  <c r="E857" i="14"/>
  <c r="K856" i="14"/>
  <c r="L856" i="14"/>
  <c r="E856" i="14"/>
  <c r="K855" i="14"/>
  <c r="L855" i="14"/>
  <c r="E855" i="14"/>
  <c r="K854" i="14"/>
  <c r="L854" i="14"/>
  <c r="E854" i="14"/>
  <c r="K853" i="14"/>
  <c r="L853" i="14"/>
  <c r="E853" i="14"/>
  <c r="K852" i="14"/>
  <c r="L852" i="14"/>
  <c r="E852" i="14"/>
  <c r="K851" i="14"/>
  <c r="L851" i="14"/>
  <c r="E851" i="14"/>
  <c r="K850" i="14"/>
  <c r="L850" i="14"/>
  <c r="E850" i="14"/>
  <c r="K849" i="14"/>
  <c r="L849" i="14"/>
  <c r="E849" i="14"/>
  <c r="K848" i="14"/>
  <c r="L848" i="14"/>
  <c r="E848" i="14"/>
  <c r="K847" i="14"/>
  <c r="L847" i="14"/>
  <c r="E847" i="14"/>
  <c r="K846" i="14"/>
  <c r="L846" i="14"/>
  <c r="E846" i="14"/>
  <c r="K845" i="14"/>
  <c r="L845" i="14"/>
  <c r="E845" i="14"/>
  <c r="K844" i="14"/>
  <c r="L844" i="14"/>
  <c r="E844" i="14"/>
  <c r="K843" i="14"/>
  <c r="L843" i="14"/>
  <c r="E843" i="14"/>
  <c r="K842" i="14"/>
  <c r="L842" i="14"/>
  <c r="E842" i="14"/>
  <c r="K841" i="14"/>
  <c r="L841" i="14"/>
  <c r="E841" i="14"/>
  <c r="K840" i="14"/>
  <c r="L840" i="14"/>
  <c r="E840" i="14"/>
  <c r="L839" i="14"/>
  <c r="K839" i="14"/>
  <c r="E839" i="14"/>
  <c r="E838" i="14"/>
  <c r="K837" i="14"/>
  <c r="L837" i="14"/>
  <c r="E837" i="14"/>
  <c r="K836" i="14"/>
  <c r="L836" i="14"/>
  <c r="E836" i="14"/>
  <c r="K835" i="14"/>
  <c r="L835" i="14"/>
  <c r="E835" i="14"/>
  <c r="L834" i="14"/>
  <c r="K834" i="14"/>
  <c r="E834" i="14"/>
  <c r="E833" i="14"/>
  <c r="K832" i="14"/>
  <c r="L832" i="14"/>
  <c r="E832" i="14"/>
  <c r="K831" i="14"/>
  <c r="L831" i="14"/>
  <c r="E831" i="14"/>
  <c r="K830" i="14"/>
  <c r="L830" i="14"/>
  <c r="E830" i="14"/>
  <c r="K829" i="14"/>
  <c r="L829" i="14"/>
  <c r="E829" i="14"/>
  <c r="K828" i="14"/>
  <c r="L828" i="14"/>
  <c r="E828" i="14"/>
  <c r="L827" i="14"/>
  <c r="K827" i="14"/>
  <c r="E827" i="14"/>
  <c r="L826" i="14"/>
  <c r="K826" i="14"/>
  <c r="E826" i="14"/>
  <c r="L825" i="14"/>
  <c r="K825" i="14"/>
  <c r="E825" i="14"/>
  <c r="E824" i="14"/>
  <c r="L823" i="14"/>
  <c r="K823" i="14"/>
  <c r="E823" i="14"/>
  <c r="E822" i="14"/>
  <c r="E821" i="14"/>
  <c r="K820" i="14"/>
  <c r="L820" i="14"/>
  <c r="E820" i="14"/>
  <c r="K819" i="14"/>
  <c r="L819" i="14"/>
  <c r="E819" i="14"/>
  <c r="K818" i="14"/>
  <c r="L818" i="14"/>
  <c r="E818" i="14"/>
  <c r="K817" i="14"/>
  <c r="L817" i="14"/>
  <c r="E817" i="14"/>
  <c r="K816" i="14"/>
  <c r="L816" i="14"/>
  <c r="E816" i="14"/>
  <c r="K815" i="14"/>
  <c r="L815" i="14"/>
  <c r="E815" i="14"/>
  <c r="K814" i="14"/>
  <c r="L814" i="14"/>
  <c r="E814" i="14"/>
  <c r="K813" i="14"/>
  <c r="L813" i="14"/>
  <c r="E813" i="14"/>
  <c r="L812" i="14"/>
  <c r="K812" i="14"/>
  <c r="E812" i="14"/>
  <c r="E811" i="14"/>
  <c r="K810" i="14"/>
  <c r="L810" i="14"/>
  <c r="E810" i="14"/>
  <c r="K809" i="14"/>
  <c r="L809" i="14"/>
  <c r="E809" i="14"/>
  <c r="K808" i="14"/>
  <c r="L808" i="14"/>
  <c r="E808" i="14"/>
  <c r="K807" i="14"/>
  <c r="L807" i="14"/>
  <c r="E807" i="14"/>
  <c r="K806" i="14"/>
  <c r="L806" i="14"/>
  <c r="E806" i="14"/>
  <c r="K805" i="14"/>
  <c r="L805" i="14"/>
  <c r="E805" i="14"/>
  <c r="K804" i="14"/>
  <c r="L804" i="14"/>
  <c r="E804" i="14"/>
  <c r="L803" i="14"/>
  <c r="K803" i="14"/>
  <c r="E803" i="14"/>
  <c r="E802" i="14"/>
  <c r="K801" i="14"/>
  <c r="L801" i="14"/>
  <c r="E801" i="14"/>
  <c r="K800" i="14"/>
  <c r="L800" i="14"/>
  <c r="E800" i="14"/>
  <c r="K799" i="14"/>
  <c r="L799" i="14"/>
  <c r="E799" i="14"/>
  <c r="K798" i="14"/>
  <c r="L798" i="14"/>
  <c r="E798" i="14"/>
  <c r="E797" i="14"/>
  <c r="K797" i="14"/>
  <c r="L797" i="14"/>
  <c r="K796" i="14"/>
  <c r="L796" i="14"/>
  <c r="E796" i="14"/>
  <c r="K795" i="14"/>
  <c r="L795" i="14"/>
  <c r="E795" i="14"/>
  <c r="K794" i="14"/>
  <c r="L794" i="14"/>
  <c r="E794" i="14"/>
  <c r="K793" i="14"/>
  <c r="L793" i="14"/>
  <c r="E793" i="14"/>
  <c r="K792" i="14"/>
  <c r="L792" i="14"/>
  <c r="E792" i="14"/>
  <c r="K791" i="14"/>
  <c r="L791" i="14"/>
  <c r="E791" i="14"/>
  <c r="E790" i="14"/>
  <c r="L790" i="14"/>
  <c r="K790" i="14"/>
  <c r="E789" i="14"/>
  <c r="K788" i="14"/>
  <c r="L788" i="14"/>
  <c r="E788" i="14"/>
  <c r="K787" i="14"/>
  <c r="L787" i="14"/>
  <c r="E787" i="14"/>
  <c r="K786" i="14"/>
  <c r="L786" i="14"/>
  <c r="E786" i="14"/>
  <c r="L785" i="14"/>
  <c r="K785" i="14"/>
  <c r="E785" i="14"/>
  <c r="E784" i="14"/>
  <c r="K783" i="14"/>
  <c r="L783" i="14"/>
  <c r="E783" i="14"/>
  <c r="K782" i="14"/>
  <c r="L782" i="14"/>
  <c r="E782" i="14"/>
  <c r="L781" i="14"/>
  <c r="K781" i="14"/>
  <c r="E781" i="14"/>
  <c r="E780" i="14"/>
  <c r="L779" i="14"/>
  <c r="K779" i="14"/>
  <c r="E779" i="14"/>
  <c r="L778" i="14"/>
  <c r="K778" i="14"/>
  <c r="E778" i="14"/>
  <c r="L777" i="14"/>
  <c r="K777" i="14"/>
  <c r="E777" i="14"/>
  <c r="L776" i="14"/>
  <c r="K776" i="14"/>
  <c r="E776" i="14"/>
  <c r="E775" i="14"/>
  <c r="E774" i="14"/>
  <c r="L773" i="14"/>
  <c r="K773" i="14"/>
  <c r="E773" i="14"/>
  <c r="E772" i="14"/>
  <c r="K771" i="14"/>
  <c r="L771" i="14"/>
  <c r="E771" i="14"/>
  <c r="K770" i="14"/>
  <c r="L770" i="14"/>
  <c r="E770" i="14"/>
  <c r="K769" i="14"/>
  <c r="L769" i="14"/>
  <c r="E769" i="14"/>
  <c r="K768" i="14"/>
  <c r="L768" i="14"/>
  <c r="E768" i="14"/>
  <c r="K767" i="14"/>
  <c r="L767" i="14"/>
  <c r="E767" i="14"/>
  <c r="L766" i="14"/>
  <c r="K766" i="14"/>
  <c r="E766" i="14"/>
  <c r="E765" i="14"/>
  <c r="K764" i="14"/>
  <c r="L764" i="14"/>
  <c r="E764" i="14"/>
  <c r="K763" i="14"/>
  <c r="L763" i="14"/>
  <c r="E763" i="14"/>
  <c r="L762" i="14"/>
  <c r="K762" i="14"/>
  <c r="E762" i="14"/>
  <c r="L761" i="14"/>
  <c r="K761" i="14"/>
  <c r="E761" i="14"/>
  <c r="L760" i="14"/>
  <c r="K760" i="14"/>
  <c r="E760" i="14"/>
  <c r="L759" i="14"/>
  <c r="K759" i="14"/>
  <c r="E759" i="14"/>
  <c r="E758" i="14"/>
  <c r="E757" i="14"/>
  <c r="K756" i="14"/>
  <c r="L756" i="14"/>
  <c r="E756" i="14"/>
  <c r="L755" i="14"/>
  <c r="K755" i="14"/>
  <c r="E755" i="14"/>
  <c r="L754" i="14"/>
  <c r="K754" i="14"/>
  <c r="E754" i="14"/>
  <c r="E753" i="14"/>
  <c r="K752" i="14"/>
  <c r="L752" i="14"/>
  <c r="E752" i="14"/>
  <c r="L751" i="14"/>
  <c r="K751" i="14"/>
  <c r="E751" i="14"/>
  <c r="E750" i="14"/>
  <c r="K749" i="14"/>
  <c r="L749" i="14"/>
  <c r="E749" i="14"/>
  <c r="K748" i="14"/>
  <c r="L748" i="14"/>
  <c r="E748" i="14"/>
  <c r="K747" i="14"/>
  <c r="L747" i="14"/>
  <c r="E747" i="14"/>
  <c r="K746" i="14"/>
  <c r="L746" i="14"/>
  <c r="E746" i="14"/>
  <c r="K745" i="14"/>
  <c r="L745" i="14"/>
  <c r="E745" i="14"/>
  <c r="L744" i="14"/>
  <c r="K744" i="14"/>
  <c r="E744" i="14"/>
  <c r="L743" i="14"/>
  <c r="K743" i="14"/>
  <c r="E743" i="14"/>
  <c r="L742" i="14"/>
  <c r="K742" i="14"/>
  <c r="E742" i="14"/>
  <c r="L741" i="14"/>
  <c r="K741" i="14"/>
  <c r="E741" i="14"/>
  <c r="E740" i="14"/>
  <c r="E739" i="14"/>
  <c r="E738" i="14"/>
  <c r="K737" i="14"/>
  <c r="L737" i="14"/>
  <c r="E737" i="14"/>
  <c r="K736" i="14"/>
  <c r="L736" i="14"/>
  <c r="E736" i="14"/>
  <c r="K735" i="14"/>
  <c r="L735" i="14"/>
  <c r="E735" i="14"/>
  <c r="K734" i="14"/>
  <c r="L734" i="14"/>
  <c r="E734" i="14"/>
  <c r="K733" i="14"/>
  <c r="L733" i="14"/>
  <c r="E733" i="14"/>
  <c r="K732" i="14"/>
  <c r="L732" i="14"/>
  <c r="E732" i="14"/>
  <c r="K731" i="14"/>
  <c r="L731" i="14"/>
  <c r="E731" i="14"/>
  <c r="K730" i="14"/>
  <c r="L730" i="14"/>
  <c r="E730" i="14"/>
  <c r="L729" i="14"/>
  <c r="K729" i="14"/>
  <c r="E729" i="14"/>
  <c r="L728" i="14"/>
  <c r="K728" i="14"/>
  <c r="E728" i="14"/>
  <c r="L727" i="14"/>
  <c r="K727" i="14"/>
  <c r="E727" i="14"/>
  <c r="L726" i="14"/>
  <c r="K726" i="14"/>
  <c r="E726" i="14"/>
  <c r="E725" i="14"/>
  <c r="E724" i="14"/>
  <c r="K723" i="14"/>
  <c r="L723" i="14"/>
  <c r="E723" i="14"/>
  <c r="K722" i="14"/>
  <c r="L722" i="14"/>
  <c r="E722" i="14"/>
  <c r="K721" i="14"/>
  <c r="L721" i="14"/>
  <c r="E721" i="14"/>
  <c r="L720" i="14"/>
  <c r="K720" i="14"/>
  <c r="E720" i="14"/>
  <c r="E719" i="14"/>
  <c r="K718" i="14"/>
  <c r="L718" i="14"/>
  <c r="E718" i="14"/>
  <c r="K717" i="14"/>
  <c r="L717" i="14"/>
  <c r="E717" i="14"/>
  <c r="L716" i="14"/>
  <c r="K716" i="14"/>
  <c r="E716" i="14"/>
  <c r="L715" i="14"/>
  <c r="K715" i="14"/>
  <c r="E715" i="14"/>
  <c r="E714" i="14"/>
  <c r="L713" i="14"/>
  <c r="K713" i="14"/>
  <c r="E713" i="14"/>
  <c r="L712" i="14"/>
  <c r="K712" i="14"/>
  <c r="E712" i="14"/>
  <c r="E711" i="14"/>
  <c r="K710" i="14"/>
  <c r="L710" i="14"/>
  <c r="E710" i="14"/>
  <c r="L709" i="14"/>
  <c r="K709" i="14"/>
  <c r="E709" i="14"/>
  <c r="E708" i="14"/>
  <c r="K707" i="14"/>
  <c r="L707" i="14"/>
  <c r="E707" i="14"/>
  <c r="K706" i="14"/>
  <c r="L706" i="14"/>
  <c r="E706" i="14"/>
  <c r="L705" i="14"/>
  <c r="K705" i="14"/>
  <c r="E705" i="14"/>
  <c r="L704" i="14"/>
  <c r="K704" i="14"/>
  <c r="E704" i="14"/>
  <c r="L703" i="14"/>
  <c r="K703" i="14"/>
  <c r="E703" i="14"/>
  <c r="L702" i="14"/>
  <c r="K702" i="14"/>
  <c r="E702" i="14"/>
  <c r="E701" i="14"/>
  <c r="E700" i="14"/>
  <c r="E699" i="14"/>
  <c r="L698" i="14"/>
  <c r="K698" i="14"/>
  <c r="E698" i="14"/>
  <c r="E697" i="14"/>
  <c r="K696" i="14"/>
  <c r="L696" i="14"/>
  <c r="E696" i="14"/>
  <c r="K695" i="14"/>
  <c r="L695" i="14"/>
  <c r="E695" i="14"/>
  <c r="K694" i="14"/>
  <c r="L694" i="14"/>
  <c r="E694" i="14"/>
  <c r="K693" i="14"/>
  <c r="L693" i="14"/>
  <c r="E692" i="14"/>
  <c r="E693" i="14"/>
  <c r="K692" i="14"/>
  <c r="L692" i="14"/>
  <c r="K691" i="14"/>
  <c r="L691" i="14"/>
  <c r="E691" i="14"/>
  <c r="K690" i="14"/>
  <c r="L690" i="14"/>
  <c r="E690" i="14"/>
  <c r="K689" i="14"/>
  <c r="L689" i="14"/>
  <c r="E689" i="14"/>
  <c r="K688" i="14"/>
  <c r="L688" i="14"/>
  <c r="E688" i="14"/>
  <c r="K687" i="14"/>
  <c r="L687" i="14"/>
  <c r="E687" i="14"/>
  <c r="K686" i="14"/>
  <c r="L686" i="14"/>
  <c r="E686" i="14"/>
  <c r="K685" i="14"/>
  <c r="L685" i="14"/>
  <c r="E685" i="14"/>
  <c r="K684" i="14"/>
  <c r="L684" i="14"/>
  <c r="E684" i="14"/>
  <c r="K683" i="14"/>
  <c r="L683" i="14"/>
  <c r="E683" i="14"/>
  <c r="K682" i="14"/>
  <c r="L682" i="14"/>
  <c r="E682" i="14"/>
  <c r="K681" i="14"/>
  <c r="L681" i="14"/>
  <c r="E681" i="14"/>
  <c r="K680" i="14"/>
  <c r="L680" i="14"/>
  <c r="E679" i="14"/>
  <c r="E680" i="14"/>
  <c r="K679" i="14"/>
  <c r="L679" i="14"/>
  <c r="K678" i="14"/>
  <c r="L678" i="14"/>
  <c r="E678" i="14"/>
  <c r="K677" i="14"/>
  <c r="L677" i="14"/>
  <c r="E677" i="14"/>
  <c r="L676" i="14"/>
  <c r="K676" i="14"/>
  <c r="E675" i="14"/>
  <c r="E676" i="14"/>
  <c r="K674" i="14"/>
  <c r="L674" i="14"/>
  <c r="E674" i="14"/>
  <c r="L673" i="14"/>
  <c r="K673" i="14"/>
  <c r="E673" i="14"/>
  <c r="L672" i="14"/>
  <c r="K672" i="14"/>
  <c r="E672" i="14"/>
  <c r="E671" i="14"/>
  <c r="L671" i="14"/>
  <c r="K671" i="14"/>
  <c r="L669" i="14"/>
  <c r="K669" i="14"/>
  <c r="E670" i="14"/>
  <c r="E669" i="14"/>
  <c r="E668" i="14"/>
  <c r="E667" i="14"/>
  <c r="K666" i="14"/>
  <c r="L666" i="14"/>
  <c r="E666" i="14"/>
  <c r="K665" i="14"/>
  <c r="L665" i="14"/>
  <c r="E665" i="14"/>
  <c r="K664" i="14"/>
  <c r="L664" i="14"/>
  <c r="E664" i="14"/>
  <c r="K663" i="14"/>
  <c r="L663" i="14"/>
  <c r="E663" i="14"/>
  <c r="K662" i="14"/>
  <c r="L662" i="14"/>
  <c r="E662" i="14"/>
  <c r="K661" i="14"/>
  <c r="L661" i="14"/>
  <c r="E661" i="14"/>
  <c r="K660" i="14"/>
  <c r="L660" i="14"/>
  <c r="E660" i="14"/>
  <c r="L659" i="14"/>
  <c r="K659" i="14"/>
  <c r="E659" i="14"/>
  <c r="E658" i="14"/>
  <c r="K657" i="14"/>
  <c r="L657" i="14"/>
  <c r="E657" i="14"/>
  <c r="K656" i="14"/>
  <c r="L656" i="14"/>
  <c r="E656" i="14"/>
  <c r="K655" i="14"/>
  <c r="L655" i="14"/>
  <c r="E655" i="14"/>
  <c r="K654" i="14"/>
  <c r="L654" i="14"/>
  <c r="E654" i="14"/>
  <c r="K653" i="14"/>
  <c r="L653" i="14"/>
  <c r="E653" i="14"/>
  <c r="K652" i="14"/>
  <c r="L652" i="14"/>
  <c r="E652" i="14"/>
  <c r="K651" i="14"/>
  <c r="L651" i="14"/>
  <c r="E651" i="14"/>
  <c r="K650" i="14"/>
  <c r="L650" i="14"/>
  <c r="E650" i="14"/>
  <c r="K649" i="14"/>
  <c r="L649" i="14"/>
  <c r="E649" i="14"/>
  <c r="K648" i="14"/>
  <c r="L648" i="14"/>
  <c r="E648" i="14"/>
  <c r="K647" i="14"/>
  <c r="L647" i="14"/>
  <c r="E647" i="14"/>
  <c r="K646" i="14"/>
  <c r="L646" i="14"/>
  <c r="E646" i="14"/>
  <c r="K645" i="14"/>
  <c r="L645" i="14"/>
  <c r="E645" i="14"/>
  <c r="K644" i="14"/>
  <c r="L644" i="14"/>
  <c r="E644" i="14"/>
  <c r="K643" i="14"/>
  <c r="L643" i="14"/>
  <c r="E643" i="14"/>
  <c r="K642" i="14"/>
  <c r="L642" i="14"/>
  <c r="E642" i="14"/>
  <c r="K641" i="14"/>
  <c r="L641" i="14"/>
  <c r="E641" i="14"/>
  <c r="K640" i="14"/>
  <c r="L640" i="14"/>
  <c r="E640" i="14"/>
  <c r="K639" i="14"/>
  <c r="L639" i="14"/>
  <c r="E639" i="14"/>
  <c r="L638" i="14"/>
  <c r="K638" i="14"/>
  <c r="E637" i="14"/>
  <c r="E638" i="14"/>
  <c r="L637" i="14"/>
  <c r="K637" i="14"/>
  <c r="E636" i="14"/>
  <c r="K635" i="14"/>
  <c r="L635" i="14"/>
  <c r="E635" i="14"/>
  <c r="L634" i="14"/>
  <c r="K634" i="14"/>
  <c r="E634" i="14"/>
  <c r="E633" i="14"/>
  <c r="K632" i="14"/>
  <c r="L632" i="14"/>
  <c r="E632" i="14"/>
  <c r="K631" i="14"/>
  <c r="L631" i="14"/>
  <c r="E631" i="14"/>
  <c r="K630" i="14"/>
  <c r="L630" i="14"/>
  <c r="E630" i="14"/>
  <c r="K629" i="14"/>
  <c r="L629" i="14"/>
  <c r="E629" i="14"/>
  <c r="K628" i="14"/>
  <c r="L628" i="14"/>
  <c r="E628" i="14"/>
  <c r="K627" i="14"/>
  <c r="L627" i="14"/>
  <c r="E627" i="14"/>
  <c r="K626" i="14"/>
  <c r="L626" i="14"/>
  <c r="E626" i="14"/>
  <c r="K625" i="14"/>
  <c r="L625" i="14"/>
  <c r="E625" i="14"/>
  <c r="K624" i="14"/>
  <c r="L624" i="14"/>
  <c r="E624" i="14"/>
  <c r="K623" i="14"/>
  <c r="L623" i="14"/>
  <c r="E623" i="14"/>
  <c r="K622" i="14"/>
  <c r="L622" i="14"/>
  <c r="E622" i="14"/>
  <c r="K621" i="14"/>
  <c r="L621" i="14"/>
  <c r="E621" i="14"/>
  <c r="K620" i="14"/>
  <c r="L620" i="14"/>
  <c r="E620" i="14"/>
  <c r="K619" i="14"/>
  <c r="L619" i="14"/>
  <c r="E619" i="14"/>
  <c r="K618" i="14"/>
  <c r="L618" i="14"/>
  <c r="E618" i="14"/>
  <c r="K617" i="14"/>
  <c r="L617" i="14"/>
  <c r="E617" i="14"/>
  <c r="K616" i="14"/>
  <c r="L616" i="14"/>
  <c r="E616" i="14"/>
  <c r="K615" i="14"/>
  <c r="L615" i="14"/>
  <c r="E615" i="14"/>
  <c r="K614" i="14"/>
  <c r="L614" i="14"/>
  <c r="E614" i="14"/>
  <c r="K613" i="14"/>
  <c r="L613" i="14"/>
  <c r="E613" i="14"/>
  <c r="L612" i="14"/>
  <c r="K612" i="14"/>
  <c r="E612" i="14"/>
  <c r="E611" i="14"/>
  <c r="K610" i="14"/>
  <c r="L610" i="14"/>
  <c r="E610" i="14"/>
  <c r="K609" i="14"/>
  <c r="L609" i="14"/>
  <c r="E609" i="14"/>
  <c r="K608" i="14"/>
  <c r="L608" i="14"/>
  <c r="E608" i="14"/>
  <c r="K607" i="14"/>
  <c r="L607" i="14"/>
  <c r="E607" i="14"/>
  <c r="K606" i="14"/>
  <c r="L606" i="14"/>
  <c r="E606" i="14"/>
  <c r="L605" i="14"/>
  <c r="K605" i="14"/>
  <c r="E605" i="14"/>
  <c r="E604" i="14"/>
  <c r="K603" i="14"/>
  <c r="L603" i="14"/>
  <c r="E603" i="14"/>
  <c r="K602" i="14"/>
  <c r="L602" i="14"/>
  <c r="E602" i="14"/>
  <c r="K601" i="14"/>
  <c r="L601" i="14"/>
  <c r="E601" i="14"/>
  <c r="K600" i="14"/>
  <c r="L600" i="14"/>
  <c r="E600" i="14"/>
  <c r="K599" i="14"/>
  <c r="L599" i="14"/>
  <c r="E599" i="14"/>
  <c r="K598" i="14"/>
  <c r="L598" i="14"/>
  <c r="E598" i="14"/>
  <c r="K597" i="14"/>
  <c r="L597" i="14"/>
  <c r="E597" i="14"/>
  <c r="K596" i="14"/>
  <c r="L596" i="14"/>
  <c r="E596" i="14"/>
  <c r="K595" i="14"/>
  <c r="L595" i="14"/>
  <c r="E595" i="14"/>
  <c r="K594" i="14"/>
  <c r="L594" i="14"/>
  <c r="E594" i="14"/>
  <c r="L593" i="14"/>
  <c r="K593" i="14"/>
  <c r="E593" i="14"/>
  <c r="E592" i="14"/>
  <c r="K591" i="14"/>
  <c r="L591" i="14"/>
  <c r="E591" i="14"/>
  <c r="K590" i="14"/>
  <c r="L590" i="14"/>
  <c r="E590" i="14"/>
  <c r="K589" i="14"/>
  <c r="L589" i="14"/>
  <c r="E589" i="14"/>
  <c r="K588" i="14"/>
  <c r="L588" i="14"/>
  <c r="E588" i="14"/>
  <c r="K587" i="14"/>
  <c r="L587" i="14"/>
  <c r="E587" i="14"/>
  <c r="K586" i="14"/>
  <c r="L586" i="14"/>
  <c r="E586" i="14"/>
  <c r="K585" i="14"/>
  <c r="L585" i="14"/>
  <c r="E585" i="14"/>
  <c r="K584" i="14"/>
  <c r="L584" i="14"/>
  <c r="E584" i="14"/>
  <c r="K583" i="14"/>
  <c r="L583" i="14"/>
  <c r="E583" i="14"/>
  <c r="K582" i="14"/>
  <c r="L582" i="14"/>
  <c r="E582" i="14"/>
  <c r="K581" i="14"/>
  <c r="L581" i="14"/>
  <c r="E581" i="14"/>
  <c r="K580" i="14"/>
  <c r="L580" i="14"/>
  <c r="E580" i="14"/>
  <c r="K579" i="14"/>
  <c r="L579" i="14"/>
  <c r="E579" i="14"/>
  <c r="L578" i="14"/>
  <c r="K578" i="14"/>
  <c r="E578" i="14"/>
  <c r="E577" i="14"/>
  <c r="K576" i="14"/>
  <c r="L576" i="14"/>
  <c r="E576" i="14"/>
  <c r="K575" i="14"/>
  <c r="L575" i="14"/>
  <c r="E575" i="14"/>
  <c r="K574" i="14"/>
  <c r="L574" i="14"/>
  <c r="E574" i="14"/>
  <c r="K573" i="14"/>
  <c r="L573" i="14"/>
  <c r="E573" i="14"/>
  <c r="K572" i="14"/>
  <c r="L572" i="14"/>
  <c r="E572" i="14"/>
  <c r="K571" i="14"/>
  <c r="L571" i="14"/>
  <c r="E571" i="14"/>
  <c r="K570" i="14"/>
  <c r="L570" i="14"/>
  <c r="E570" i="14"/>
  <c r="L569" i="14"/>
  <c r="K569" i="14"/>
  <c r="E569" i="14"/>
  <c r="E568" i="14"/>
  <c r="K567" i="14"/>
  <c r="L567" i="14"/>
  <c r="E567" i="14"/>
  <c r="K566" i="14"/>
  <c r="L566" i="14"/>
  <c r="E566" i="14"/>
  <c r="K565" i="14"/>
  <c r="L565" i="14"/>
  <c r="E565" i="14"/>
  <c r="K564" i="14"/>
  <c r="L564" i="14"/>
  <c r="E564" i="14"/>
  <c r="K563" i="14"/>
  <c r="L563" i="14"/>
  <c r="E563" i="14"/>
  <c r="K562" i="14"/>
  <c r="L562" i="14"/>
  <c r="E562" i="14"/>
  <c r="L561" i="14"/>
  <c r="K561" i="14"/>
  <c r="E561" i="14"/>
  <c r="E560" i="14"/>
  <c r="K559" i="14"/>
  <c r="L559" i="14"/>
  <c r="E559" i="14"/>
  <c r="K558" i="14"/>
  <c r="L558" i="14"/>
  <c r="E558" i="14"/>
  <c r="K557" i="14"/>
  <c r="L557" i="14"/>
  <c r="E557" i="14"/>
  <c r="K556" i="14"/>
  <c r="L556" i="14"/>
  <c r="E556" i="14"/>
  <c r="K555" i="14"/>
  <c r="L555" i="14"/>
  <c r="E555" i="14"/>
  <c r="K554" i="14"/>
  <c r="L554" i="14"/>
  <c r="E554" i="14"/>
  <c r="K553" i="14"/>
  <c r="L553" i="14"/>
  <c r="E553" i="14"/>
  <c r="L551" i="14"/>
  <c r="K551" i="14"/>
  <c r="L552" i="14"/>
  <c r="K552" i="14"/>
  <c r="E552" i="14"/>
  <c r="E551" i="14"/>
  <c r="L550" i="14"/>
  <c r="K550" i="14"/>
  <c r="E550" i="14"/>
  <c r="E549" i="14"/>
  <c r="E548" i="14"/>
  <c r="L547" i="14"/>
  <c r="K547" i="14"/>
  <c r="E547" i="14"/>
  <c r="E546" i="14"/>
  <c r="K545" i="14"/>
  <c r="L545" i="14"/>
  <c r="E545" i="14"/>
  <c r="K544" i="14"/>
  <c r="L544" i="14"/>
  <c r="E544" i="14"/>
  <c r="L543" i="14"/>
  <c r="K543" i="14"/>
  <c r="E543" i="14"/>
  <c r="E542" i="14"/>
  <c r="K541" i="14"/>
  <c r="L541" i="14"/>
  <c r="E541" i="14"/>
  <c r="K540" i="14"/>
  <c r="L540" i="14"/>
  <c r="E540" i="14"/>
  <c r="K539" i="14"/>
  <c r="L539" i="14"/>
  <c r="E539" i="14"/>
  <c r="K538" i="14"/>
  <c r="L538" i="14"/>
  <c r="E538" i="14"/>
  <c r="K537" i="14"/>
  <c r="L537" i="14"/>
  <c r="E537" i="14"/>
  <c r="K536" i="14"/>
  <c r="L536" i="14"/>
  <c r="E536" i="14"/>
  <c r="K535" i="14"/>
  <c r="L535" i="14"/>
  <c r="E535" i="14"/>
  <c r="K534" i="14"/>
  <c r="L534" i="14"/>
  <c r="E534" i="14"/>
  <c r="L533" i="14"/>
  <c r="K533" i="14"/>
  <c r="E533" i="14"/>
  <c r="E532" i="14"/>
  <c r="K531" i="14"/>
  <c r="L531" i="14"/>
  <c r="E531" i="14"/>
  <c r="K530" i="14"/>
  <c r="L530" i="14"/>
  <c r="E530" i="14"/>
  <c r="K529" i="14"/>
  <c r="L529" i="14"/>
  <c r="E529" i="14"/>
  <c r="L528" i="14"/>
  <c r="K528" i="14"/>
  <c r="E528" i="14"/>
  <c r="E527" i="14"/>
  <c r="K526" i="14"/>
  <c r="L526" i="14"/>
  <c r="E526" i="14"/>
  <c r="K525" i="14"/>
  <c r="L525" i="14"/>
  <c r="E525" i="14"/>
  <c r="E524" i="14"/>
  <c r="K524" i="14"/>
  <c r="L524" i="14"/>
  <c r="K523" i="14"/>
  <c r="L523" i="14"/>
  <c r="E523" i="14"/>
  <c r="K522" i="14"/>
  <c r="L522" i="14"/>
  <c r="E522" i="14"/>
  <c r="K521" i="14"/>
  <c r="L521" i="14"/>
  <c r="E521" i="14"/>
  <c r="K520" i="14"/>
  <c r="L520" i="14"/>
  <c r="E520" i="14"/>
  <c r="E519" i="14"/>
  <c r="K519" i="14"/>
  <c r="L519" i="14"/>
  <c r="K518" i="14"/>
  <c r="L518" i="14"/>
  <c r="E518" i="14"/>
  <c r="K517" i="14"/>
  <c r="L517" i="14"/>
  <c r="E517" i="14"/>
  <c r="L516" i="14"/>
  <c r="K516" i="14"/>
  <c r="E516" i="14"/>
  <c r="E515" i="14"/>
  <c r="K514" i="14"/>
  <c r="L514" i="14"/>
  <c r="E514" i="14"/>
  <c r="K513" i="14"/>
  <c r="L513" i="14"/>
  <c r="E513" i="14"/>
  <c r="E512" i="14"/>
  <c r="K512" i="14"/>
  <c r="L512" i="14"/>
  <c r="K511" i="14"/>
  <c r="L511" i="14"/>
  <c r="E511" i="14"/>
  <c r="K510" i="14"/>
  <c r="L510" i="14"/>
  <c r="E510" i="14"/>
  <c r="K509" i="14"/>
  <c r="L509" i="14"/>
  <c r="E509" i="14"/>
  <c r="K508" i="14"/>
  <c r="L508" i="14"/>
  <c r="E508" i="14"/>
  <c r="K507" i="14"/>
  <c r="L507" i="14"/>
  <c r="E507" i="14"/>
  <c r="K506" i="14"/>
  <c r="L506" i="14"/>
  <c r="E506" i="14"/>
  <c r="E505" i="14"/>
  <c r="K505" i="14"/>
  <c r="L505" i="14"/>
  <c r="K504" i="14"/>
  <c r="L504" i="14"/>
  <c r="E504" i="14"/>
  <c r="K503" i="14"/>
  <c r="L503" i="14"/>
  <c r="E503" i="14"/>
  <c r="L502" i="14"/>
  <c r="K502" i="14"/>
  <c r="E502" i="14"/>
  <c r="E501" i="14"/>
  <c r="K500" i="14"/>
  <c r="L500" i="14"/>
  <c r="E500" i="14"/>
  <c r="K499" i="14"/>
  <c r="L499" i="14"/>
  <c r="E499" i="14"/>
  <c r="K498" i="14"/>
  <c r="L498" i="14"/>
  <c r="E498" i="14"/>
  <c r="K497" i="14"/>
  <c r="L497" i="14"/>
  <c r="E497" i="14"/>
  <c r="K496" i="14"/>
  <c r="L496" i="14"/>
  <c r="E496" i="14"/>
  <c r="K495" i="14"/>
  <c r="L495" i="14"/>
  <c r="E495" i="14"/>
  <c r="K494" i="14"/>
  <c r="L494" i="14"/>
  <c r="E494" i="14"/>
  <c r="K493" i="14"/>
  <c r="L493" i="14"/>
  <c r="E493" i="14"/>
  <c r="K492" i="14"/>
  <c r="L492" i="14"/>
  <c r="E492" i="14"/>
  <c r="K491" i="14"/>
  <c r="L491" i="14"/>
  <c r="E491" i="14"/>
  <c r="L490" i="14"/>
  <c r="K490" i="14"/>
  <c r="E490" i="14"/>
  <c r="K489" i="14"/>
  <c r="L489" i="14"/>
  <c r="E489" i="14"/>
  <c r="K488" i="14"/>
  <c r="L488" i="14"/>
  <c r="E488" i="14"/>
  <c r="K487" i="14"/>
  <c r="L487" i="14"/>
  <c r="E487" i="14"/>
  <c r="K486" i="14"/>
  <c r="L486" i="14"/>
  <c r="E486" i="14"/>
  <c r="E485" i="14"/>
  <c r="K485" i="14"/>
  <c r="L485" i="14"/>
  <c r="L484" i="14"/>
  <c r="K484" i="14"/>
  <c r="E484" i="14"/>
  <c r="L483" i="14"/>
  <c r="K483" i="14"/>
  <c r="E483" i="14"/>
  <c r="E482" i="14"/>
  <c r="K481" i="14"/>
  <c r="L481" i="14"/>
  <c r="E481" i="14"/>
  <c r="L480" i="14"/>
  <c r="K480" i="14"/>
  <c r="E480" i="14"/>
  <c r="E479" i="14"/>
  <c r="K478" i="14"/>
  <c r="L478" i="14"/>
  <c r="E478" i="14"/>
  <c r="K477" i="14"/>
  <c r="L477" i="14"/>
  <c r="E477" i="14"/>
  <c r="K476" i="14"/>
  <c r="L476" i="14"/>
  <c r="E476" i="14"/>
  <c r="K475" i="14"/>
  <c r="L475" i="14"/>
  <c r="E475" i="14"/>
  <c r="L474" i="14"/>
  <c r="K474" i="14"/>
  <c r="E474" i="14"/>
  <c r="E473" i="14"/>
  <c r="K472" i="14"/>
  <c r="L472" i="14"/>
  <c r="E472" i="14"/>
  <c r="K471" i="14"/>
  <c r="L471" i="14"/>
  <c r="E471" i="14"/>
  <c r="K470" i="14"/>
  <c r="L470" i="14"/>
  <c r="E470" i="14"/>
  <c r="K469" i="14"/>
  <c r="L469" i="14"/>
  <c r="E469" i="14"/>
  <c r="L468" i="14"/>
  <c r="K468" i="14"/>
  <c r="E468" i="14"/>
  <c r="E467" i="14"/>
  <c r="K466" i="14"/>
  <c r="L466" i="14"/>
  <c r="E466" i="14"/>
  <c r="K465" i="14"/>
  <c r="L465" i="14"/>
  <c r="E465" i="14"/>
  <c r="K464" i="14"/>
  <c r="L464" i="14"/>
  <c r="E464" i="14"/>
  <c r="K463" i="14"/>
  <c r="L463" i="14"/>
  <c r="E463" i="14"/>
  <c r="K462" i="14"/>
  <c r="L462" i="14"/>
  <c r="E462" i="14"/>
  <c r="K461" i="14"/>
  <c r="L461" i="14"/>
  <c r="E461" i="14"/>
  <c r="K460" i="14"/>
  <c r="L460" i="14"/>
  <c r="E460" i="14"/>
  <c r="K459" i="14"/>
  <c r="L459" i="14"/>
  <c r="E459" i="14"/>
  <c r="K458" i="14"/>
  <c r="L458" i="14"/>
  <c r="E458" i="14"/>
  <c r="K457" i="14"/>
  <c r="L457" i="14"/>
  <c r="E457" i="14"/>
  <c r="K456" i="14"/>
  <c r="L456" i="14"/>
  <c r="E456" i="14"/>
  <c r="K455" i="14"/>
  <c r="L455" i="14"/>
  <c r="E455" i="14"/>
  <c r="K454" i="14"/>
  <c r="L454" i="14"/>
  <c r="E454" i="14"/>
  <c r="K453" i="14"/>
  <c r="L453" i="14"/>
  <c r="E453" i="14"/>
  <c r="K452" i="14"/>
  <c r="L452" i="14"/>
  <c r="E452" i="14"/>
  <c r="K451" i="14"/>
  <c r="L451" i="14"/>
  <c r="E451" i="14"/>
  <c r="L287" i="14"/>
  <c r="K287" i="14"/>
  <c r="E287" i="14"/>
  <c r="E286" i="14"/>
  <c r="K285" i="14"/>
  <c r="L285" i="14"/>
  <c r="E285" i="14"/>
  <c r="K284" i="14"/>
  <c r="L284" i="14"/>
  <c r="E284" i="14"/>
  <c r="K283" i="14"/>
  <c r="L283" i="14"/>
  <c r="E283" i="14"/>
  <c r="K282" i="14"/>
  <c r="L282" i="14"/>
  <c r="E282" i="14"/>
  <c r="K280" i="14"/>
  <c r="L280" i="14"/>
  <c r="E280" i="14"/>
  <c r="E281" i="14"/>
  <c r="K281" i="14"/>
  <c r="L281" i="14"/>
  <c r="K279" i="14"/>
  <c r="L279" i="14"/>
  <c r="E279" i="14"/>
  <c r="K278" i="14"/>
  <c r="L278" i="14"/>
  <c r="E278" i="14"/>
  <c r="K277" i="14"/>
  <c r="L277" i="14"/>
  <c r="E277" i="14"/>
  <c r="K276" i="14"/>
  <c r="L276" i="14"/>
  <c r="E276" i="14"/>
  <c r="K275" i="14"/>
  <c r="L275" i="14"/>
  <c r="E275" i="14"/>
  <c r="K274" i="14"/>
  <c r="L274" i="14"/>
  <c r="E274" i="14"/>
  <c r="L273" i="14"/>
  <c r="K273" i="14"/>
  <c r="E273" i="14"/>
  <c r="E272" i="14"/>
  <c r="K271" i="14"/>
  <c r="L271" i="14"/>
  <c r="E271" i="14"/>
  <c r="K270" i="14"/>
  <c r="L270" i="14"/>
  <c r="E270" i="14"/>
  <c r="K269" i="14"/>
  <c r="L269" i="14"/>
  <c r="E269" i="14"/>
  <c r="K268" i="14"/>
  <c r="L268" i="14"/>
  <c r="E268" i="14"/>
  <c r="K267" i="14"/>
  <c r="L267" i="14"/>
  <c r="E267" i="14"/>
  <c r="K266" i="14"/>
  <c r="L266" i="14"/>
  <c r="E266" i="14"/>
  <c r="E265" i="14"/>
  <c r="K264" i="14"/>
  <c r="L264" i="14"/>
  <c r="E264" i="14"/>
  <c r="K263" i="14"/>
  <c r="L263" i="14"/>
  <c r="E263" i="14"/>
  <c r="K262" i="14"/>
  <c r="L262" i="14"/>
  <c r="E262" i="14"/>
  <c r="K261" i="14"/>
  <c r="L261" i="14"/>
  <c r="E261" i="14"/>
  <c r="L260" i="14"/>
  <c r="K260" i="14"/>
  <c r="E260" i="14"/>
  <c r="E259" i="14"/>
  <c r="K258" i="14"/>
  <c r="L258" i="14"/>
  <c r="E258" i="14"/>
  <c r="K257" i="14"/>
  <c r="L257" i="14"/>
  <c r="E257" i="14"/>
  <c r="E256" i="14"/>
  <c r="K256" i="14"/>
  <c r="L256" i="14"/>
  <c r="K255" i="14"/>
  <c r="L255" i="14"/>
  <c r="E255" i="14"/>
  <c r="K254" i="14"/>
  <c r="L254" i="14"/>
  <c r="E254" i="14"/>
  <c r="K253" i="14"/>
  <c r="L253" i="14"/>
  <c r="E253" i="14"/>
  <c r="K252" i="14"/>
  <c r="L252" i="14"/>
  <c r="E252" i="14"/>
  <c r="K251" i="14"/>
  <c r="L251" i="14"/>
  <c r="E251" i="14"/>
  <c r="K250" i="14"/>
  <c r="L250" i="14"/>
  <c r="E250" i="14"/>
  <c r="K249" i="14"/>
  <c r="L249" i="14"/>
  <c r="E249" i="14"/>
  <c r="K248" i="14"/>
  <c r="L248" i="14"/>
  <c r="E248" i="14"/>
  <c r="K247" i="14"/>
  <c r="L247" i="14"/>
  <c r="E247" i="14"/>
  <c r="K246" i="14"/>
  <c r="L246" i="14"/>
  <c r="E246" i="14"/>
  <c r="K245" i="14"/>
  <c r="L245" i="14"/>
  <c r="E245" i="14"/>
  <c r="L244" i="14"/>
  <c r="K244" i="14"/>
  <c r="E244" i="14"/>
  <c r="L243" i="14"/>
  <c r="K243" i="14"/>
  <c r="E243" i="14"/>
  <c r="L242" i="14"/>
  <c r="K242" i="14"/>
  <c r="E242" i="14"/>
  <c r="E241" i="14"/>
  <c r="E240" i="14"/>
  <c r="L240" i="14"/>
  <c r="K240" i="14"/>
  <c r="E239" i="14"/>
  <c r="K238" i="14"/>
  <c r="L238" i="14"/>
  <c r="E238" i="14"/>
  <c r="K237" i="14"/>
  <c r="L237" i="14"/>
  <c r="E237" i="14"/>
  <c r="K236" i="14"/>
  <c r="L236" i="14"/>
  <c r="E236" i="14"/>
  <c r="K235" i="14"/>
  <c r="L235" i="14"/>
  <c r="E235" i="14"/>
  <c r="K234" i="14"/>
  <c r="L234" i="14"/>
  <c r="E234" i="14"/>
  <c r="K233" i="14"/>
  <c r="L233" i="14"/>
  <c r="E233" i="14"/>
  <c r="K232" i="14"/>
  <c r="L232" i="14"/>
  <c r="E232" i="14"/>
  <c r="K231" i="14"/>
  <c r="L231" i="14"/>
  <c r="E231" i="14"/>
  <c r="K230" i="14"/>
  <c r="L230" i="14"/>
  <c r="E230" i="14"/>
  <c r="K229" i="14"/>
  <c r="L229" i="14"/>
  <c r="E229" i="14"/>
  <c r="K228" i="14"/>
  <c r="L228" i="14"/>
  <c r="E228" i="14"/>
  <c r="K227" i="14"/>
  <c r="L227" i="14"/>
  <c r="E227" i="14"/>
  <c r="K226" i="14"/>
  <c r="L226" i="14"/>
  <c r="E226" i="14"/>
  <c r="K225" i="14"/>
  <c r="L225" i="14"/>
  <c r="E225" i="14"/>
  <c r="K224" i="14"/>
  <c r="L224" i="14"/>
  <c r="E224" i="14"/>
  <c r="K223" i="14"/>
  <c r="L223" i="14"/>
  <c r="E223" i="14"/>
  <c r="L222" i="14"/>
  <c r="K222" i="14"/>
  <c r="E221" i="14"/>
  <c r="E222" i="14"/>
  <c r="K221" i="14"/>
  <c r="L221" i="14"/>
  <c r="K220" i="14"/>
  <c r="L220" i="14"/>
  <c r="E220" i="14"/>
  <c r="K219" i="14"/>
  <c r="L219" i="14"/>
  <c r="E219" i="14"/>
  <c r="K218" i="14"/>
  <c r="L218" i="14"/>
  <c r="E218" i="14"/>
  <c r="K217" i="14"/>
  <c r="L217" i="14"/>
  <c r="E217" i="14"/>
  <c r="K216" i="14"/>
  <c r="L216" i="14"/>
  <c r="E216" i="14"/>
  <c r="K215" i="14"/>
  <c r="L215" i="14"/>
  <c r="E215" i="14"/>
  <c r="K214" i="14"/>
  <c r="L214" i="14"/>
  <c r="E214" i="14"/>
  <c r="K213" i="14"/>
  <c r="L213" i="14"/>
  <c r="E213" i="14"/>
  <c r="K212" i="14"/>
  <c r="L212" i="14"/>
  <c r="E212" i="14"/>
  <c r="K211" i="14"/>
  <c r="L211" i="14"/>
  <c r="E211" i="14"/>
  <c r="K210" i="14"/>
  <c r="L210" i="14"/>
  <c r="E210" i="14"/>
  <c r="K209" i="14"/>
  <c r="L209" i="14"/>
  <c r="E209" i="14"/>
  <c r="K208" i="14"/>
  <c r="L208" i="14"/>
  <c r="E208" i="14"/>
  <c r="K207" i="14"/>
  <c r="L207" i="14"/>
  <c r="E207" i="14"/>
  <c r="K206" i="14"/>
  <c r="L206" i="14"/>
  <c r="E206" i="14"/>
  <c r="K205" i="14"/>
  <c r="L205" i="14"/>
  <c r="E205" i="14"/>
  <c r="K204" i="14"/>
  <c r="L204" i="14"/>
  <c r="E204" i="14"/>
  <c r="K203" i="14"/>
  <c r="L203" i="14"/>
  <c r="E203" i="14"/>
  <c r="K202" i="14"/>
  <c r="L202" i="14"/>
  <c r="E202" i="14"/>
  <c r="K201" i="14"/>
  <c r="L201" i="14"/>
  <c r="E201" i="14"/>
  <c r="K200" i="14"/>
  <c r="L200" i="14"/>
  <c r="E200" i="14"/>
  <c r="K199" i="14"/>
  <c r="L199" i="14"/>
  <c r="E199" i="14"/>
  <c r="K198" i="14"/>
  <c r="L198" i="14"/>
  <c r="E198" i="14"/>
  <c r="K197" i="14"/>
  <c r="L197" i="14"/>
  <c r="E197" i="14"/>
  <c r="K196" i="14"/>
  <c r="L196" i="14"/>
  <c r="E196" i="14"/>
  <c r="K195" i="14"/>
  <c r="L195" i="14"/>
  <c r="E195" i="14"/>
  <c r="L194" i="14"/>
  <c r="K194" i="14"/>
  <c r="E194" i="14"/>
  <c r="E193" i="14"/>
  <c r="K192" i="14"/>
  <c r="L192" i="14"/>
  <c r="E192" i="14"/>
  <c r="K191" i="14"/>
  <c r="L191" i="14"/>
  <c r="E191" i="14"/>
  <c r="K190" i="14"/>
  <c r="L190" i="14"/>
  <c r="E190" i="14"/>
  <c r="K189" i="14"/>
  <c r="L189" i="14"/>
  <c r="E189" i="14"/>
  <c r="K188" i="14"/>
  <c r="L188" i="14"/>
  <c r="E188" i="14"/>
  <c r="K187" i="14"/>
  <c r="L187" i="14"/>
  <c r="E187" i="14"/>
  <c r="K186" i="14"/>
  <c r="L186" i="14"/>
  <c r="E186" i="14"/>
  <c r="K185" i="14"/>
  <c r="L185" i="14"/>
  <c r="E185" i="14"/>
  <c r="K184" i="14"/>
  <c r="L184" i="14"/>
  <c r="E184" i="14"/>
  <c r="K183" i="14"/>
  <c r="L183" i="14"/>
  <c r="E183" i="14"/>
  <c r="K182" i="14"/>
  <c r="L182" i="14"/>
  <c r="E182" i="14"/>
  <c r="K181" i="14"/>
  <c r="L181" i="14"/>
  <c r="E181" i="14"/>
  <c r="L180" i="14"/>
  <c r="K180" i="14"/>
  <c r="E180" i="14"/>
  <c r="E179" i="14"/>
  <c r="K178" i="14"/>
  <c r="L178" i="14"/>
  <c r="E178" i="14"/>
  <c r="K177" i="14"/>
  <c r="L177" i="14"/>
  <c r="E177" i="14"/>
  <c r="K176" i="14"/>
  <c r="L176" i="14"/>
  <c r="E176" i="14"/>
  <c r="K175" i="14"/>
  <c r="L175" i="14"/>
  <c r="E175" i="14"/>
  <c r="K174" i="14"/>
  <c r="L174" i="14"/>
  <c r="E174" i="14"/>
  <c r="K173" i="14"/>
  <c r="L173" i="14"/>
  <c r="E173" i="14"/>
  <c r="K172" i="14"/>
  <c r="L172" i="14"/>
  <c r="E172" i="14"/>
  <c r="L171" i="14"/>
  <c r="K171" i="14"/>
  <c r="E171" i="14"/>
  <c r="E170" i="14"/>
  <c r="K169" i="14"/>
  <c r="L169" i="14"/>
  <c r="E169" i="14"/>
  <c r="K168" i="14"/>
  <c r="L168" i="14"/>
  <c r="E168" i="14"/>
  <c r="K167" i="14"/>
  <c r="L167" i="14"/>
  <c r="E167" i="14"/>
  <c r="K166" i="14"/>
  <c r="L166" i="14"/>
  <c r="E166" i="14"/>
  <c r="K165" i="14"/>
  <c r="L165" i="14"/>
  <c r="E165" i="14"/>
  <c r="K164" i="14"/>
  <c r="L164" i="14"/>
  <c r="E164" i="14"/>
  <c r="K163" i="14"/>
  <c r="L163" i="14"/>
  <c r="E163" i="14"/>
  <c r="L162" i="14"/>
  <c r="K162" i="14"/>
  <c r="E162" i="14"/>
  <c r="E160" i="14"/>
  <c r="E161" i="14"/>
  <c r="K160" i="14"/>
  <c r="L160" i="14"/>
  <c r="K159" i="14"/>
  <c r="L159" i="14"/>
  <c r="E159" i="14"/>
  <c r="K158" i="14"/>
  <c r="L158" i="14"/>
  <c r="E158" i="14"/>
  <c r="K157" i="14"/>
  <c r="L157" i="14"/>
  <c r="E157" i="14"/>
  <c r="K156" i="14"/>
  <c r="L156" i="14"/>
  <c r="E156" i="14"/>
  <c r="K155" i="14"/>
  <c r="L155" i="14"/>
  <c r="E155" i="14"/>
  <c r="K154" i="14"/>
  <c r="L154" i="14"/>
  <c r="E154" i="14"/>
  <c r="K152" i="14"/>
  <c r="L152" i="14"/>
  <c r="E152" i="14"/>
  <c r="K153" i="14"/>
  <c r="L153" i="14"/>
  <c r="E153" i="14"/>
  <c r="K151" i="14"/>
  <c r="L151" i="14"/>
  <c r="E151" i="14"/>
  <c r="K150" i="14"/>
  <c r="L150" i="14"/>
  <c r="E150" i="14"/>
  <c r="E149" i="14"/>
  <c r="K149" i="14"/>
  <c r="L149" i="14"/>
  <c r="K148" i="14"/>
  <c r="L148" i="14"/>
  <c r="E148" i="14"/>
  <c r="K147" i="14"/>
  <c r="L147" i="14"/>
  <c r="E147" i="14"/>
  <c r="K146" i="14"/>
  <c r="L146" i="14"/>
  <c r="E146" i="14"/>
  <c r="L145" i="14"/>
  <c r="K145" i="14"/>
  <c r="E145" i="14"/>
  <c r="L144" i="14"/>
  <c r="K144" i="14"/>
  <c r="E144" i="14"/>
  <c r="L143" i="14"/>
  <c r="K143" i="14"/>
  <c r="E143" i="14"/>
  <c r="E142" i="14"/>
  <c r="L142" i="14"/>
  <c r="K142" i="14"/>
  <c r="E141" i="14"/>
  <c r="E140" i="14"/>
  <c r="K139" i="14"/>
  <c r="L139" i="14"/>
  <c r="E139" i="14"/>
  <c r="K138" i="14"/>
  <c r="L138" i="14"/>
  <c r="E138" i="14"/>
  <c r="K137" i="14"/>
  <c r="L137" i="14"/>
  <c r="E137" i="14"/>
  <c r="K136" i="14"/>
  <c r="L136" i="14"/>
  <c r="E136" i="14"/>
  <c r="K135" i="14"/>
  <c r="L135" i="14"/>
  <c r="E135" i="14"/>
  <c r="K134" i="14"/>
  <c r="L134" i="14"/>
  <c r="E134" i="14"/>
  <c r="K133" i="14"/>
  <c r="L133" i="14"/>
  <c r="E133" i="14"/>
  <c r="K132" i="14"/>
  <c r="L132" i="14"/>
  <c r="E132" i="14"/>
  <c r="K131" i="14"/>
  <c r="L131" i="14"/>
  <c r="E131" i="14"/>
  <c r="K130" i="14"/>
  <c r="L130" i="14"/>
  <c r="E130" i="14"/>
  <c r="K129" i="14"/>
  <c r="L129" i="14"/>
  <c r="E129" i="14"/>
  <c r="K128" i="14"/>
  <c r="L128" i="14"/>
  <c r="E128" i="14"/>
  <c r="K127" i="14"/>
  <c r="L127" i="14"/>
  <c r="E127" i="14"/>
  <c r="K126" i="14"/>
  <c r="L126" i="14"/>
  <c r="E126" i="14"/>
  <c r="K125" i="14"/>
  <c r="L125" i="14"/>
  <c r="E125" i="14"/>
  <c r="K124" i="14"/>
  <c r="L124" i="14"/>
  <c r="E124" i="14"/>
  <c r="K123" i="14"/>
  <c r="L123" i="14"/>
  <c r="E123" i="14"/>
  <c r="K122" i="14"/>
  <c r="L122" i="14"/>
  <c r="E122" i="14"/>
  <c r="L121" i="14"/>
  <c r="K121" i="14"/>
  <c r="E121" i="14"/>
  <c r="E120" i="14"/>
  <c r="K119" i="14"/>
  <c r="L119" i="14"/>
  <c r="E119" i="14"/>
  <c r="K118" i="14"/>
  <c r="L118" i="14"/>
  <c r="E118" i="14"/>
  <c r="K117" i="14"/>
  <c r="L117" i="14"/>
  <c r="E117" i="14"/>
  <c r="K116" i="14"/>
  <c r="L116" i="14"/>
  <c r="E116" i="14"/>
  <c r="K115" i="14"/>
  <c r="L115" i="14"/>
  <c r="E115" i="14"/>
  <c r="K114" i="14"/>
  <c r="L114" i="14"/>
  <c r="E114" i="14"/>
  <c r="E113" i="14"/>
  <c r="K113" i="14"/>
  <c r="L113" i="14"/>
  <c r="K112" i="14"/>
  <c r="L112" i="14"/>
  <c r="E112" i="14"/>
  <c r="K111" i="14"/>
  <c r="L111" i="14"/>
  <c r="E111" i="14"/>
  <c r="K110" i="14"/>
  <c r="L110" i="14"/>
  <c r="E110" i="14"/>
  <c r="E109" i="14"/>
  <c r="K109" i="14"/>
  <c r="L109" i="14"/>
  <c r="K108" i="14"/>
  <c r="L108" i="14"/>
  <c r="E108" i="14"/>
  <c r="K107" i="14"/>
  <c r="L107" i="14"/>
  <c r="E107" i="14"/>
  <c r="K106" i="14"/>
  <c r="L106" i="14"/>
  <c r="E106" i="14"/>
  <c r="K105" i="14"/>
  <c r="L105" i="14"/>
  <c r="E105" i="14"/>
  <c r="K104" i="14"/>
  <c r="L104" i="14"/>
  <c r="E104" i="14"/>
  <c r="L103" i="14"/>
  <c r="K103" i="14"/>
  <c r="E103" i="14"/>
  <c r="E102" i="14"/>
  <c r="K101" i="14"/>
  <c r="L101" i="14"/>
  <c r="E101" i="14"/>
  <c r="K100" i="14"/>
  <c r="L100" i="14"/>
  <c r="E100" i="14"/>
  <c r="K99" i="14"/>
  <c r="L99" i="14"/>
  <c r="E99" i="14"/>
  <c r="K98" i="14"/>
  <c r="L98" i="14"/>
  <c r="E98" i="14"/>
  <c r="K97" i="14"/>
  <c r="L97" i="14"/>
  <c r="E97" i="14"/>
  <c r="K96" i="14"/>
  <c r="L96" i="14"/>
  <c r="E96" i="14"/>
  <c r="K95" i="14"/>
  <c r="L95" i="14"/>
  <c r="E95" i="14"/>
  <c r="K94" i="14"/>
  <c r="L94" i="14"/>
  <c r="E94" i="14"/>
  <c r="K93" i="14"/>
  <c r="L93" i="14"/>
  <c r="E93" i="14"/>
  <c r="K92" i="14"/>
  <c r="L92" i="14"/>
  <c r="E92" i="14"/>
  <c r="K91" i="14"/>
  <c r="L91" i="14"/>
  <c r="E91" i="14"/>
  <c r="K90" i="14"/>
  <c r="L90" i="14"/>
  <c r="E90" i="14"/>
  <c r="K89" i="14"/>
  <c r="L89" i="14"/>
  <c r="E89" i="14"/>
  <c r="K88" i="14"/>
  <c r="L88" i="14"/>
  <c r="E88" i="14"/>
  <c r="K87" i="14"/>
  <c r="L87" i="14"/>
  <c r="E87" i="14"/>
  <c r="K86" i="14"/>
  <c r="L86" i="14"/>
  <c r="E86" i="14"/>
  <c r="K85" i="14"/>
  <c r="L85" i="14"/>
  <c r="E85" i="14"/>
  <c r="K84" i="14"/>
  <c r="L84" i="14"/>
  <c r="E84" i="14"/>
  <c r="K78" i="14"/>
  <c r="K83" i="14"/>
  <c r="L83" i="14"/>
  <c r="E83" i="14"/>
  <c r="K82" i="14"/>
  <c r="L82" i="14"/>
  <c r="E82" i="14"/>
  <c r="K81" i="14"/>
  <c r="L81" i="14"/>
  <c r="E81" i="14"/>
  <c r="K80" i="14"/>
  <c r="L80" i="14"/>
  <c r="E80" i="14"/>
  <c r="K79" i="14"/>
  <c r="L79" i="14"/>
  <c r="E79" i="14"/>
  <c r="L78" i="14"/>
  <c r="E78" i="14"/>
  <c r="K76" i="14"/>
  <c r="L76" i="14"/>
  <c r="E76" i="14"/>
  <c r="K75" i="14"/>
  <c r="L75" i="14"/>
  <c r="E75" i="14"/>
  <c r="K74" i="14"/>
  <c r="L74" i="14"/>
  <c r="E74" i="14"/>
  <c r="E73" i="14"/>
  <c r="K73" i="14"/>
  <c r="L73" i="14"/>
  <c r="K68" i="14"/>
  <c r="L68" i="14"/>
  <c r="E72" i="14"/>
  <c r="E71" i="14"/>
  <c r="E70" i="14"/>
  <c r="E69" i="14"/>
  <c r="E68" i="14"/>
  <c r="K72" i="14"/>
  <c r="L72" i="14"/>
  <c r="K71" i="14"/>
  <c r="L71" i="14"/>
  <c r="K70" i="14"/>
  <c r="L70" i="14"/>
  <c r="K69" i="14"/>
  <c r="L69" i="14"/>
  <c r="K67" i="14"/>
  <c r="L67" i="14"/>
  <c r="E67" i="14"/>
  <c r="K66" i="14"/>
  <c r="L66" i="14"/>
  <c r="E66" i="14"/>
  <c r="K65" i="14"/>
  <c r="L65" i="14"/>
  <c r="E65" i="14"/>
  <c r="K64" i="14"/>
  <c r="L64" i="14"/>
  <c r="E64" i="14"/>
  <c r="K63" i="14"/>
  <c r="L63" i="14"/>
  <c r="E63" i="14"/>
  <c r="K62" i="14"/>
  <c r="L62" i="14"/>
  <c r="E62" i="14"/>
  <c r="E61" i="14"/>
  <c r="K61" i="14"/>
  <c r="L61" i="14"/>
  <c r="K60" i="14"/>
  <c r="L60" i="14"/>
  <c r="E60" i="14"/>
  <c r="E58" i="14"/>
  <c r="L59" i="14"/>
  <c r="K59" i="14"/>
  <c r="E59" i="14"/>
  <c r="L58" i="14"/>
  <c r="K58" i="14"/>
  <c r="E57" i="14"/>
  <c r="K56" i="14"/>
  <c r="L56" i="14"/>
  <c r="E56" i="14"/>
  <c r="K55" i="14"/>
  <c r="L55" i="14"/>
  <c r="E55" i="14"/>
  <c r="K54" i="14"/>
  <c r="L54" i="14"/>
  <c r="E54" i="14"/>
  <c r="K53" i="14"/>
  <c r="L53" i="14"/>
  <c r="E53" i="14"/>
  <c r="K52" i="14"/>
  <c r="L52" i="14"/>
  <c r="E52" i="14"/>
  <c r="K51" i="14"/>
  <c r="L51" i="14"/>
  <c r="E51" i="14"/>
  <c r="K50" i="14"/>
  <c r="L50" i="14"/>
  <c r="E50" i="14"/>
  <c r="E49" i="14"/>
  <c r="K49" i="14"/>
  <c r="L49" i="14"/>
  <c r="K48" i="14"/>
  <c r="L48" i="14"/>
  <c r="K46" i="14"/>
  <c r="E48" i="14"/>
  <c r="K47" i="14"/>
  <c r="L47" i="14"/>
  <c r="E47" i="14"/>
  <c r="E46" i="14"/>
  <c r="L46" i="14"/>
  <c r="K45" i="14"/>
  <c r="L45" i="14"/>
  <c r="E45" i="14"/>
  <c r="K44" i="14"/>
  <c r="L44" i="14"/>
  <c r="E44" i="14"/>
  <c r="K43" i="14"/>
  <c r="L43" i="14"/>
  <c r="E43" i="14"/>
  <c r="K42" i="14"/>
  <c r="L42" i="14"/>
  <c r="E42" i="14"/>
  <c r="K41" i="14"/>
  <c r="L41" i="14"/>
  <c r="E41" i="14"/>
  <c r="K40" i="14"/>
  <c r="L40" i="14"/>
  <c r="E40" i="14"/>
  <c r="K39" i="14"/>
  <c r="L39" i="14"/>
  <c r="E39" i="14"/>
  <c r="K38" i="14"/>
  <c r="L38" i="14"/>
  <c r="E38" i="14"/>
  <c r="K37" i="14"/>
  <c r="L37" i="14"/>
  <c r="E37" i="14"/>
  <c r="K36" i="14"/>
  <c r="L36" i="14"/>
  <c r="E36" i="14"/>
  <c r="K35" i="14"/>
  <c r="L35" i="14"/>
  <c r="E35" i="14"/>
  <c r="K34" i="14"/>
  <c r="L34" i="14"/>
  <c r="E34" i="14"/>
  <c r="K33" i="14"/>
  <c r="L33" i="14"/>
  <c r="E33" i="14"/>
  <c r="K32" i="14"/>
  <c r="L32" i="14"/>
  <c r="E32" i="14"/>
  <c r="K31" i="14"/>
  <c r="L31" i="14"/>
  <c r="E31" i="14"/>
  <c r="K30" i="14"/>
  <c r="L30" i="14"/>
  <c r="E30" i="14"/>
  <c r="K29" i="14"/>
  <c r="L29" i="14"/>
  <c r="E29" i="14"/>
  <c r="L28" i="14"/>
  <c r="K28" i="14"/>
  <c r="E28" i="14"/>
  <c r="E27" i="14"/>
  <c r="K26" i="14"/>
  <c r="L26" i="14"/>
  <c r="E26" i="14"/>
  <c r="L25" i="14"/>
  <c r="K25" i="14"/>
  <c r="E25" i="14"/>
  <c r="L24" i="14"/>
  <c r="K24" i="14"/>
  <c r="E24" i="14"/>
  <c r="E23" i="14"/>
  <c r="L22" i="14"/>
  <c r="K22" i="14"/>
  <c r="E22" i="14"/>
  <c r="E21" i="14"/>
  <c r="K20" i="14"/>
  <c r="L20" i="14"/>
  <c r="E20" i="14"/>
  <c r="K19" i="14"/>
  <c r="L19" i="14"/>
  <c r="E19" i="14"/>
  <c r="K18" i="14"/>
  <c r="L18" i="14"/>
  <c r="E18" i="14"/>
  <c r="K17" i="14"/>
  <c r="L17" i="14"/>
  <c r="E17" i="14"/>
  <c r="K16" i="14"/>
  <c r="L16" i="14"/>
  <c r="E16" i="14"/>
  <c r="K15" i="14"/>
  <c r="L15" i="14"/>
  <c r="E15" i="14"/>
  <c r="K14" i="14"/>
  <c r="L14" i="14"/>
  <c r="E14" i="14"/>
  <c r="K13" i="14"/>
  <c r="L13" i="14"/>
  <c r="E13" i="14"/>
  <c r="E12" i="14"/>
  <c r="K12" i="14"/>
  <c r="L12" i="14"/>
  <c r="K11" i="14"/>
  <c r="L11" i="14"/>
  <c r="E11" i="14"/>
  <c r="E10" i="14"/>
  <c r="E9" i="14"/>
  <c r="K10" i="14"/>
  <c r="L10" i="14"/>
  <c r="K8" i="14"/>
  <c r="L8" i="14"/>
  <c r="E8" i="14"/>
  <c r="E7" i="14"/>
  <c r="K7" i="14"/>
  <c r="L7" i="14"/>
  <c r="E6" i="14"/>
  <c r="K6" i="14"/>
  <c r="L6" i="14"/>
  <c r="E5" i="14"/>
  <c r="K5" i="14"/>
  <c r="L5" i="14"/>
  <c r="K4" i="14"/>
  <c r="L4" i="14"/>
  <c r="E4" i="14"/>
  <c r="E2" i="14"/>
  <c r="L3" i="14"/>
  <c r="K3" i="14"/>
  <c r="E3" i="14"/>
</calcChain>
</file>

<file path=xl/sharedStrings.xml><?xml version="1.0" encoding="utf-8"?>
<sst xmlns="http://schemas.openxmlformats.org/spreadsheetml/2006/main" count="1783" uniqueCount="30">
  <si>
    <t>Y</t>
  </si>
  <si>
    <t>Comments</t>
  </si>
  <si>
    <t>Splits in 2</t>
  </si>
  <si>
    <t>Depth</t>
  </si>
  <si>
    <t>Neck/1. order</t>
  </si>
  <si>
    <t>1. order / PA</t>
  </si>
  <si>
    <t>Date</t>
  </si>
  <si>
    <t>WT</t>
  </si>
  <si>
    <t>Splits in 3</t>
  </si>
  <si>
    <t>Bad resolution</t>
  </si>
  <si>
    <t>Maybe bifurcation?</t>
  </si>
  <si>
    <t>bad resolution</t>
  </si>
  <si>
    <t>Cells stuck in neck…</t>
  </si>
  <si>
    <t>Splits in 2, after that collects in venous end</t>
  </si>
  <si>
    <t>Forking</t>
  </si>
  <si>
    <t>Arteriole dividing in 2</t>
  </si>
  <si>
    <t>Sphincter is occluded</t>
  </si>
  <si>
    <t>Age</t>
  </si>
  <si>
    <t>Adult</t>
  </si>
  <si>
    <t>Old</t>
  </si>
  <si>
    <t>Very bad S/N</t>
  </si>
  <si>
    <t>Branch_number</t>
  </si>
  <si>
    <t>PA_number</t>
  </si>
  <si>
    <t>PA_diam</t>
  </si>
  <si>
    <t>Sphinc_diam</t>
  </si>
  <si>
    <t>Bulb_diam</t>
  </si>
  <si>
    <t>firstord_diam</t>
  </si>
  <si>
    <t>10_2</t>
  </si>
  <si>
    <t>11_2</t>
  </si>
  <si>
    <t>13_2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</si>
</sst>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5256-BBF0-4A72-9F10-6C3AC0B4C6B6}">
  <sheetPr>
    <tabColor rgb="FF92D050"/>
  </sheetPr>
  <dimension ref="A1:M1448"/>
  <sheetViews>
    <sheetView tabSelected="1" zoomScale="85" zoomScaleNormal="85" workbookViewId="0">
      <pane ySplit="1" topLeftCell="A432" activePane="bottomLeft" state="frozen"/>
      <selection activeCell="A598" sqref="A598:Q798"/>
      <selection pane="bottomLeft" activeCell="C444" sqref="C444"/>
    </sheetView>
  </sheetViews>
  <sheetFormatPr defaultRowHeight="15" x14ac:dyDescent="0.25"/>
  <cols>
    <col min="1" max="1" width="52.5703125" bestFit="1" customWidth="1"/>
    <col min="2" max="2" width="8.42578125" customWidth="1"/>
    <col min="3" max="3" width="34.5703125" bestFit="1" customWidth="1"/>
    <col min="4" max="4" width="15.140625" bestFit="1" customWidth="1"/>
    <col min="5" max="5" width="37.85546875" bestFit="1" customWidth="1"/>
    <col min="6" max="6" width="12.28515625" bestFit="1" customWidth="1"/>
    <col min="7" max="7" width="19" bestFit="1" customWidth="1"/>
    <col min="8" max="8" width="14.42578125" bestFit="1" customWidth="1"/>
    <col min="9" max="9" width="21" bestFit="1" customWidth="1"/>
    <col min="10" max="10" width="8.85546875" bestFit="1" customWidth="1"/>
    <col min="11" max="11" width="13.42578125" bestFit="1" customWidth="1"/>
    <col min="12" max="12" width="12.140625" bestFit="1" customWidth="1"/>
    <col min="13" max="13" width="10.7109375" bestFit="1" customWidth="1"/>
  </cols>
  <sheetData>
    <row r="1" spans="1:13" x14ac:dyDescent="0.25">
      <c r="A1" t="s">
        <v>6</v>
      </c>
      <c r="B1" t="s">
        <v>17</v>
      </c>
      <c r="C1" t="s">
        <v>22</v>
      </c>
      <c r="D1" t="s">
        <v>21</v>
      </c>
      <c r="E1" t="s">
        <v>3</v>
      </c>
      <c r="F1" t="s">
        <v>23</v>
      </c>
      <c r="G1" t="s">
        <v>24</v>
      </c>
      <c r="H1" t="s">
        <v>25</v>
      </c>
      <c r="I1" t="s">
        <v>26</v>
      </c>
      <c r="J1" t="s">
        <v>14</v>
      </c>
      <c r="K1" t="s">
        <v>4</v>
      </c>
      <c r="L1" t="s">
        <v>5</v>
      </c>
      <c r="M1" t="s">
        <v>1</v>
      </c>
    </row>
    <row r="2" spans="1:13" x14ac:dyDescent="0.25">
      <c r="A2">
        <v>140120</v>
      </c>
      <c r="B2" t="s">
        <v>19</v>
      </c>
      <c r="C2">
        <v>1</v>
      </c>
      <c r="D2">
        <v>1</v>
      </c>
      <c r="E2">
        <f>179-139</f>
        <v>40</v>
      </c>
      <c r="M2" t="s">
        <v>15</v>
      </c>
    </row>
    <row r="3" spans="1:13" x14ac:dyDescent="0.25">
      <c r="A3">
        <v>140120</v>
      </c>
      <c r="B3" t="s">
        <v>19</v>
      </c>
      <c r="C3">
        <v>1</v>
      </c>
      <c r="D3">
        <v>2</v>
      </c>
      <c r="E3">
        <f>351-139</f>
        <v>212</v>
      </c>
      <c r="F3">
        <v>10</v>
      </c>
      <c r="G3">
        <v>4</v>
      </c>
      <c r="H3">
        <v>8</v>
      </c>
      <c r="I3">
        <v>7</v>
      </c>
      <c r="K3">
        <f t="shared" ref="K3:K8" si="0">G3/I3</f>
        <v>0.5714285714285714</v>
      </c>
      <c r="L3">
        <f t="shared" ref="L3:L8" si="1">I3/F3</f>
        <v>0.7</v>
      </c>
    </row>
    <row r="4" spans="1:13" x14ac:dyDescent="0.25">
      <c r="A4">
        <v>140120</v>
      </c>
      <c r="B4" t="s">
        <v>19</v>
      </c>
      <c r="C4">
        <v>1</v>
      </c>
      <c r="D4">
        <v>3</v>
      </c>
      <c r="E4">
        <f>413-139</f>
        <v>274</v>
      </c>
      <c r="F4">
        <v>10</v>
      </c>
      <c r="G4">
        <v>4</v>
      </c>
      <c r="H4">
        <v>9</v>
      </c>
      <c r="I4">
        <v>6</v>
      </c>
      <c r="K4">
        <f t="shared" si="0"/>
        <v>0.66666666666666663</v>
      </c>
      <c r="L4">
        <f t="shared" si="1"/>
        <v>0.6</v>
      </c>
    </row>
    <row r="5" spans="1:13" x14ac:dyDescent="0.25">
      <c r="A5">
        <v>140120</v>
      </c>
      <c r="B5" t="s">
        <v>19</v>
      </c>
      <c r="C5">
        <v>1</v>
      </c>
      <c r="D5">
        <v>4</v>
      </c>
      <c r="E5">
        <f>435-139</f>
        <v>296</v>
      </c>
      <c r="F5">
        <v>10</v>
      </c>
      <c r="G5">
        <v>5</v>
      </c>
      <c r="H5">
        <v>7</v>
      </c>
      <c r="I5">
        <v>6</v>
      </c>
      <c r="K5">
        <f t="shared" si="0"/>
        <v>0.83333333333333337</v>
      </c>
      <c r="L5">
        <f t="shared" si="1"/>
        <v>0.6</v>
      </c>
    </row>
    <row r="6" spans="1:13" x14ac:dyDescent="0.25">
      <c r="A6">
        <v>140120</v>
      </c>
      <c r="B6" t="s">
        <v>19</v>
      </c>
      <c r="C6">
        <v>1</v>
      </c>
      <c r="D6">
        <v>5</v>
      </c>
      <c r="E6">
        <f>453-139</f>
        <v>314</v>
      </c>
      <c r="F6">
        <v>8</v>
      </c>
      <c r="G6">
        <v>5</v>
      </c>
      <c r="H6">
        <v>4</v>
      </c>
      <c r="I6">
        <v>4</v>
      </c>
      <c r="K6">
        <f t="shared" si="0"/>
        <v>1.25</v>
      </c>
      <c r="L6">
        <f t="shared" si="1"/>
        <v>0.5</v>
      </c>
    </row>
    <row r="7" spans="1:13" x14ac:dyDescent="0.25">
      <c r="A7">
        <v>140120</v>
      </c>
      <c r="B7" t="s">
        <v>19</v>
      </c>
      <c r="C7">
        <v>1</v>
      </c>
      <c r="D7">
        <v>6</v>
      </c>
      <c r="E7">
        <f>490-139</f>
        <v>351</v>
      </c>
      <c r="F7">
        <v>8</v>
      </c>
      <c r="G7">
        <v>6</v>
      </c>
      <c r="H7">
        <v>6</v>
      </c>
      <c r="I7">
        <v>6</v>
      </c>
      <c r="K7">
        <f t="shared" si="0"/>
        <v>1</v>
      </c>
      <c r="L7">
        <f t="shared" si="1"/>
        <v>0.75</v>
      </c>
    </row>
    <row r="8" spans="1:13" x14ac:dyDescent="0.25">
      <c r="A8">
        <v>140120</v>
      </c>
      <c r="B8" t="s">
        <v>19</v>
      </c>
      <c r="C8">
        <v>2</v>
      </c>
      <c r="D8">
        <v>1</v>
      </c>
      <c r="E8">
        <f>282-139</f>
        <v>143</v>
      </c>
      <c r="F8">
        <v>14</v>
      </c>
      <c r="G8">
        <v>2</v>
      </c>
      <c r="H8">
        <v>3</v>
      </c>
      <c r="I8">
        <v>3</v>
      </c>
      <c r="K8">
        <f t="shared" si="0"/>
        <v>0.66666666666666663</v>
      </c>
      <c r="L8">
        <f t="shared" si="1"/>
        <v>0.21428571428571427</v>
      </c>
      <c r="M8" t="s">
        <v>16</v>
      </c>
    </row>
    <row r="9" spans="1:13" x14ac:dyDescent="0.25">
      <c r="A9">
        <v>140120</v>
      </c>
      <c r="B9" t="s">
        <v>19</v>
      </c>
      <c r="C9">
        <v>2</v>
      </c>
      <c r="D9">
        <v>2</v>
      </c>
      <c r="E9">
        <f>395-139</f>
        <v>256</v>
      </c>
      <c r="J9" t="s">
        <v>0</v>
      </c>
    </row>
    <row r="10" spans="1:13" x14ac:dyDescent="0.25">
      <c r="A10">
        <v>140120</v>
      </c>
      <c r="B10" t="s">
        <v>19</v>
      </c>
      <c r="C10">
        <v>2</v>
      </c>
      <c r="D10">
        <v>3</v>
      </c>
      <c r="E10">
        <f>402-139</f>
        <v>263</v>
      </c>
      <c r="F10">
        <v>14</v>
      </c>
      <c r="G10">
        <v>5</v>
      </c>
      <c r="H10">
        <v>5</v>
      </c>
      <c r="I10">
        <v>5</v>
      </c>
      <c r="K10">
        <f t="shared" ref="K10:K20" si="2">G10/I10</f>
        <v>1</v>
      </c>
      <c r="L10">
        <f t="shared" ref="L10:L20" si="3">I10/F10</f>
        <v>0.35714285714285715</v>
      </c>
    </row>
    <row r="11" spans="1:13" x14ac:dyDescent="0.25">
      <c r="A11">
        <v>140120</v>
      </c>
      <c r="B11" t="s">
        <v>19</v>
      </c>
      <c r="C11">
        <v>2</v>
      </c>
      <c r="D11">
        <v>4</v>
      </c>
      <c r="E11">
        <f>508-139</f>
        <v>369</v>
      </c>
      <c r="F11">
        <v>12</v>
      </c>
      <c r="G11">
        <v>7</v>
      </c>
      <c r="H11">
        <v>8</v>
      </c>
      <c r="I11">
        <v>7</v>
      </c>
      <c r="K11">
        <f t="shared" si="2"/>
        <v>1</v>
      </c>
      <c r="L11">
        <f t="shared" si="3"/>
        <v>0.58333333333333337</v>
      </c>
    </row>
    <row r="12" spans="1:13" x14ac:dyDescent="0.25">
      <c r="A12">
        <v>140120</v>
      </c>
      <c r="B12" t="s">
        <v>19</v>
      </c>
      <c r="C12">
        <v>2</v>
      </c>
      <c r="D12">
        <v>5</v>
      </c>
      <c r="E12">
        <f>510-139</f>
        <v>371</v>
      </c>
      <c r="F12">
        <v>10</v>
      </c>
      <c r="G12">
        <v>9</v>
      </c>
      <c r="H12">
        <v>8</v>
      </c>
      <c r="I12">
        <v>7</v>
      </c>
      <c r="K12">
        <f t="shared" si="2"/>
        <v>1.2857142857142858</v>
      </c>
      <c r="L12">
        <f t="shared" si="3"/>
        <v>0.7</v>
      </c>
    </row>
    <row r="13" spans="1:13" x14ac:dyDescent="0.25">
      <c r="A13">
        <v>140120</v>
      </c>
      <c r="B13" t="s">
        <v>19</v>
      </c>
      <c r="C13">
        <v>3</v>
      </c>
      <c r="D13">
        <v>1</v>
      </c>
      <c r="E13">
        <f>163-98</f>
        <v>65</v>
      </c>
      <c r="F13">
        <v>19</v>
      </c>
      <c r="G13">
        <v>4</v>
      </c>
      <c r="H13">
        <v>10</v>
      </c>
      <c r="I13">
        <v>7</v>
      </c>
      <c r="K13">
        <f t="shared" si="2"/>
        <v>0.5714285714285714</v>
      </c>
      <c r="L13">
        <f t="shared" si="3"/>
        <v>0.36842105263157893</v>
      </c>
    </row>
    <row r="14" spans="1:13" x14ac:dyDescent="0.25">
      <c r="A14">
        <v>140120</v>
      </c>
      <c r="B14" t="s">
        <v>19</v>
      </c>
      <c r="C14">
        <v>3</v>
      </c>
      <c r="D14">
        <v>2</v>
      </c>
      <c r="E14">
        <f>405-98</f>
        <v>307</v>
      </c>
      <c r="F14">
        <v>17</v>
      </c>
      <c r="G14">
        <v>9</v>
      </c>
      <c r="H14">
        <v>11</v>
      </c>
      <c r="I14">
        <v>6</v>
      </c>
      <c r="K14">
        <f t="shared" si="2"/>
        <v>1.5</v>
      </c>
      <c r="L14">
        <f t="shared" si="3"/>
        <v>0.35294117647058826</v>
      </c>
    </row>
    <row r="15" spans="1:13" x14ac:dyDescent="0.25">
      <c r="A15">
        <v>140120</v>
      </c>
      <c r="B15" t="s">
        <v>19</v>
      </c>
      <c r="C15">
        <v>4</v>
      </c>
      <c r="D15">
        <v>1</v>
      </c>
      <c r="E15">
        <f>433-104</f>
        <v>329</v>
      </c>
      <c r="F15">
        <v>18</v>
      </c>
      <c r="G15">
        <v>7</v>
      </c>
      <c r="H15">
        <v>10</v>
      </c>
      <c r="I15">
        <v>7</v>
      </c>
      <c r="K15">
        <f t="shared" si="2"/>
        <v>1</v>
      </c>
      <c r="L15">
        <f t="shared" si="3"/>
        <v>0.3888888888888889</v>
      </c>
    </row>
    <row r="16" spans="1:13" x14ac:dyDescent="0.25">
      <c r="A16">
        <v>140120</v>
      </c>
      <c r="B16" t="s">
        <v>19</v>
      </c>
      <c r="C16">
        <v>4</v>
      </c>
      <c r="D16">
        <v>2</v>
      </c>
      <c r="E16">
        <f>585-104</f>
        <v>481</v>
      </c>
      <c r="F16">
        <v>15</v>
      </c>
      <c r="G16">
        <v>7</v>
      </c>
      <c r="H16">
        <v>10</v>
      </c>
      <c r="I16">
        <v>9</v>
      </c>
      <c r="K16">
        <f t="shared" si="2"/>
        <v>0.77777777777777779</v>
      </c>
      <c r="L16">
        <f t="shared" si="3"/>
        <v>0.6</v>
      </c>
    </row>
    <row r="17" spans="1:12" x14ac:dyDescent="0.25">
      <c r="A17">
        <v>140120</v>
      </c>
      <c r="B17" t="s">
        <v>19</v>
      </c>
      <c r="C17">
        <v>5</v>
      </c>
      <c r="D17">
        <v>1</v>
      </c>
      <c r="E17">
        <f>105-105</f>
        <v>0</v>
      </c>
      <c r="F17">
        <v>16</v>
      </c>
      <c r="G17">
        <v>3</v>
      </c>
      <c r="H17">
        <v>11</v>
      </c>
      <c r="I17">
        <v>7</v>
      </c>
      <c r="K17">
        <f t="shared" si="2"/>
        <v>0.42857142857142855</v>
      </c>
      <c r="L17">
        <f t="shared" si="3"/>
        <v>0.4375</v>
      </c>
    </row>
    <row r="18" spans="1:12" x14ac:dyDescent="0.25">
      <c r="A18">
        <v>140120</v>
      </c>
      <c r="B18" t="s">
        <v>19</v>
      </c>
      <c r="C18">
        <v>5</v>
      </c>
      <c r="D18">
        <v>2</v>
      </c>
      <c r="E18">
        <f>337-105</f>
        <v>232</v>
      </c>
      <c r="F18">
        <v>14</v>
      </c>
      <c r="G18">
        <v>4</v>
      </c>
      <c r="H18">
        <v>9</v>
      </c>
      <c r="I18">
        <v>5</v>
      </c>
      <c r="K18">
        <f t="shared" si="2"/>
        <v>0.8</v>
      </c>
      <c r="L18">
        <f t="shared" si="3"/>
        <v>0.35714285714285715</v>
      </c>
    </row>
    <row r="19" spans="1:12" x14ac:dyDescent="0.25">
      <c r="A19">
        <v>140120</v>
      </c>
      <c r="B19" t="s">
        <v>19</v>
      </c>
      <c r="C19">
        <v>5</v>
      </c>
      <c r="D19">
        <v>3</v>
      </c>
      <c r="E19">
        <f>369-105</f>
        <v>264</v>
      </c>
      <c r="F19">
        <v>19</v>
      </c>
      <c r="G19">
        <v>8</v>
      </c>
      <c r="H19">
        <v>8</v>
      </c>
      <c r="I19">
        <v>7</v>
      </c>
      <c r="K19">
        <f t="shared" si="2"/>
        <v>1.1428571428571428</v>
      </c>
      <c r="L19">
        <f t="shared" si="3"/>
        <v>0.36842105263157893</v>
      </c>
    </row>
    <row r="20" spans="1:12" x14ac:dyDescent="0.25">
      <c r="A20">
        <v>140120</v>
      </c>
      <c r="B20" t="s">
        <v>19</v>
      </c>
      <c r="C20">
        <v>6</v>
      </c>
      <c r="D20">
        <v>1</v>
      </c>
      <c r="E20">
        <f>124-124</f>
        <v>0</v>
      </c>
      <c r="F20">
        <v>14</v>
      </c>
      <c r="G20">
        <v>6</v>
      </c>
      <c r="H20">
        <v>12</v>
      </c>
      <c r="I20">
        <v>9</v>
      </c>
      <c r="K20">
        <f t="shared" si="2"/>
        <v>0.66666666666666663</v>
      </c>
      <c r="L20">
        <f t="shared" si="3"/>
        <v>0.6428571428571429</v>
      </c>
    </row>
    <row r="21" spans="1:12" x14ac:dyDescent="0.25">
      <c r="A21">
        <v>140120</v>
      </c>
      <c r="B21" t="s">
        <v>19</v>
      </c>
      <c r="C21">
        <v>6</v>
      </c>
      <c r="D21">
        <v>2</v>
      </c>
      <c r="E21">
        <f>373-124</f>
        <v>249</v>
      </c>
      <c r="J21" t="s">
        <v>0</v>
      </c>
    </row>
    <row r="22" spans="1:12" x14ac:dyDescent="0.25">
      <c r="A22">
        <v>140120</v>
      </c>
      <c r="B22" t="s">
        <v>19</v>
      </c>
      <c r="C22">
        <v>6</v>
      </c>
      <c r="D22">
        <v>3</v>
      </c>
      <c r="E22">
        <f>480-124</f>
        <v>356</v>
      </c>
      <c r="F22">
        <v>14</v>
      </c>
      <c r="G22">
        <v>6</v>
      </c>
      <c r="H22">
        <v>9</v>
      </c>
      <c r="I22">
        <v>7</v>
      </c>
      <c r="K22">
        <f t="shared" ref="K22" si="4">G22/I22</f>
        <v>0.8571428571428571</v>
      </c>
      <c r="L22">
        <f t="shared" ref="L22" si="5">I22/F22</f>
        <v>0.5</v>
      </c>
    </row>
    <row r="23" spans="1:12" x14ac:dyDescent="0.25">
      <c r="A23">
        <v>140120</v>
      </c>
      <c r="B23" t="s">
        <v>19</v>
      </c>
      <c r="C23">
        <v>6</v>
      </c>
      <c r="D23">
        <v>4</v>
      </c>
      <c r="E23">
        <f>511-124</f>
        <v>387</v>
      </c>
      <c r="J23" t="s">
        <v>0</v>
      </c>
    </row>
    <row r="24" spans="1:12" x14ac:dyDescent="0.25">
      <c r="A24">
        <v>140120</v>
      </c>
      <c r="B24" t="s">
        <v>19</v>
      </c>
      <c r="C24">
        <v>7</v>
      </c>
      <c r="D24">
        <v>1</v>
      </c>
      <c r="E24">
        <f>290-220</f>
        <v>70</v>
      </c>
      <c r="F24">
        <v>8</v>
      </c>
      <c r="G24">
        <v>3</v>
      </c>
      <c r="H24">
        <v>5</v>
      </c>
      <c r="I24">
        <v>5</v>
      </c>
      <c r="K24">
        <f t="shared" ref="K24" si="6">G24/I24</f>
        <v>0.6</v>
      </c>
      <c r="L24">
        <f t="shared" ref="L24" si="7">I24/F24</f>
        <v>0.625</v>
      </c>
    </row>
    <row r="25" spans="1:12" x14ac:dyDescent="0.25">
      <c r="A25">
        <v>140120</v>
      </c>
      <c r="B25" t="s">
        <v>19</v>
      </c>
      <c r="C25">
        <v>7</v>
      </c>
      <c r="D25">
        <v>2</v>
      </c>
      <c r="E25">
        <f>477-220</f>
        <v>257</v>
      </c>
      <c r="F25">
        <v>10</v>
      </c>
      <c r="G25">
        <v>5</v>
      </c>
      <c r="H25">
        <v>5</v>
      </c>
      <c r="I25">
        <v>6</v>
      </c>
      <c r="K25">
        <f t="shared" ref="K25" si="8">G25/I25</f>
        <v>0.83333333333333337</v>
      </c>
      <c r="L25">
        <f t="shared" ref="L25" si="9">I25/F25</f>
        <v>0.6</v>
      </c>
    </row>
    <row r="26" spans="1:12" x14ac:dyDescent="0.25">
      <c r="A26">
        <v>140120</v>
      </c>
      <c r="B26" t="s">
        <v>19</v>
      </c>
      <c r="C26">
        <v>8</v>
      </c>
      <c r="D26">
        <v>1</v>
      </c>
      <c r="E26">
        <f>327-220</f>
        <v>107</v>
      </c>
      <c r="F26">
        <v>12</v>
      </c>
      <c r="G26">
        <v>4</v>
      </c>
      <c r="H26">
        <v>9</v>
      </c>
      <c r="I26">
        <v>5</v>
      </c>
      <c r="K26">
        <f t="shared" ref="K26" si="10">G26/I26</f>
        <v>0.8</v>
      </c>
      <c r="L26">
        <f t="shared" ref="L26" si="11">I26/F26</f>
        <v>0.41666666666666669</v>
      </c>
    </row>
    <row r="27" spans="1:12" x14ac:dyDescent="0.25">
      <c r="A27">
        <v>140120</v>
      </c>
      <c r="B27" t="s">
        <v>19</v>
      </c>
      <c r="C27">
        <v>9</v>
      </c>
      <c r="D27">
        <v>1</v>
      </c>
      <c r="E27">
        <f>185-100</f>
        <v>85</v>
      </c>
      <c r="J27" t="s">
        <v>0</v>
      </c>
    </row>
    <row r="28" spans="1:12" x14ac:dyDescent="0.25">
      <c r="A28">
        <v>140120</v>
      </c>
      <c r="B28" t="s">
        <v>19</v>
      </c>
      <c r="C28">
        <v>9</v>
      </c>
      <c r="D28">
        <v>2</v>
      </c>
      <c r="E28">
        <f>332-100</f>
        <v>232</v>
      </c>
      <c r="F28">
        <v>11</v>
      </c>
      <c r="G28">
        <v>6</v>
      </c>
      <c r="H28">
        <v>5</v>
      </c>
      <c r="I28">
        <v>7</v>
      </c>
      <c r="K28">
        <f t="shared" ref="K28:K56" si="12">G28/I28</f>
        <v>0.8571428571428571</v>
      </c>
      <c r="L28">
        <f t="shared" ref="L28:L56" si="13">I28/F28</f>
        <v>0.63636363636363635</v>
      </c>
    </row>
    <row r="29" spans="1:12" x14ac:dyDescent="0.25">
      <c r="A29">
        <v>140120</v>
      </c>
      <c r="B29" t="s">
        <v>19</v>
      </c>
      <c r="C29">
        <v>9</v>
      </c>
      <c r="D29">
        <v>3</v>
      </c>
      <c r="E29">
        <f>376-100</f>
        <v>276</v>
      </c>
      <c r="F29">
        <v>14</v>
      </c>
      <c r="G29">
        <v>7</v>
      </c>
      <c r="H29">
        <v>7</v>
      </c>
      <c r="I29">
        <v>8</v>
      </c>
      <c r="K29">
        <f t="shared" si="12"/>
        <v>0.875</v>
      </c>
      <c r="L29">
        <f t="shared" si="13"/>
        <v>0.5714285714285714</v>
      </c>
    </row>
    <row r="30" spans="1:12" x14ac:dyDescent="0.25">
      <c r="A30">
        <v>140120</v>
      </c>
      <c r="B30" t="s">
        <v>19</v>
      </c>
      <c r="C30">
        <v>9</v>
      </c>
      <c r="D30">
        <v>4</v>
      </c>
      <c r="E30">
        <f>406-100</f>
        <v>306</v>
      </c>
      <c r="F30">
        <v>8</v>
      </c>
      <c r="G30">
        <v>8</v>
      </c>
      <c r="H30">
        <v>5</v>
      </c>
      <c r="I30">
        <v>5</v>
      </c>
      <c r="K30">
        <f t="shared" si="12"/>
        <v>1.6</v>
      </c>
      <c r="L30">
        <f t="shared" si="13"/>
        <v>0.625</v>
      </c>
    </row>
    <row r="31" spans="1:12" x14ac:dyDescent="0.25">
      <c r="A31">
        <v>140120</v>
      </c>
      <c r="B31" t="s">
        <v>19</v>
      </c>
      <c r="C31">
        <v>9</v>
      </c>
      <c r="D31">
        <v>5</v>
      </c>
      <c r="E31">
        <f>423-100</f>
        <v>323</v>
      </c>
      <c r="F31">
        <v>9</v>
      </c>
      <c r="G31">
        <v>5</v>
      </c>
      <c r="H31">
        <v>7</v>
      </c>
      <c r="I31">
        <v>4</v>
      </c>
      <c r="K31">
        <f t="shared" si="12"/>
        <v>1.25</v>
      </c>
      <c r="L31">
        <f t="shared" si="13"/>
        <v>0.44444444444444442</v>
      </c>
    </row>
    <row r="32" spans="1:12" x14ac:dyDescent="0.25">
      <c r="A32">
        <v>140120</v>
      </c>
      <c r="B32" t="s">
        <v>19</v>
      </c>
      <c r="C32">
        <v>9</v>
      </c>
      <c r="D32">
        <v>6</v>
      </c>
      <c r="E32">
        <f>437-100</f>
        <v>337</v>
      </c>
      <c r="F32">
        <v>7</v>
      </c>
      <c r="G32">
        <v>2</v>
      </c>
      <c r="H32">
        <v>5</v>
      </c>
      <c r="I32">
        <v>3</v>
      </c>
      <c r="K32">
        <f t="shared" si="12"/>
        <v>0.66666666666666663</v>
      </c>
      <c r="L32">
        <f t="shared" si="13"/>
        <v>0.42857142857142855</v>
      </c>
    </row>
    <row r="33" spans="1:12" x14ac:dyDescent="0.25">
      <c r="A33">
        <v>140120</v>
      </c>
      <c r="B33" t="s">
        <v>19</v>
      </c>
      <c r="C33">
        <v>9</v>
      </c>
      <c r="D33">
        <v>6</v>
      </c>
      <c r="E33">
        <f>450-100</f>
        <v>350</v>
      </c>
      <c r="F33">
        <v>8</v>
      </c>
      <c r="G33">
        <v>5</v>
      </c>
      <c r="H33">
        <v>6</v>
      </c>
      <c r="I33">
        <v>5</v>
      </c>
      <c r="K33">
        <f t="shared" si="12"/>
        <v>1</v>
      </c>
      <c r="L33">
        <f t="shared" si="13"/>
        <v>0.625</v>
      </c>
    </row>
    <row r="34" spans="1:12" x14ac:dyDescent="0.25">
      <c r="A34">
        <v>140120</v>
      </c>
      <c r="B34" t="s">
        <v>19</v>
      </c>
      <c r="C34">
        <v>10</v>
      </c>
      <c r="D34">
        <v>1</v>
      </c>
      <c r="E34">
        <f>389-95</f>
        <v>294</v>
      </c>
      <c r="F34">
        <v>19</v>
      </c>
      <c r="G34">
        <v>6</v>
      </c>
      <c r="H34">
        <v>12</v>
      </c>
      <c r="I34">
        <v>7</v>
      </c>
      <c r="K34">
        <f t="shared" si="12"/>
        <v>0.8571428571428571</v>
      </c>
      <c r="L34">
        <f t="shared" si="13"/>
        <v>0.36842105263157893</v>
      </c>
    </row>
    <row r="35" spans="1:12" x14ac:dyDescent="0.25">
      <c r="A35">
        <v>140120</v>
      </c>
      <c r="B35" t="s">
        <v>19</v>
      </c>
      <c r="C35">
        <v>11</v>
      </c>
      <c r="D35">
        <v>1</v>
      </c>
      <c r="E35">
        <f>171-95</f>
        <v>76</v>
      </c>
      <c r="F35">
        <v>8</v>
      </c>
      <c r="G35">
        <v>4</v>
      </c>
      <c r="H35">
        <v>8</v>
      </c>
      <c r="I35">
        <v>6</v>
      </c>
      <c r="K35">
        <f t="shared" si="12"/>
        <v>0.66666666666666663</v>
      </c>
      <c r="L35">
        <f t="shared" si="13"/>
        <v>0.75</v>
      </c>
    </row>
    <row r="36" spans="1:12" x14ac:dyDescent="0.25">
      <c r="A36">
        <v>140120</v>
      </c>
      <c r="B36" t="s">
        <v>19</v>
      </c>
      <c r="C36">
        <v>11</v>
      </c>
      <c r="D36">
        <v>2</v>
      </c>
      <c r="E36">
        <f>285-95</f>
        <v>190</v>
      </c>
      <c r="F36">
        <v>9</v>
      </c>
      <c r="G36">
        <v>5</v>
      </c>
      <c r="H36">
        <v>6</v>
      </c>
      <c r="I36">
        <v>7</v>
      </c>
      <c r="K36">
        <f t="shared" si="12"/>
        <v>0.7142857142857143</v>
      </c>
      <c r="L36">
        <f t="shared" si="13"/>
        <v>0.77777777777777779</v>
      </c>
    </row>
    <row r="37" spans="1:12" x14ac:dyDescent="0.25">
      <c r="A37">
        <v>140120</v>
      </c>
      <c r="B37" t="s">
        <v>19</v>
      </c>
      <c r="C37">
        <v>11</v>
      </c>
      <c r="D37">
        <v>3</v>
      </c>
      <c r="E37">
        <f>315-95</f>
        <v>220</v>
      </c>
      <c r="F37">
        <v>10</v>
      </c>
      <c r="G37">
        <v>9</v>
      </c>
      <c r="H37">
        <v>8</v>
      </c>
      <c r="I37">
        <v>6</v>
      </c>
      <c r="K37">
        <f t="shared" si="12"/>
        <v>1.5</v>
      </c>
      <c r="L37">
        <f t="shared" si="13"/>
        <v>0.6</v>
      </c>
    </row>
    <row r="38" spans="1:12" x14ac:dyDescent="0.25">
      <c r="A38">
        <v>140120</v>
      </c>
      <c r="B38" t="s">
        <v>19</v>
      </c>
      <c r="C38">
        <v>11</v>
      </c>
      <c r="D38">
        <v>4</v>
      </c>
      <c r="E38">
        <f>301-95</f>
        <v>206</v>
      </c>
      <c r="F38">
        <v>8</v>
      </c>
      <c r="G38">
        <v>4</v>
      </c>
      <c r="H38">
        <v>3</v>
      </c>
      <c r="I38">
        <v>3</v>
      </c>
      <c r="K38">
        <f t="shared" si="12"/>
        <v>1.3333333333333333</v>
      </c>
      <c r="L38">
        <f t="shared" si="13"/>
        <v>0.375</v>
      </c>
    </row>
    <row r="39" spans="1:12" x14ac:dyDescent="0.25">
      <c r="A39">
        <v>140120</v>
      </c>
      <c r="B39" t="s">
        <v>19</v>
      </c>
      <c r="C39">
        <v>12</v>
      </c>
      <c r="D39">
        <v>1</v>
      </c>
      <c r="E39">
        <f>103-103</f>
        <v>0</v>
      </c>
      <c r="F39">
        <v>24</v>
      </c>
      <c r="G39">
        <v>6</v>
      </c>
      <c r="H39">
        <v>15</v>
      </c>
      <c r="I39">
        <v>8</v>
      </c>
      <c r="K39">
        <f t="shared" si="12"/>
        <v>0.75</v>
      </c>
      <c r="L39">
        <f t="shared" si="13"/>
        <v>0.33333333333333331</v>
      </c>
    </row>
    <row r="40" spans="1:12" x14ac:dyDescent="0.25">
      <c r="A40">
        <v>140120</v>
      </c>
      <c r="B40" t="s">
        <v>19</v>
      </c>
      <c r="C40">
        <v>13</v>
      </c>
      <c r="D40">
        <v>1</v>
      </c>
      <c r="E40">
        <f>62-54</f>
        <v>8</v>
      </c>
      <c r="F40">
        <v>18</v>
      </c>
      <c r="G40">
        <v>6</v>
      </c>
      <c r="H40">
        <v>10</v>
      </c>
      <c r="I40">
        <v>7</v>
      </c>
      <c r="K40">
        <f t="shared" si="12"/>
        <v>0.8571428571428571</v>
      </c>
      <c r="L40">
        <f t="shared" si="13"/>
        <v>0.3888888888888889</v>
      </c>
    </row>
    <row r="41" spans="1:12" x14ac:dyDescent="0.25">
      <c r="A41">
        <v>140120</v>
      </c>
      <c r="B41" t="s">
        <v>19</v>
      </c>
      <c r="C41">
        <v>13</v>
      </c>
      <c r="D41">
        <v>2</v>
      </c>
      <c r="E41">
        <f>359-54</f>
        <v>305</v>
      </c>
      <c r="F41">
        <v>18</v>
      </c>
      <c r="G41">
        <v>9</v>
      </c>
      <c r="H41">
        <v>11</v>
      </c>
      <c r="I41">
        <v>12</v>
      </c>
      <c r="K41">
        <f t="shared" si="12"/>
        <v>0.75</v>
      </c>
      <c r="L41">
        <f t="shared" si="13"/>
        <v>0.66666666666666663</v>
      </c>
    </row>
    <row r="42" spans="1:12" x14ac:dyDescent="0.25">
      <c r="A42">
        <v>140120</v>
      </c>
      <c r="B42" t="s">
        <v>19</v>
      </c>
      <c r="C42">
        <v>14</v>
      </c>
      <c r="D42">
        <v>1</v>
      </c>
      <c r="E42">
        <f>359-106</f>
        <v>253</v>
      </c>
      <c r="F42">
        <v>22</v>
      </c>
      <c r="G42">
        <v>8</v>
      </c>
      <c r="H42">
        <v>9</v>
      </c>
      <c r="I42">
        <v>10</v>
      </c>
      <c r="K42">
        <f t="shared" si="12"/>
        <v>0.8</v>
      </c>
      <c r="L42">
        <f t="shared" si="13"/>
        <v>0.45454545454545453</v>
      </c>
    </row>
    <row r="43" spans="1:12" x14ac:dyDescent="0.25">
      <c r="A43">
        <v>140120</v>
      </c>
      <c r="B43" t="s">
        <v>19</v>
      </c>
      <c r="C43">
        <v>14</v>
      </c>
      <c r="D43">
        <v>2</v>
      </c>
      <c r="E43">
        <f>402-106</f>
        <v>296</v>
      </c>
      <c r="F43">
        <v>22</v>
      </c>
      <c r="G43">
        <v>9</v>
      </c>
      <c r="H43">
        <v>13</v>
      </c>
      <c r="I43">
        <v>10</v>
      </c>
      <c r="K43">
        <f t="shared" si="12"/>
        <v>0.9</v>
      </c>
      <c r="L43">
        <f t="shared" si="13"/>
        <v>0.45454545454545453</v>
      </c>
    </row>
    <row r="44" spans="1:12" x14ac:dyDescent="0.25">
      <c r="A44">
        <v>140120</v>
      </c>
      <c r="B44" t="s">
        <v>19</v>
      </c>
      <c r="C44">
        <v>15</v>
      </c>
      <c r="D44">
        <v>1</v>
      </c>
      <c r="E44">
        <f>316-172</f>
        <v>144</v>
      </c>
      <c r="F44">
        <v>23</v>
      </c>
      <c r="G44">
        <v>8</v>
      </c>
      <c r="H44">
        <v>12</v>
      </c>
      <c r="I44">
        <v>11</v>
      </c>
      <c r="K44">
        <f t="shared" si="12"/>
        <v>0.72727272727272729</v>
      </c>
      <c r="L44">
        <f t="shared" si="13"/>
        <v>0.47826086956521741</v>
      </c>
    </row>
    <row r="45" spans="1:12" x14ac:dyDescent="0.25">
      <c r="A45">
        <v>140120</v>
      </c>
      <c r="B45" t="s">
        <v>19</v>
      </c>
      <c r="C45">
        <v>15</v>
      </c>
      <c r="D45">
        <v>2</v>
      </c>
      <c r="E45">
        <f>491-172</f>
        <v>319</v>
      </c>
      <c r="F45">
        <v>25</v>
      </c>
      <c r="G45">
        <v>8</v>
      </c>
      <c r="H45">
        <v>8</v>
      </c>
      <c r="I45">
        <v>4</v>
      </c>
      <c r="K45">
        <f t="shared" si="12"/>
        <v>2</v>
      </c>
      <c r="L45">
        <f t="shared" si="13"/>
        <v>0.16</v>
      </c>
    </row>
    <row r="46" spans="1:12" x14ac:dyDescent="0.25">
      <c r="A46">
        <v>220120</v>
      </c>
      <c r="B46" t="s">
        <v>19</v>
      </c>
      <c r="C46">
        <v>1</v>
      </c>
      <c r="D46">
        <v>1</v>
      </c>
      <c r="E46">
        <f>169-159</f>
        <v>10</v>
      </c>
      <c r="F46">
        <v>12</v>
      </c>
      <c r="G46">
        <v>5</v>
      </c>
      <c r="H46">
        <v>8</v>
      </c>
      <c r="I46">
        <v>6</v>
      </c>
      <c r="K46">
        <f t="shared" si="12"/>
        <v>0.83333333333333337</v>
      </c>
      <c r="L46">
        <f t="shared" si="13"/>
        <v>0.5</v>
      </c>
    </row>
    <row r="47" spans="1:12" x14ac:dyDescent="0.25">
      <c r="A47">
        <v>220120</v>
      </c>
      <c r="B47" t="s">
        <v>19</v>
      </c>
      <c r="C47">
        <v>1</v>
      </c>
      <c r="D47">
        <v>2</v>
      </c>
      <c r="E47">
        <f>371-159</f>
        <v>212</v>
      </c>
      <c r="F47">
        <v>14</v>
      </c>
      <c r="G47">
        <v>5</v>
      </c>
      <c r="H47">
        <v>7</v>
      </c>
      <c r="I47">
        <v>5</v>
      </c>
      <c r="K47">
        <f t="shared" si="12"/>
        <v>1</v>
      </c>
      <c r="L47">
        <f t="shared" si="13"/>
        <v>0.35714285714285715</v>
      </c>
    </row>
    <row r="48" spans="1:12" x14ac:dyDescent="0.25">
      <c r="A48">
        <v>220120</v>
      </c>
      <c r="B48" t="s">
        <v>19</v>
      </c>
      <c r="C48">
        <v>1</v>
      </c>
      <c r="D48">
        <v>3</v>
      </c>
      <c r="E48">
        <f>431-159</f>
        <v>272</v>
      </c>
      <c r="F48">
        <v>11</v>
      </c>
      <c r="G48">
        <v>2</v>
      </c>
      <c r="H48">
        <v>10</v>
      </c>
      <c r="I48">
        <v>5</v>
      </c>
      <c r="K48">
        <f t="shared" si="12"/>
        <v>0.4</v>
      </c>
      <c r="L48">
        <f t="shared" si="13"/>
        <v>0.45454545454545453</v>
      </c>
    </row>
    <row r="49" spans="1:13" x14ac:dyDescent="0.25">
      <c r="A49">
        <v>220120</v>
      </c>
      <c r="B49" t="s">
        <v>19</v>
      </c>
      <c r="C49">
        <v>1</v>
      </c>
      <c r="D49">
        <v>4</v>
      </c>
      <c r="E49">
        <f>524-159</f>
        <v>365</v>
      </c>
      <c r="F49">
        <v>10</v>
      </c>
      <c r="G49">
        <v>6</v>
      </c>
      <c r="H49">
        <v>7</v>
      </c>
      <c r="I49">
        <v>7</v>
      </c>
      <c r="K49">
        <f t="shared" si="12"/>
        <v>0.8571428571428571</v>
      </c>
      <c r="L49">
        <f t="shared" si="13"/>
        <v>0.7</v>
      </c>
    </row>
    <row r="50" spans="1:13" x14ac:dyDescent="0.25">
      <c r="A50">
        <v>220120</v>
      </c>
      <c r="B50" t="s">
        <v>19</v>
      </c>
      <c r="C50">
        <v>1</v>
      </c>
      <c r="D50">
        <v>5</v>
      </c>
      <c r="E50">
        <f>545-159</f>
        <v>386</v>
      </c>
      <c r="F50">
        <v>10</v>
      </c>
      <c r="G50">
        <v>4</v>
      </c>
      <c r="H50">
        <v>6</v>
      </c>
      <c r="I50">
        <v>5</v>
      </c>
      <c r="K50">
        <f t="shared" si="12"/>
        <v>0.8</v>
      </c>
      <c r="L50">
        <f t="shared" si="13"/>
        <v>0.5</v>
      </c>
    </row>
    <row r="51" spans="1:13" x14ac:dyDescent="0.25">
      <c r="A51">
        <v>220120</v>
      </c>
      <c r="B51" t="s">
        <v>19</v>
      </c>
      <c r="C51">
        <v>2</v>
      </c>
      <c r="D51">
        <v>1</v>
      </c>
      <c r="E51">
        <f>116-109</f>
        <v>7</v>
      </c>
      <c r="F51">
        <v>27</v>
      </c>
      <c r="G51">
        <v>6</v>
      </c>
      <c r="H51">
        <v>19</v>
      </c>
      <c r="I51">
        <v>9</v>
      </c>
      <c r="K51">
        <f t="shared" si="12"/>
        <v>0.66666666666666663</v>
      </c>
      <c r="L51">
        <f t="shared" si="13"/>
        <v>0.33333333333333331</v>
      </c>
    </row>
    <row r="52" spans="1:13" x14ac:dyDescent="0.25">
      <c r="A52">
        <v>220120</v>
      </c>
      <c r="B52" t="s">
        <v>19</v>
      </c>
      <c r="C52">
        <v>2</v>
      </c>
      <c r="D52">
        <v>2</v>
      </c>
      <c r="E52">
        <f>562-109</f>
        <v>453</v>
      </c>
      <c r="F52">
        <v>20</v>
      </c>
      <c r="G52">
        <v>7</v>
      </c>
      <c r="H52">
        <v>8</v>
      </c>
      <c r="I52">
        <v>8</v>
      </c>
      <c r="K52">
        <f t="shared" si="12"/>
        <v>0.875</v>
      </c>
      <c r="L52">
        <f t="shared" si="13"/>
        <v>0.4</v>
      </c>
      <c r="M52" t="s">
        <v>20</v>
      </c>
    </row>
    <row r="53" spans="1:13" x14ac:dyDescent="0.25">
      <c r="A53">
        <v>220120</v>
      </c>
      <c r="B53" t="s">
        <v>19</v>
      </c>
      <c r="C53">
        <v>3</v>
      </c>
      <c r="D53">
        <v>1</v>
      </c>
      <c r="E53">
        <f>448-157</f>
        <v>291</v>
      </c>
      <c r="F53">
        <v>30</v>
      </c>
      <c r="G53">
        <v>11</v>
      </c>
      <c r="H53">
        <v>14</v>
      </c>
      <c r="I53">
        <v>8</v>
      </c>
      <c r="K53">
        <f t="shared" si="12"/>
        <v>1.375</v>
      </c>
      <c r="L53">
        <f t="shared" si="13"/>
        <v>0.26666666666666666</v>
      </c>
    </row>
    <row r="54" spans="1:13" x14ac:dyDescent="0.25">
      <c r="A54">
        <v>220120</v>
      </c>
      <c r="B54" t="s">
        <v>19</v>
      </c>
      <c r="C54">
        <v>4</v>
      </c>
      <c r="D54">
        <v>1</v>
      </c>
      <c r="E54">
        <f>94-45</f>
        <v>49</v>
      </c>
      <c r="F54">
        <v>10</v>
      </c>
      <c r="G54">
        <v>3</v>
      </c>
      <c r="H54">
        <v>5</v>
      </c>
      <c r="I54">
        <v>4</v>
      </c>
      <c r="K54">
        <f t="shared" si="12"/>
        <v>0.75</v>
      </c>
      <c r="L54">
        <f t="shared" si="13"/>
        <v>0.4</v>
      </c>
    </row>
    <row r="55" spans="1:13" x14ac:dyDescent="0.25">
      <c r="A55">
        <v>220120</v>
      </c>
      <c r="B55" t="s">
        <v>19</v>
      </c>
      <c r="C55">
        <v>4</v>
      </c>
      <c r="D55">
        <v>2</v>
      </c>
      <c r="E55">
        <f>160-45</f>
        <v>115</v>
      </c>
      <c r="F55">
        <v>11</v>
      </c>
      <c r="G55">
        <v>3</v>
      </c>
      <c r="H55">
        <v>8</v>
      </c>
      <c r="I55">
        <v>4</v>
      </c>
      <c r="K55">
        <f t="shared" si="12"/>
        <v>0.75</v>
      </c>
      <c r="L55">
        <f t="shared" si="13"/>
        <v>0.36363636363636365</v>
      </c>
    </row>
    <row r="56" spans="1:13" x14ac:dyDescent="0.25">
      <c r="A56">
        <v>220120</v>
      </c>
      <c r="B56" t="s">
        <v>19</v>
      </c>
      <c r="C56">
        <v>4</v>
      </c>
      <c r="D56">
        <v>3</v>
      </c>
      <c r="E56">
        <f>211-45</f>
        <v>166</v>
      </c>
      <c r="F56">
        <v>8</v>
      </c>
      <c r="G56">
        <v>4</v>
      </c>
      <c r="H56">
        <v>3</v>
      </c>
      <c r="I56">
        <v>3</v>
      </c>
      <c r="K56">
        <f t="shared" si="12"/>
        <v>1.3333333333333333</v>
      </c>
      <c r="L56">
        <f t="shared" si="13"/>
        <v>0.375</v>
      </c>
    </row>
    <row r="57" spans="1:13" x14ac:dyDescent="0.25">
      <c r="A57">
        <v>220120</v>
      </c>
      <c r="B57" t="s">
        <v>19</v>
      </c>
      <c r="C57">
        <v>4</v>
      </c>
      <c r="D57">
        <v>4</v>
      </c>
      <c r="E57">
        <f>288-45</f>
        <v>243</v>
      </c>
      <c r="J57" t="s">
        <v>0</v>
      </c>
    </row>
    <row r="58" spans="1:13" x14ac:dyDescent="0.25">
      <c r="A58">
        <v>220120</v>
      </c>
      <c r="B58" t="s">
        <v>19</v>
      </c>
      <c r="C58">
        <v>5</v>
      </c>
      <c r="D58">
        <v>1</v>
      </c>
      <c r="E58">
        <f>107-58</f>
        <v>49</v>
      </c>
      <c r="F58">
        <v>7</v>
      </c>
      <c r="G58">
        <v>2</v>
      </c>
      <c r="H58">
        <v>3</v>
      </c>
      <c r="I58">
        <v>4</v>
      </c>
      <c r="K58">
        <f t="shared" ref="K58" si="14">G58/I58</f>
        <v>0.5</v>
      </c>
      <c r="L58">
        <f t="shared" ref="L58" si="15">I58/F58</f>
        <v>0.5714285714285714</v>
      </c>
    </row>
    <row r="59" spans="1:13" x14ac:dyDescent="0.25">
      <c r="A59">
        <v>220120</v>
      </c>
      <c r="B59" t="s">
        <v>19</v>
      </c>
      <c r="C59">
        <v>5</v>
      </c>
      <c r="D59">
        <v>2</v>
      </c>
      <c r="E59">
        <f>112-58</f>
        <v>54</v>
      </c>
      <c r="F59">
        <v>10</v>
      </c>
      <c r="G59">
        <v>2</v>
      </c>
      <c r="H59">
        <v>6</v>
      </c>
      <c r="I59">
        <v>3</v>
      </c>
      <c r="K59">
        <f t="shared" ref="K59:K68" si="16">G59/I59</f>
        <v>0.66666666666666663</v>
      </c>
      <c r="L59">
        <f t="shared" ref="L59:L68" si="17">I59/F59</f>
        <v>0.3</v>
      </c>
    </row>
    <row r="60" spans="1:13" x14ac:dyDescent="0.25">
      <c r="A60">
        <v>220120</v>
      </c>
      <c r="B60" t="s">
        <v>19</v>
      </c>
      <c r="C60">
        <v>5</v>
      </c>
      <c r="D60">
        <v>3</v>
      </c>
      <c r="E60">
        <f>233-58</f>
        <v>175</v>
      </c>
      <c r="F60">
        <v>7</v>
      </c>
      <c r="G60">
        <v>2</v>
      </c>
      <c r="H60">
        <v>5</v>
      </c>
      <c r="I60">
        <v>3</v>
      </c>
      <c r="K60">
        <f t="shared" si="16"/>
        <v>0.66666666666666663</v>
      </c>
      <c r="L60">
        <f t="shared" si="17"/>
        <v>0.42857142857142855</v>
      </c>
    </row>
    <row r="61" spans="1:13" x14ac:dyDescent="0.25">
      <c r="A61">
        <v>220120</v>
      </c>
      <c r="B61" t="s">
        <v>19</v>
      </c>
      <c r="C61">
        <v>6</v>
      </c>
      <c r="D61">
        <v>1</v>
      </c>
      <c r="E61">
        <f>381-77</f>
        <v>304</v>
      </c>
      <c r="F61">
        <v>12</v>
      </c>
      <c r="G61">
        <v>1</v>
      </c>
      <c r="H61">
        <v>7</v>
      </c>
      <c r="I61">
        <v>5</v>
      </c>
      <c r="K61">
        <f t="shared" si="16"/>
        <v>0.2</v>
      </c>
      <c r="L61">
        <f t="shared" si="17"/>
        <v>0.41666666666666669</v>
      </c>
    </row>
    <row r="62" spans="1:13" x14ac:dyDescent="0.25">
      <c r="A62">
        <v>220120</v>
      </c>
      <c r="B62" t="s">
        <v>19</v>
      </c>
      <c r="C62">
        <v>6</v>
      </c>
      <c r="D62">
        <v>2</v>
      </c>
      <c r="E62">
        <f>407-77</f>
        <v>330</v>
      </c>
      <c r="F62">
        <v>9</v>
      </c>
      <c r="G62">
        <v>4</v>
      </c>
      <c r="H62">
        <v>5</v>
      </c>
      <c r="I62">
        <v>4</v>
      </c>
      <c r="K62">
        <f t="shared" si="16"/>
        <v>1</v>
      </c>
      <c r="L62">
        <f t="shared" si="17"/>
        <v>0.44444444444444442</v>
      </c>
    </row>
    <row r="63" spans="1:13" x14ac:dyDescent="0.25">
      <c r="A63">
        <v>220120</v>
      </c>
      <c r="B63" t="s">
        <v>19</v>
      </c>
      <c r="C63">
        <v>6</v>
      </c>
      <c r="D63">
        <v>3</v>
      </c>
      <c r="E63">
        <f>433-77</f>
        <v>356</v>
      </c>
      <c r="F63">
        <v>8</v>
      </c>
      <c r="G63">
        <v>2</v>
      </c>
      <c r="H63">
        <v>5</v>
      </c>
      <c r="I63">
        <v>3</v>
      </c>
      <c r="K63">
        <f t="shared" si="16"/>
        <v>0.66666666666666663</v>
      </c>
      <c r="L63">
        <f t="shared" si="17"/>
        <v>0.375</v>
      </c>
    </row>
    <row r="64" spans="1:13" x14ac:dyDescent="0.25">
      <c r="A64">
        <v>220120</v>
      </c>
      <c r="B64" t="s">
        <v>19</v>
      </c>
      <c r="C64">
        <v>6</v>
      </c>
      <c r="D64">
        <v>4</v>
      </c>
      <c r="E64">
        <f>484-77</f>
        <v>407</v>
      </c>
      <c r="F64">
        <v>9</v>
      </c>
      <c r="G64">
        <v>4</v>
      </c>
      <c r="H64">
        <v>5</v>
      </c>
      <c r="I64">
        <v>5</v>
      </c>
      <c r="K64">
        <f t="shared" si="16"/>
        <v>0.8</v>
      </c>
      <c r="L64">
        <f t="shared" si="17"/>
        <v>0.55555555555555558</v>
      </c>
    </row>
    <row r="65" spans="1:12" x14ac:dyDescent="0.25">
      <c r="A65">
        <v>220120</v>
      </c>
      <c r="B65" t="s">
        <v>19</v>
      </c>
      <c r="C65">
        <v>7</v>
      </c>
      <c r="D65">
        <v>1</v>
      </c>
      <c r="E65">
        <f>440-124</f>
        <v>316</v>
      </c>
      <c r="F65">
        <v>11</v>
      </c>
      <c r="G65">
        <v>5</v>
      </c>
      <c r="H65">
        <v>9</v>
      </c>
      <c r="I65">
        <v>6</v>
      </c>
      <c r="K65">
        <f t="shared" si="16"/>
        <v>0.83333333333333337</v>
      </c>
      <c r="L65">
        <f t="shared" si="17"/>
        <v>0.54545454545454541</v>
      </c>
    </row>
    <row r="66" spans="1:12" x14ac:dyDescent="0.25">
      <c r="A66">
        <v>220120</v>
      </c>
      <c r="B66" t="s">
        <v>19</v>
      </c>
      <c r="C66">
        <v>7</v>
      </c>
      <c r="D66">
        <v>2</v>
      </c>
      <c r="E66">
        <f>539-124</f>
        <v>415</v>
      </c>
      <c r="F66">
        <v>11</v>
      </c>
      <c r="G66">
        <v>4</v>
      </c>
      <c r="H66">
        <v>7</v>
      </c>
      <c r="I66">
        <v>6</v>
      </c>
      <c r="K66">
        <f t="shared" si="16"/>
        <v>0.66666666666666663</v>
      </c>
      <c r="L66">
        <f t="shared" si="17"/>
        <v>0.54545454545454541</v>
      </c>
    </row>
    <row r="67" spans="1:12" x14ac:dyDescent="0.25">
      <c r="A67">
        <v>220120</v>
      </c>
      <c r="B67" t="s">
        <v>19</v>
      </c>
      <c r="C67">
        <v>7</v>
      </c>
      <c r="D67">
        <v>2</v>
      </c>
      <c r="E67">
        <f>579-124</f>
        <v>455</v>
      </c>
      <c r="F67">
        <v>11</v>
      </c>
      <c r="G67">
        <v>5</v>
      </c>
      <c r="H67">
        <v>7</v>
      </c>
      <c r="I67">
        <v>6</v>
      </c>
      <c r="K67">
        <f t="shared" si="16"/>
        <v>0.83333333333333337</v>
      </c>
      <c r="L67">
        <f t="shared" si="17"/>
        <v>0.54545454545454541</v>
      </c>
    </row>
    <row r="68" spans="1:12" x14ac:dyDescent="0.25">
      <c r="A68">
        <v>220120</v>
      </c>
      <c r="B68" t="s">
        <v>19</v>
      </c>
      <c r="C68">
        <v>8</v>
      </c>
      <c r="D68">
        <v>1</v>
      </c>
      <c r="E68">
        <f>112-112</f>
        <v>0</v>
      </c>
      <c r="F68">
        <v>25</v>
      </c>
      <c r="G68">
        <v>6</v>
      </c>
      <c r="H68">
        <v>11</v>
      </c>
      <c r="I68">
        <v>9</v>
      </c>
      <c r="K68">
        <f t="shared" si="16"/>
        <v>0.66666666666666663</v>
      </c>
      <c r="L68">
        <f t="shared" si="17"/>
        <v>0.36</v>
      </c>
    </row>
    <row r="69" spans="1:12" x14ac:dyDescent="0.25">
      <c r="A69">
        <v>220120</v>
      </c>
      <c r="B69" t="s">
        <v>19</v>
      </c>
      <c r="C69">
        <v>8</v>
      </c>
      <c r="D69">
        <v>2</v>
      </c>
      <c r="E69">
        <f>402-112</f>
        <v>290</v>
      </c>
      <c r="F69">
        <v>13</v>
      </c>
      <c r="G69">
        <v>8</v>
      </c>
      <c r="H69">
        <v>6</v>
      </c>
      <c r="I69">
        <v>8</v>
      </c>
      <c r="K69">
        <f t="shared" ref="K69:K76" si="18">G69/I69</f>
        <v>1</v>
      </c>
      <c r="L69">
        <f t="shared" ref="L69:L76" si="19">I69/F69</f>
        <v>0.61538461538461542</v>
      </c>
    </row>
    <row r="70" spans="1:12" x14ac:dyDescent="0.25">
      <c r="A70">
        <v>220120</v>
      </c>
      <c r="B70" t="s">
        <v>19</v>
      </c>
      <c r="C70">
        <v>8</v>
      </c>
      <c r="D70">
        <v>3</v>
      </c>
      <c r="E70">
        <f>551-112</f>
        <v>439</v>
      </c>
      <c r="F70">
        <v>8</v>
      </c>
      <c r="G70">
        <v>3</v>
      </c>
      <c r="H70">
        <v>7</v>
      </c>
      <c r="I70">
        <v>4</v>
      </c>
      <c r="K70">
        <f t="shared" si="18"/>
        <v>0.75</v>
      </c>
      <c r="L70">
        <f t="shared" si="19"/>
        <v>0.5</v>
      </c>
    </row>
    <row r="71" spans="1:12" x14ac:dyDescent="0.25">
      <c r="A71">
        <v>220120</v>
      </c>
      <c r="B71" t="s">
        <v>19</v>
      </c>
      <c r="C71">
        <v>8</v>
      </c>
      <c r="D71">
        <v>4</v>
      </c>
      <c r="E71">
        <f>586-112</f>
        <v>474</v>
      </c>
      <c r="F71">
        <v>10</v>
      </c>
      <c r="G71">
        <v>6</v>
      </c>
      <c r="H71">
        <v>7</v>
      </c>
      <c r="I71">
        <v>6</v>
      </c>
      <c r="K71">
        <f t="shared" si="18"/>
        <v>1</v>
      </c>
      <c r="L71">
        <f t="shared" si="19"/>
        <v>0.6</v>
      </c>
    </row>
    <row r="72" spans="1:12" x14ac:dyDescent="0.25">
      <c r="A72">
        <v>220120</v>
      </c>
      <c r="B72" t="s">
        <v>19</v>
      </c>
      <c r="C72">
        <v>8</v>
      </c>
      <c r="D72">
        <v>5</v>
      </c>
      <c r="E72">
        <f>593-112</f>
        <v>481</v>
      </c>
      <c r="F72">
        <v>13</v>
      </c>
      <c r="G72">
        <v>3</v>
      </c>
      <c r="H72">
        <v>7</v>
      </c>
      <c r="I72">
        <v>5</v>
      </c>
      <c r="K72">
        <f t="shared" si="18"/>
        <v>0.6</v>
      </c>
      <c r="L72">
        <f t="shared" si="19"/>
        <v>0.38461538461538464</v>
      </c>
    </row>
    <row r="73" spans="1:12" x14ac:dyDescent="0.25">
      <c r="A73">
        <v>220120</v>
      </c>
      <c r="B73" t="s">
        <v>19</v>
      </c>
      <c r="C73">
        <v>9</v>
      </c>
      <c r="D73">
        <v>1</v>
      </c>
      <c r="E73">
        <f>464-60</f>
        <v>404</v>
      </c>
      <c r="F73">
        <v>18</v>
      </c>
      <c r="G73">
        <v>4</v>
      </c>
      <c r="H73">
        <v>9</v>
      </c>
      <c r="I73">
        <v>7</v>
      </c>
      <c r="K73">
        <f t="shared" si="18"/>
        <v>0.5714285714285714</v>
      </c>
      <c r="L73">
        <f t="shared" si="19"/>
        <v>0.3888888888888889</v>
      </c>
    </row>
    <row r="74" spans="1:12" x14ac:dyDescent="0.25">
      <c r="A74">
        <v>220120</v>
      </c>
      <c r="B74" t="s">
        <v>19</v>
      </c>
      <c r="C74">
        <v>10</v>
      </c>
      <c r="D74">
        <v>1</v>
      </c>
      <c r="E74">
        <f>149-93</f>
        <v>56</v>
      </c>
      <c r="F74">
        <v>8</v>
      </c>
      <c r="G74">
        <v>2</v>
      </c>
      <c r="H74">
        <v>10</v>
      </c>
      <c r="I74">
        <v>5</v>
      </c>
      <c r="K74">
        <f t="shared" si="18"/>
        <v>0.4</v>
      </c>
      <c r="L74">
        <f t="shared" si="19"/>
        <v>0.625</v>
      </c>
    </row>
    <row r="75" spans="1:12" x14ac:dyDescent="0.25">
      <c r="A75">
        <v>220120</v>
      </c>
      <c r="B75" t="s">
        <v>19</v>
      </c>
      <c r="C75">
        <v>10</v>
      </c>
      <c r="D75">
        <v>2</v>
      </c>
      <c r="E75">
        <f>362-93</f>
        <v>269</v>
      </c>
      <c r="F75">
        <v>10</v>
      </c>
      <c r="G75">
        <v>3</v>
      </c>
      <c r="H75">
        <v>8</v>
      </c>
      <c r="I75">
        <v>6</v>
      </c>
      <c r="K75">
        <f t="shared" si="18"/>
        <v>0.5</v>
      </c>
      <c r="L75">
        <f t="shared" si="19"/>
        <v>0.6</v>
      </c>
    </row>
    <row r="76" spans="1:12" x14ac:dyDescent="0.25">
      <c r="A76">
        <v>220120</v>
      </c>
      <c r="B76" t="s">
        <v>19</v>
      </c>
      <c r="C76">
        <v>10</v>
      </c>
      <c r="D76">
        <v>3</v>
      </c>
      <c r="E76">
        <f>442-93</f>
        <v>349</v>
      </c>
      <c r="F76">
        <v>9</v>
      </c>
      <c r="G76">
        <v>2</v>
      </c>
      <c r="H76">
        <v>4</v>
      </c>
      <c r="I76">
        <v>3</v>
      </c>
      <c r="K76">
        <f t="shared" si="18"/>
        <v>0.66666666666666663</v>
      </c>
      <c r="L76">
        <f t="shared" si="19"/>
        <v>0.33333333333333331</v>
      </c>
    </row>
    <row r="77" spans="1:12" x14ac:dyDescent="0.25">
      <c r="A77">
        <v>220120</v>
      </c>
      <c r="B77" t="s">
        <v>19</v>
      </c>
      <c r="C77">
        <v>10</v>
      </c>
      <c r="D77">
        <v>4</v>
      </c>
      <c r="J77" t="s">
        <v>0</v>
      </c>
    </row>
    <row r="78" spans="1:12" x14ac:dyDescent="0.25">
      <c r="A78">
        <v>220120</v>
      </c>
      <c r="B78" t="s">
        <v>19</v>
      </c>
      <c r="C78">
        <v>10</v>
      </c>
      <c r="D78">
        <v>5</v>
      </c>
      <c r="E78">
        <f>491-93</f>
        <v>398</v>
      </c>
      <c r="F78">
        <v>9</v>
      </c>
      <c r="G78">
        <v>2</v>
      </c>
      <c r="H78">
        <v>5</v>
      </c>
      <c r="I78">
        <v>3</v>
      </c>
      <c r="K78">
        <f t="shared" ref="K78:K101" si="20">G78/I78</f>
        <v>0.66666666666666663</v>
      </c>
      <c r="L78">
        <f t="shared" ref="L78:L101" si="21">I78/F78</f>
        <v>0.33333333333333331</v>
      </c>
    </row>
    <row r="79" spans="1:12" x14ac:dyDescent="0.25">
      <c r="A79">
        <v>220120</v>
      </c>
      <c r="B79" t="s">
        <v>19</v>
      </c>
      <c r="C79">
        <v>11</v>
      </c>
      <c r="D79">
        <v>1</v>
      </c>
      <c r="E79">
        <f>141-51</f>
        <v>90</v>
      </c>
      <c r="F79">
        <v>8</v>
      </c>
      <c r="G79">
        <v>3</v>
      </c>
      <c r="H79">
        <v>9</v>
      </c>
      <c r="I79">
        <v>5</v>
      </c>
      <c r="K79">
        <f t="shared" si="20"/>
        <v>0.6</v>
      </c>
      <c r="L79">
        <f t="shared" si="21"/>
        <v>0.625</v>
      </c>
    </row>
    <row r="80" spans="1:12" x14ac:dyDescent="0.25">
      <c r="A80">
        <v>220120</v>
      </c>
      <c r="B80" t="s">
        <v>19</v>
      </c>
      <c r="C80">
        <v>11</v>
      </c>
      <c r="D80">
        <v>2</v>
      </c>
      <c r="E80">
        <f>342-51</f>
        <v>291</v>
      </c>
      <c r="F80">
        <v>11</v>
      </c>
      <c r="G80">
        <v>2</v>
      </c>
      <c r="H80">
        <v>8</v>
      </c>
      <c r="I80">
        <v>4</v>
      </c>
      <c r="K80">
        <f t="shared" si="20"/>
        <v>0.5</v>
      </c>
      <c r="L80">
        <f t="shared" si="21"/>
        <v>0.36363636363636365</v>
      </c>
    </row>
    <row r="81" spans="1:12" x14ac:dyDescent="0.25">
      <c r="A81">
        <v>220120</v>
      </c>
      <c r="B81" t="s">
        <v>19</v>
      </c>
      <c r="C81">
        <v>11</v>
      </c>
      <c r="D81">
        <v>3</v>
      </c>
      <c r="E81">
        <f>347-51</f>
        <v>296</v>
      </c>
      <c r="F81">
        <v>11</v>
      </c>
      <c r="G81">
        <v>8</v>
      </c>
      <c r="H81">
        <v>7</v>
      </c>
      <c r="I81">
        <v>7</v>
      </c>
      <c r="K81">
        <f t="shared" si="20"/>
        <v>1.1428571428571428</v>
      </c>
      <c r="L81">
        <f t="shared" si="21"/>
        <v>0.63636363636363635</v>
      </c>
    </row>
    <row r="82" spans="1:12" x14ac:dyDescent="0.25">
      <c r="A82">
        <v>220120</v>
      </c>
      <c r="B82" t="s">
        <v>19</v>
      </c>
      <c r="C82">
        <v>11</v>
      </c>
      <c r="D82">
        <v>4</v>
      </c>
      <c r="E82">
        <f>382-51</f>
        <v>331</v>
      </c>
      <c r="F82">
        <v>8</v>
      </c>
      <c r="G82">
        <v>8</v>
      </c>
      <c r="H82">
        <v>7</v>
      </c>
      <c r="I82">
        <v>5</v>
      </c>
      <c r="K82">
        <f t="shared" si="20"/>
        <v>1.6</v>
      </c>
      <c r="L82">
        <f t="shared" si="21"/>
        <v>0.625</v>
      </c>
    </row>
    <row r="83" spans="1:12" x14ac:dyDescent="0.25">
      <c r="A83">
        <v>220120</v>
      </c>
      <c r="B83" t="s">
        <v>19</v>
      </c>
      <c r="C83">
        <v>11</v>
      </c>
      <c r="D83">
        <v>5</v>
      </c>
      <c r="E83">
        <f>407-51</f>
        <v>356</v>
      </c>
      <c r="F83">
        <v>8</v>
      </c>
      <c r="G83">
        <v>5</v>
      </c>
      <c r="H83">
        <v>6</v>
      </c>
      <c r="I83">
        <v>5</v>
      </c>
      <c r="K83">
        <f t="shared" si="20"/>
        <v>1</v>
      </c>
      <c r="L83">
        <f t="shared" si="21"/>
        <v>0.625</v>
      </c>
    </row>
    <row r="84" spans="1:12" x14ac:dyDescent="0.25">
      <c r="A84">
        <v>220120</v>
      </c>
      <c r="B84" t="s">
        <v>19</v>
      </c>
      <c r="C84">
        <v>12</v>
      </c>
      <c r="D84">
        <v>1</v>
      </c>
      <c r="E84">
        <f>256-87</f>
        <v>169</v>
      </c>
      <c r="F84">
        <v>16</v>
      </c>
      <c r="G84">
        <v>4</v>
      </c>
      <c r="H84">
        <v>8</v>
      </c>
      <c r="I84">
        <v>6</v>
      </c>
      <c r="K84">
        <f t="shared" si="20"/>
        <v>0.66666666666666663</v>
      </c>
      <c r="L84">
        <f t="shared" si="21"/>
        <v>0.375</v>
      </c>
    </row>
    <row r="85" spans="1:12" x14ac:dyDescent="0.25">
      <c r="A85">
        <v>220120</v>
      </c>
      <c r="B85" t="s">
        <v>19</v>
      </c>
      <c r="C85">
        <v>12</v>
      </c>
      <c r="D85">
        <v>2</v>
      </c>
      <c r="E85">
        <f>528-87</f>
        <v>441</v>
      </c>
      <c r="F85">
        <v>11</v>
      </c>
      <c r="G85">
        <v>4</v>
      </c>
      <c r="H85">
        <v>6</v>
      </c>
      <c r="I85">
        <v>4</v>
      </c>
      <c r="K85">
        <f t="shared" si="20"/>
        <v>1</v>
      </c>
      <c r="L85">
        <f t="shared" si="21"/>
        <v>0.36363636363636365</v>
      </c>
    </row>
    <row r="86" spans="1:12" x14ac:dyDescent="0.25">
      <c r="A86">
        <v>220120</v>
      </c>
      <c r="B86" t="s">
        <v>19</v>
      </c>
      <c r="C86">
        <v>13</v>
      </c>
      <c r="D86">
        <v>1</v>
      </c>
      <c r="E86">
        <f>274-128</f>
        <v>146</v>
      </c>
      <c r="F86">
        <v>13</v>
      </c>
      <c r="G86">
        <v>5</v>
      </c>
      <c r="H86">
        <v>10</v>
      </c>
      <c r="I86">
        <v>6</v>
      </c>
      <c r="K86">
        <f t="shared" si="20"/>
        <v>0.83333333333333337</v>
      </c>
      <c r="L86">
        <f t="shared" si="21"/>
        <v>0.46153846153846156</v>
      </c>
    </row>
    <row r="87" spans="1:12" x14ac:dyDescent="0.25">
      <c r="A87">
        <v>220120</v>
      </c>
      <c r="B87" t="s">
        <v>19</v>
      </c>
      <c r="C87">
        <v>13</v>
      </c>
      <c r="D87">
        <v>2</v>
      </c>
      <c r="E87">
        <f>370-128</f>
        <v>242</v>
      </c>
      <c r="F87">
        <v>12</v>
      </c>
      <c r="G87">
        <v>2</v>
      </c>
      <c r="H87">
        <v>6</v>
      </c>
      <c r="I87">
        <v>4</v>
      </c>
      <c r="K87">
        <f t="shared" si="20"/>
        <v>0.5</v>
      </c>
      <c r="L87">
        <f t="shared" si="21"/>
        <v>0.33333333333333331</v>
      </c>
    </row>
    <row r="88" spans="1:12" x14ac:dyDescent="0.25">
      <c r="A88">
        <v>220120</v>
      </c>
      <c r="B88" t="s">
        <v>19</v>
      </c>
      <c r="C88">
        <v>13</v>
      </c>
      <c r="D88">
        <v>3</v>
      </c>
      <c r="E88">
        <f>482-128</f>
        <v>354</v>
      </c>
      <c r="F88">
        <v>11</v>
      </c>
      <c r="G88">
        <v>1</v>
      </c>
      <c r="H88">
        <v>6</v>
      </c>
      <c r="I88">
        <v>3</v>
      </c>
      <c r="K88">
        <f t="shared" si="20"/>
        <v>0.33333333333333331</v>
      </c>
      <c r="L88">
        <f t="shared" si="21"/>
        <v>0.27272727272727271</v>
      </c>
    </row>
    <row r="89" spans="1:12" x14ac:dyDescent="0.25">
      <c r="A89">
        <v>220120</v>
      </c>
      <c r="B89" t="s">
        <v>19</v>
      </c>
      <c r="C89">
        <v>13</v>
      </c>
      <c r="D89">
        <v>4</v>
      </c>
      <c r="E89">
        <f>547-128</f>
        <v>419</v>
      </c>
      <c r="F89">
        <v>10</v>
      </c>
      <c r="G89">
        <v>2</v>
      </c>
      <c r="H89">
        <v>6</v>
      </c>
      <c r="I89">
        <v>5</v>
      </c>
      <c r="K89">
        <f t="shared" si="20"/>
        <v>0.4</v>
      </c>
      <c r="L89">
        <f t="shared" si="21"/>
        <v>0.5</v>
      </c>
    </row>
    <row r="90" spans="1:12" x14ac:dyDescent="0.25">
      <c r="A90">
        <v>220120</v>
      </c>
      <c r="B90" t="s">
        <v>19</v>
      </c>
      <c r="C90">
        <v>13</v>
      </c>
      <c r="D90">
        <v>5</v>
      </c>
      <c r="E90">
        <f>555-128</f>
        <v>427</v>
      </c>
      <c r="F90">
        <v>12</v>
      </c>
      <c r="G90">
        <v>3</v>
      </c>
      <c r="H90">
        <v>8</v>
      </c>
      <c r="I90">
        <v>6</v>
      </c>
      <c r="K90">
        <f t="shared" si="20"/>
        <v>0.5</v>
      </c>
      <c r="L90">
        <f t="shared" si="21"/>
        <v>0.5</v>
      </c>
    </row>
    <row r="91" spans="1:12" x14ac:dyDescent="0.25">
      <c r="A91">
        <v>220120</v>
      </c>
      <c r="B91" t="s">
        <v>19</v>
      </c>
      <c r="C91">
        <v>14</v>
      </c>
      <c r="D91">
        <v>1</v>
      </c>
      <c r="E91">
        <f>540-90</f>
        <v>450</v>
      </c>
      <c r="F91">
        <v>16</v>
      </c>
      <c r="G91">
        <v>5</v>
      </c>
      <c r="H91">
        <v>9</v>
      </c>
      <c r="I91">
        <v>5</v>
      </c>
      <c r="K91">
        <f t="shared" si="20"/>
        <v>1</v>
      </c>
      <c r="L91">
        <f t="shared" si="21"/>
        <v>0.3125</v>
      </c>
    </row>
    <row r="92" spans="1:12" x14ac:dyDescent="0.25">
      <c r="A92">
        <v>220120</v>
      </c>
      <c r="B92" t="s">
        <v>19</v>
      </c>
      <c r="C92">
        <v>15</v>
      </c>
      <c r="D92">
        <v>1</v>
      </c>
      <c r="E92">
        <f>169-92</f>
        <v>77</v>
      </c>
      <c r="F92">
        <v>16</v>
      </c>
      <c r="G92">
        <v>4</v>
      </c>
      <c r="H92">
        <v>9</v>
      </c>
      <c r="I92">
        <v>6</v>
      </c>
      <c r="K92">
        <f t="shared" si="20"/>
        <v>0.66666666666666663</v>
      </c>
      <c r="L92">
        <f t="shared" si="21"/>
        <v>0.375</v>
      </c>
    </row>
    <row r="93" spans="1:12" x14ac:dyDescent="0.25">
      <c r="A93">
        <v>220120</v>
      </c>
      <c r="B93" t="s">
        <v>19</v>
      </c>
      <c r="C93">
        <v>15</v>
      </c>
      <c r="D93">
        <v>2</v>
      </c>
      <c r="E93">
        <f>303-92</f>
        <v>211</v>
      </c>
      <c r="F93">
        <v>12</v>
      </c>
      <c r="G93">
        <v>2</v>
      </c>
      <c r="H93">
        <v>7</v>
      </c>
      <c r="I93">
        <v>5</v>
      </c>
      <c r="K93">
        <f t="shared" si="20"/>
        <v>0.4</v>
      </c>
      <c r="L93">
        <f t="shared" si="21"/>
        <v>0.41666666666666669</v>
      </c>
    </row>
    <row r="94" spans="1:12" x14ac:dyDescent="0.25">
      <c r="A94">
        <v>220120</v>
      </c>
      <c r="B94" t="s">
        <v>19</v>
      </c>
      <c r="C94">
        <v>15</v>
      </c>
      <c r="D94">
        <v>3</v>
      </c>
      <c r="E94">
        <f>467-92</f>
        <v>375</v>
      </c>
      <c r="F94">
        <v>11</v>
      </c>
      <c r="G94">
        <v>7</v>
      </c>
      <c r="H94">
        <v>6</v>
      </c>
      <c r="I94">
        <v>7</v>
      </c>
      <c r="K94">
        <f t="shared" si="20"/>
        <v>1</v>
      </c>
      <c r="L94">
        <f t="shared" si="21"/>
        <v>0.63636363636363635</v>
      </c>
    </row>
    <row r="95" spans="1:12" x14ac:dyDescent="0.25">
      <c r="A95">
        <v>220120</v>
      </c>
      <c r="B95" t="s">
        <v>19</v>
      </c>
      <c r="C95">
        <v>15</v>
      </c>
      <c r="D95">
        <v>4</v>
      </c>
      <c r="E95">
        <f>485-92</f>
        <v>393</v>
      </c>
      <c r="F95">
        <v>12</v>
      </c>
      <c r="G95">
        <v>2</v>
      </c>
      <c r="H95">
        <v>8</v>
      </c>
      <c r="I95">
        <v>5</v>
      </c>
      <c r="K95">
        <f t="shared" si="20"/>
        <v>0.4</v>
      </c>
      <c r="L95">
        <f t="shared" si="21"/>
        <v>0.41666666666666669</v>
      </c>
    </row>
    <row r="96" spans="1:12" x14ac:dyDescent="0.25">
      <c r="A96">
        <v>220120</v>
      </c>
      <c r="B96" t="s">
        <v>19</v>
      </c>
      <c r="C96">
        <v>15</v>
      </c>
      <c r="D96">
        <v>5</v>
      </c>
      <c r="E96">
        <f>525-92</f>
        <v>433</v>
      </c>
      <c r="F96">
        <v>10</v>
      </c>
      <c r="G96">
        <v>4</v>
      </c>
      <c r="H96">
        <v>4</v>
      </c>
      <c r="I96">
        <v>4</v>
      </c>
      <c r="K96">
        <f t="shared" si="20"/>
        <v>1</v>
      </c>
      <c r="L96">
        <f t="shared" si="21"/>
        <v>0.4</v>
      </c>
    </row>
    <row r="97" spans="1:12" x14ac:dyDescent="0.25">
      <c r="A97">
        <v>220120</v>
      </c>
      <c r="B97" t="s">
        <v>19</v>
      </c>
      <c r="C97">
        <v>16</v>
      </c>
      <c r="D97">
        <v>1</v>
      </c>
      <c r="E97">
        <f>437-108</f>
        <v>329</v>
      </c>
      <c r="F97">
        <v>21</v>
      </c>
      <c r="G97">
        <v>4</v>
      </c>
      <c r="H97">
        <v>11</v>
      </c>
      <c r="I97">
        <v>6</v>
      </c>
      <c r="K97">
        <f t="shared" si="20"/>
        <v>0.66666666666666663</v>
      </c>
      <c r="L97">
        <f t="shared" si="21"/>
        <v>0.2857142857142857</v>
      </c>
    </row>
    <row r="98" spans="1:12" x14ac:dyDescent="0.25">
      <c r="A98">
        <v>220120</v>
      </c>
      <c r="B98" t="s">
        <v>19</v>
      </c>
      <c r="C98">
        <v>17</v>
      </c>
      <c r="D98">
        <v>1</v>
      </c>
      <c r="E98">
        <f>245-175</f>
        <v>70</v>
      </c>
      <c r="F98">
        <v>12</v>
      </c>
      <c r="G98">
        <v>3</v>
      </c>
      <c r="H98">
        <v>7</v>
      </c>
      <c r="I98">
        <v>4</v>
      </c>
      <c r="K98">
        <f t="shared" si="20"/>
        <v>0.75</v>
      </c>
      <c r="L98">
        <f t="shared" si="21"/>
        <v>0.33333333333333331</v>
      </c>
    </row>
    <row r="99" spans="1:12" x14ac:dyDescent="0.25">
      <c r="A99">
        <v>220120</v>
      </c>
      <c r="B99" t="s">
        <v>19</v>
      </c>
      <c r="C99">
        <v>17</v>
      </c>
      <c r="D99">
        <v>2</v>
      </c>
      <c r="E99">
        <f>440-175</f>
        <v>265</v>
      </c>
      <c r="F99">
        <v>10</v>
      </c>
      <c r="G99">
        <v>2</v>
      </c>
      <c r="H99">
        <v>8</v>
      </c>
      <c r="I99">
        <v>4</v>
      </c>
      <c r="K99">
        <f t="shared" si="20"/>
        <v>0.5</v>
      </c>
      <c r="L99">
        <f t="shared" si="21"/>
        <v>0.4</v>
      </c>
    </row>
    <row r="100" spans="1:12" x14ac:dyDescent="0.25">
      <c r="A100">
        <v>220120</v>
      </c>
      <c r="B100" t="s">
        <v>19</v>
      </c>
      <c r="C100">
        <v>17</v>
      </c>
      <c r="D100">
        <v>3</v>
      </c>
      <c r="E100">
        <f>524-175</f>
        <v>349</v>
      </c>
      <c r="F100">
        <v>9</v>
      </c>
      <c r="G100">
        <v>6</v>
      </c>
      <c r="H100">
        <v>6</v>
      </c>
      <c r="I100">
        <v>6</v>
      </c>
      <c r="K100">
        <f t="shared" si="20"/>
        <v>1</v>
      </c>
      <c r="L100">
        <f t="shared" si="21"/>
        <v>0.66666666666666663</v>
      </c>
    </row>
    <row r="101" spans="1:12" x14ac:dyDescent="0.25">
      <c r="A101">
        <v>220120</v>
      </c>
      <c r="B101" t="s">
        <v>19</v>
      </c>
      <c r="C101">
        <v>17</v>
      </c>
      <c r="D101">
        <v>4</v>
      </c>
      <c r="E101">
        <f>533-175</f>
        <v>358</v>
      </c>
      <c r="F101">
        <v>11</v>
      </c>
      <c r="G101">
        <v>7</v>
      </c>
      <c r="H101">
        <v>7</v>
      </c>
      <c r="I101">
        <v>6</v>
      </c>
      <c r="K101">
        <f t="shared" si="20"/>
        <v>1.1666666666666667</v>
      </c>
      <c r="L101">
        <f t="shared" si="21"/>
        <v>0.54545454545454541</v>
      </c>
    </row>
    <row r="102" spans="1:12" x14ac:dyDescent="0.25">
      <c r="A102">
        <v>220120</v>
      </c>
      <c r="B102" t="s">
        <v>19</v>
      </c>
      <c r="C102">
        <v>18</v>
      </c>
      <c r="D102">
        <v>1</v>
      </c>
      <c r="E102">
        <f>254-193</f>
        <v>61</v>
      </c>
      <c r="J102" t="s">
        <v>0</v>
      </c>
    </row>
    <row r="103" spans="1:12" x14ac:dyDescent="0.25">
      <c r="A103">
        <v>220120</v>
      </c>
      <c r="B103" t="s">
        <v>19</v>
      </c>
      <c r="C103">
        <v>18</v>
      </c>
      <c r="D103">
        <v>2</v>
      </c>
      <c r="E103">
        <f>346-193</f>
        <v>153</v>
      </c>
      <c r="F103">
        <v>8</v>
      </c>
      <c r="G103">
        <v>1</v>
      </c>
      <c r="H103">
        <v>3</v>
      </c>
      <c r="I103">
        <v>2</v>
      </c>
      <c r="K103">
        <f t="shared" ref="K103:K119" si="22">G103/I103</f>
        <v>0.5</v>
      </c>
      <c r="L103">
        <f t="shared" ref="L103:L119" si="23">I103/F103</f>
        <v>0.25</v>
      </c>
    </row>
    <row r="104" spans="1:12" x14ac:dyDescent="0.25">
      <c r="A104">
        <v>220120</v>
      </c>
      <c r="B104" t="s">
        <v>19</v>
      </c>
      <c r="C104">
        <v>18</v>
      </c>
      <c r="D104">
        <v>3</v>
      </c>
      <c r="E104">
        <f>365-193</f>
        <v>172</v>
      </c>
      <c r="F104">
        <v>8</v>
      </c>
      <c r="G104">
        <v>3</v>
      </c>
      <c r="H104">
        <v>7</v>
      </c>
      <c r="I104">
        <v>4</v>
      </c>
      <c r="K104">
        <f t="shared" si="22"/>
        <v>0.75</v>
      </c>
      <c r="L104">
        <f t="shared" si="23"/>
        <v>0.5</v>
      </c>
    </row>
    <row r="105" spans="1:12" x14ac:dyDescent="0.25">
      <c r="A105">
        <v>220120</v>
      </c>
      <c r="B105" t="s">
        <v>19</v>
      </c>
      <c r="C105">
        <v>19</v>
      </c>
      <c r="D105">
        <v>1</v>
      </c>
      <c r="E105">
        <f>423-207</f>
        <v>216</v>
      </c>
      <c r="F105">
        <v>19</v>
      </c>
      <c r="G105">
        <v>2</v>
      </c>
      <c r="H105">
        <v>8</v>
      </c>
      <c r="I105">
        <v>6</v>
      </c>
      <c r="K105">
        <f t="shared" si="22"/>
        <v>0.33333333333333331</v>
      </c>
      <c r="L105">
        <f t="shared" si="23"/>
        <v>0.31578947368421051</v>
      </c>
    </row>
    <row r="106" spans="1:12" x14ac:dyDescent="0.25">
      <c r="A106">
        <v>220120</v>
      </c>
      <c r="B106" t="s">
        <v>19</v>
      </c>
      <c r="C106">
        <v>19</v>
      </c>
      <c r="D106">
        <v>2</v>
      </c>
      <c r="E106">
        <f>522-207</f>
        <v>315</v>
      </c>
      <c r="F106">
        <v>17</v>
      </c>
      <c r="G106">
        <v>4</v>
      </c>
      <c r="H106">
        <v>11</v>
      </c>
      <c r="I106">
        <v>6</v>
      </c>
      <c r="K106">
        <f t="shared" si="22"/>
        <v>0.66666666666666663</v>
      </c>
      <c r="L106">
        <f t="shared" si="23"/>
        <v>0.35294117647058826</v>
      </c>
    </row>
    <row r="107" spans="1:12" x14ac:dyDescent="0.25">
      <c r="A107">
        <v>220120</v>
      </c>
      <c r="B107" t="s">
        <v>19</v>
      </c>
      <c r="C107">
        <v>20</v>
      </c>
      <c r="D107">
        <v>1</v>
      </c>
      <c r="E107">
        <f>210-127</f>
        <v>83</v>
      </c>
      <c r="F107">
        <v>11</v>
      </c>
      <c r="G107">
        <v>2</v>
      </c>
      <c r="H107">
        <v>9</v>
      </c>
      <c r="I107">
        <v>6</v>
      </c>
      <c r="K107">
        <f t="shared" si="22"/>
        <v>0.33333333333333331</v>
      </c>
      <c r="L107">
        <f t="shared" si="23"/>
        <v>0.54545454545454541</v>
      </c>
    </row>
    <row r="108" spans="1:12" x14ac:dyDescent="0.25">
      <c r="A108">
        <v>220120</v>
      </c>
      <c r="B108" t="s">
        <v>19</v>
      </c>
      <c r="C108">
        <v>20</v>
      </c>
      <c r="D108">
        <v>2</v>
      </c>
      <c r="E108">
        <f>284-127</f>
        <v>157</v>
      </c>
      <c r="F108">
        <v>10</v>
      </c>
      <c r="G108">
        <v>7</v>
      </c>
      <c r="H108">
        <v>9</v>
      </c>
      <c r="I108">
        <v>8</v>
      </c>
      <c r="K108">
        <f t="shared" si="22"/>
        <v>0.875</v>
      </c>
      <c r="L108">
        <f t="shared" si="23"/>
        <v>0.8</v>
      </c>
    </row>
    <row r="109" spans="1:12" x14ac:dyDescent="0.25">
      <c r="A109">
        <v>220120</v>
      </c>
      <c r="B109" t="s">
        <v>19</v>
      </c>
      <c r="C109">
        <v>20</v>
      </c>
      <c r="D109">
        <v>3</v>
      </c>
      <c r="E109">
        <f>382-127</f>
        <v>255</v>
      </c>
      <c r="F109">
        <v>7</v>
      </c>
      <c r="G109">
        <v>2</v>
      </c>
      <c r="H109">
        <v>7</v>
      </c>
      <c r="I109">
        <v>5</v>
      </c>
      <c r="K109">
        <f t="shared" si="22"/>
        <v>0.4</v>
      </c>
      <c r="L109">
        <f t="shared" si="23"/>
        <v>0.7142857142857143</v>
      </c>
    </row>
    <row r="110" spans="1:12" x14ac:dyDescent="0.25">
      <c r="A110">
        <v>220120</v>
      </c>
      <c r="B110" t="s">
        <v>19</v>
      </c>
      <c r="C110">
        <v>20</v>
      </c>
      <c r="D110">
        <v>4</v>
      </c>
      <c r="E110">
        <f>413-127</f>
        <v>286</v>
      </c>
      <c r="F110">
        <v>9</v>
      </c>
      <c r="G110">
        <v>6</v>
      </c>
      <c r="H110">
        <v>5</v>
      </c>
      <c r="I110">
        <v>4</v>
      </c>
      <c r="K110">
        <f t="shared" si="22"/>
        <v>1.5</v>
      </c>
      <c r="L110">
        <f t="shared" si="23"/>
        <v>0.44444444444444442</v>
      </c>
    </row>
    <row r="111" spans="1:12" x14ac:dyDescent="0.25">
      <c r="A111">
        <v>220120</v>
      </c>
      <c r="B111" t="s">
        <v>19</v>
      </c>
      <c r="C111">
        <v>20</v>
      </c>
      <c r="D111">
        <v>5</v>
      </c>
      <c r="E111">
        <f>501-127</f>
        <v>374</v>
      </c>
      <c r="F111">
        <v>7</v>
      </c>
      <c r="G111">
        <v>7</v>
      </c>
      <c r="H111">
        <v>6</v>
      </c>
      <c r="I111">
        <v>6</v>
      </c>
      <c r="K111">
        <f t="shared" si="22"/>
        <v>1.1666666666666667</v>
      </c>
      <c r="L111">
        <f t="shared" si="23"/>
        <v>0.8571428571428571</v>
      </c>
    </row>
    <row r="112" spans="1:12" x14ac:dyDescent="0.25">
      <c r="A112">
        <v>220120</v>
      </c>
      <c r="B112" t="s">
        <v>19</v>
      </c>
      <c r="C112">
        <v>20</v>
      </c>
      <c r="D112">
        <v>6</v>
      </c>
      <c r="E112">
        <f>516-127</f>
        <v>389</v>
      </c>
      <c r="F112">
        <v>8</v>
      </c>
      <c r="G112">
        <v>5</v>
      </c>
      <c r="H112">
        <v>6</v>
      </c>
      <c r="I112">
        <v>5</v>
      </c>
      <c r="K112">
        <f t="shared" si="22"/>
        <v>1</v>
      </c>
      <c r="L112">
        <f t="shared" si="23"/>
        <v>0.625</v>
      </c>
    </row>
    <row r="113" spans="1:13" x14ac:dyDescent="0.25">
      <c r="A113">
        <v>230120</v>
      </c>
      <c r="B113" t="s">
        <v>19</v>
      </c>
      <c r="C113">
        <v>1</v>
      </c>
      <c r="D113">
        <v>1</v>
      </c>
      <c r="E113">
        <f>134-60</f>
        <v>74</v>
      </c>
      <c r="F113">
        <v>19</v>
      </c>
      <c r="G113">
        <v>3</v>
      </c>
      <c r="H113">
        <v>7</v>
      </c>
      <c r="I113">
        <v>4</v>
      </c>
      <c r="K113">
        <f t="shared" si="22"/>
        <v>0.75</v>
      </c>
      <c r="L113">
        <f t="shared" si="23"/>
        <v>0.21052631578947367</v>
      </c>
    </row>
    <row r="114" spans="1:13" x14ac:dyDescent="0.25">
      <c r="A114">
        <v>230120</v>
      </c>
      <c r="B114" t="s">
        <v>19</v>
      </c>
      <c r="C114">
        <v>1</v>
      </c>
      <c r="D114">
        <v>2</v>
      </c>
      <c r="E114">
        <f>254-60</f>
        <v>194</v>
      </c>
      <c r="F114">
        <v>17</v>
      </c>
      <c r="G114">
        <v>4</v>
      </c>
      <c r="H114">
        <v>8</v>
      </c>
      <c r="I114">
        <v>5</v>
      </c>
      <c r="K114">
        <f t="shared" si="22"/>
        <v>0.8</v>
      </c>
      <c r="L114">
        <f t="shared" si="23"/>
        <v>0.29411764705882354</v>
      </c>
    </row>
    <row r="115" spans="1:13" x14ac:dyDescent="0.25">
      <c r="A115">
        <v>230120</v>
      </c>
      <c r="B115" t="s">
        <v>19</v>
      </c>
      <c r="C115">
        <v>1</v>
      </c>
      <c r="D115">
        <v>3</v>
      </c>
      <c r="E115">
        <f>258-60</f>
        <v>198</v>
      </c>
      <c r="F115">
        <v>17</v>
      </c>
      <c r="G115">
        <v>4</v>
      </c>
      <c r="H115">
        <v>9</v>
      </c>
      <c r="I115">
        <v>5</v>
      </c>
      <c r="K115">
        <f t="shared" si="22"/>
        <v>0.8</v>
      </c>
      <c r="L115">
        <f t="shared" si="23"/>
        <v>0.29411764705882354</v>
      </c>
    </row>
    <row r="116" spans="1:13" x14ac:dyDescent="0.25">
      <c r="A116">
        <v>230120</v>
      </c>
      <c r="B116" t="s">
        <v>19</v>
      </c>
      <c r="C116">
        <v>1</v>
      </c>
      <c r="D116">
        <v>4</v>
      </c>
      <c r="E116">
        <f>364-60</f>
        <v>304</v>
      </c>
      <c r="F116">
        <v>14</v>
      </c>
      <c r="G116">
        <v>4</v>
      </c>
      <c r="H116">
        <v>8</v>
      </c>
      <c r="I116">
        <v>5</v>
      </c>
      <c r="K116">
        <f t="shared" si="22"/>
        <v>0.8</v>
      </c>
      <c r="L116">
        <f t="shared" si="23"/>
        <v>0.35714285714285715</v>
      </c>
    </row>
    <row r="117" spans="1:13" x14ac:dyDescent="0.25">
      <c r="A117">
        <v>230120</v>
      </c>
      <c r="B117" t="s">
        <v>19</v>
      </c>
      <c r="C117">
        <v>1</v>
      </c>
      <c r="D117">
        <v>5</v>
      </c>
      <c r="E117">
        <f>468-60</f>
        <v>408</v>
      </c>
      <c r="F117">
        <v>12</v>
      </c>
      <c r="G117">
        <v>4</v>
      </c>
      <c r="H117">
        <v>10</v>
      </c>
      <c r="I117">
        <v>5</v>
      </c>
      <c r="K117">
        <f t="shared" si="22"/>
        <v>0.8</v>
      </c>
      <c r="L117">
        <f t="shared" si="23"/>
        <v>0.41666666666666669</v>
      </c>
    </row>
    <row r="118" spans="1:13" x14ac:dyDescent="0.25">
      <c r="A118">
        <v>230120</v>
      </c>
      <c r="B118" t="s">
        <v>19</v>
      </c>
      <c r="C118">
        <v>1</v>
      </c>
      <c r="D118">
        <v>6</v>
      </c>
      <c r="E118">
        <f>506-60</f>
        <v>446</v>
      </c>
      <c r="F118">
        <v>13</v>
      </c>
      <c r="G118">
        <v>5</v>
      </c>
      <c r="H118">
        <v>9</v>
      </c>
      <c r="I118">
        <v>6</v>
      </c>
      <c r="K118">
        <f t="shared" si="22"/>
        <v>0.83333333333333337</v>
      </c>
      <c r="L118">
        <f t="shared" si="23"/>
        <v>0.46153846153846156</v>
      </c>
    </row>
    <row r="119" spans="1:13" x14ac:dyDescent="0.25">
      <c r="A119">
        <v>230120</v>
      </c>
      <c r="B119" t="s">
        <v>19</v>
      </c>
      <c r="C119">
        <v>1</v>
      </c>
      <c r="D119">
        <v>7</v>
      </c>
      <c r="E119">
        <f>542-60</f>
        <v>482</v>
      </c>
      <c r="F119">
        <v>12</v>
      </c>
      <c r="G119">
        <v>8</v>
      </c>
      <c r="H119">
        <v>9</v>
      </c>
      <c r="I119">
        <v>6</v>
      </c>
      <c r="K119">
        <f t="shared" si="22"/>
        <v>1.3333333333333333</v>
      </c>
      <c r="L119">
        <f t="shared" si="23"/>
        <v>0.5</v>
      </c>
    </row>
    <row r="120" spans="1:13" x14ac:dyDescent="0.25">
      <c r="A120">
        <v>230120</v>
      </c>
      <c r="B120" t="s">
        <v>19</v>
      </c>
      <c r="C120">
        <v>2</v>
      </c>
      <c r="D120">
        <v>1</v>
      </c>
      <c r="E120">
        <f>419-92</f>
        <v>327</v>
      </c>
      <c r="F120">
        <v>17</v>
      </c>
      <c r="M120" t="s">
        <v>15</v>
      </c>
    </row>
    <row r="121" spans="1:13" x14ac:dyDescent="0.25">
      <c r="A121">
        <v>230120</v>
      </c>
      <c r="B121" t="s">
        <v>19</v>
      </c>
      <c r="C121">
        <v>2</v>
      </c>
      <c r="D121">
        <v>2</v>
      </c>
      <c r="E121">
        <f>419-92</f>
        <v>327</v>
      </c>
      <c r="F121">
        <v>13</v>
      </c>
      <c r="G121">
        <v>4</v>
      </c>
      <c r="H121">
        <v>9</v>
      </c>
      <c r="I121">
        <v>5</v>
      </c>
      <c r="K121">
        <f t="shared" ref="K121:K139" si="24">G121/I121</f>
        <v>0.8</v>
      </c>
      <c r="L121">
        <f t="shared" ref="L121:L139" si="25">I121/F121</f>
        <v>0.38461538461538464</v>
      </c>
    </row>
    <row r="122" spans="1:13" x14ac:dyDescent="0.25">
      <c r="A122">
        <v>230120</v>
      </c>
      <c r="B122" t="s">
        <v>19</v>
      </c>
      <c r="C122">
        <v>2</v>
      </c>
      <c r="D122">
        <v>3</v>
      </c>
      <c r="E122">
        <f>503-92</f>
        <v>411</v>
      </c>
      <c r="F122">
        <v>14</v>
      </c>
      <c r="G122">
        <v>8</v>
      </c>
      <c r="H122">
        <v>9</v>
      </c>
      <c r="I122">
        <v>7</v>
      </c>
      <c r="K122">
        <f t="shared" si="24"/>
        <v>1.1428571428571428</v>
      </c>
      <c r="L122">
        <f t="shared" si="25"/>
        <v>0.5</v>
      </c>
    </row>
    <row r="123" spans="1:13" x14ac:dyDescent="0.25">
      <c r="A123">
        <v>230120</v>
      </c>
      <c r="B123" t="s">
        <v>19</v>
      </c>
      <c r="C123">
        <v>3</v>
      </c>
      <c r="D123">
        <v>1</v>
      </c>
      <c r="E123">
        <f>165-66</f>
        <v>99</v>
      </c>
      <c r="F123">
        <v>17</v>
      </c>
      <c r="G123">
        <v>5</v>
      </c>
      <c r="H123">
        <v>7</v>
      </c>
      <c r="I123">
        <v>7</v>
      </c>
      <c r="K123">
        <f t="shared" si="24"/>
        <v>0.7142857142857143</v>
      </c>
      <c r="L123">
        <f t="shared" si="25"/>
        <v>0.41176470588235292</v>
      </c>
    </row>
    <row r="124" spans="1:13" x14ac:dyDescent="0.25">
      <c r="A124">
        <v>230120</v>
      </c>
      <c r="B124" t="s">
        <v>19</v>
      </c>
      <c r="C124">
        <v>3</v>
      </c>
      <c r="D124">
        <v>2</v>
      </c>
      <c r="E124">
        <f>346-66</f>
        <v>280</v>
      </c>
      <c r="F124">
        <v>14</v>
      </c>
      <c r="G124">
        <v>6</v>
      </c>
      <c r="H124">
        <v>10</v>
      </c>
      <c r="I124">
        <v>7</v>
      </c>
      <c r="K124">
        <f t="shared" si="24"/>
        <v>0.8571428571428571</v>
      </c>
      <c r="L124">
        <f t="shared" si="25"/>
        <v>0.5</v>
      </c>
    </row>
    <row r="125" spans="1:13" x14ac:dyDescent="0.25">
      <c r="A125">
        <v>230120</v>
      </c>
      <c r="B125" t="s">
        <v>19</v>
      </c>
      <c r="C125">
        <v>4</v>
      </c>
      <c r="D125">
        <v>1</v>
      </c>
      <c r="E125">
        <f>156-153</f>
        <v>3</v>
      </c>
      <c r="F125">
        <v>18</v>
      </c>
      <c r="G125">
        <v>7</v>
      </c>
      <c r="H125">
        <v>13</v>
      </c>
      <c r="I125">
        <v>9</v>
      </c>
      <c r="K125">
        <f t="shared" si="24"/>
        <v>0.77777777777777779</v>
      </c>
      <c r="L125">
        <f t="shared" si="25"/>
        <v>0.5</v>
      </c>
    </row>
    <row r="126" spans="1:13" x14ac:dyDescent="0.25">
      <c r="A126">
        <v>230120</v>
      </c>
      <c r="B126" t="s">
        <v>19</v>
      </c>
      <c r="C126">
        <v>4</v>
      </c>
      <c r="D126">
        <v>2</v>
      </c>
      <c r="E126">
        <f>246-153</f>
        <v>93</v>
      </c>
      <c r="F126">
        <v>11</v>
      </c>
      <c r="G126">
        <v>4</v>
      </c>
      <c r="H126">
        <v>5</v>
      </c>
      <c r="I126">
        <v>4</v>
      </c>
      <c r="K126">
        <f t="shared" si="24"/>
        <v>1</v>
      </c>
      <c r="L126">
        <f t="shared" si="25"/>
        <v>0.36363636363636365</v>
      </c>
    </row>
    <row r="127" spans="1:13" x14ac:dyDescent="0.25">
      <c r="A127">
        <v>230120</v>
      </c>
      <c r="B127" t="s">
        <v>19</v>
      </c>
      <c r="C127">
        <v>4</v>
      </c>
      <c r="D127">
        <v>3</v>
      </c>
      <c r="E127">
        <f>340-153</f>
        <v>187</v>
      </c>
      <c r="F127">
        <v>11</v>
      </c>
      <c r="G127">
        <v>3</v>
      </c>
      <c r="H127">
        <v>5</v>
      </c>
      <c r="I127">
        <v>4</v>
      </c>
      <c r="K127">
        <f t="shared" si="24"/>
        <v>0.75</v>
      </c>
      <c r="L127">
        <f t="shared" si="25"/>
        <v>0.36363636363636365</v>
      </c>
    </row>
    <row r="128" spans="1:13" x14ac:dyDescent="0.25">
      <c r="A128">
        <v>230120</v>
      </c>
      <c r="B128" t="s">
        <v>19</v>
      </c>
      <c r="C128">
        <v>4</v>
      </c>
      <c r="D128">
        <v>4</v>
      </c>
      <c r="E128">
        <f>374-153</f>
        <v>221</v>
      </c>
      <c r="F128">
        <v>14</v>
      </c>
      <c r="G128">
        <v>6</v>
      </c>
      <c r="H128">
        <v>7</v>
      </c>
      <c r="I128">
        <v>9</v>
      </c>
      <c r="K128">
        <f t="shared" si="24"/>
        <v>0.66666666666666663</v>
      </c>
      <c r="L128">
        <f t="shared" si="25"/>
        <v>0.6428571428571429</v>
      </c>
    </row>
    <row r="129" spans="1:12" x14ac:dyDescent="0.25">
      <c r="A129">
        <v>230120</v>
      </c>
      <c r="B129" t="s">
        <v>19</v>
      </c>
      <c r="C129">
        <v>4</v>
      </c>
      <c r="D129">
        <v>5</v>
      </c>
      <c r="E129">
        <f>380-153</f>
        <v>227</v>
      </c>
      <c r="F129">
        <v>16</v>
      </c>
      <c r="G129">
        <v>5</v>
      </c>
      <c r="H129">
        <v>7</v>
      </c>
      <c r="I129">
        <v>4</v>
      </c>
      <c r="K129">
        <f t="shared" si="24"/>
        <v>1.25</v>
      </c>
      <c r="L129">
        <f t="shared" si="25"/>
        <v>0.25</v>
      </c>
    </row>
    <row r="130" spans="1:12" x14ac:dyDescent="0.25">
      <c r="A130">
        <v>230120</v>
      </c>
      <c r="B130" t="s">
        <v>19</v>
      </c>
      <c r="C130">
        <v>4</v>
      </c>
      <c r="D130">
        <v>6</v>
      </c>
      <c r="E130">
        <f>448-153</f>
        <v>295</v>
      </c>
      <c r="F130">
        <v>14</v>
      </c>
      <c r="G130">
        <v>3</v>
      </c>
      <c r="H130">
        <v>4</v>
      </c>
      <c r="I130">
        <v>3</v>
      </c>
      <c r="K130">
        <f t="shared" si="24"/>
        <v>1</v>
      </c>
      <c r="L130">
        <f t="shared" si="25"/>
        <v>0.21428571428571427</v>
      </c>
    </row>
    <row r="131" spans="1:12" x14ac:dyDescent="0.25">
      <c r="A131">
        <v>230120</v>
      </c>
      <c r="B131" t="s">
        <v>19</v>
      </c>
      <c r="C131">
        <v>5</v>
      </c>
      <c r="D131">
        <v>1</v>
      </c>
      <c r="E131">
        <f>165-143</f>
        <v>22</v>
      </c>
      <c r="F131">
        <v>14</v>
      </c>
      <c r="G131">
        <v>4</v>
      </c>
      <c r="H131">
        <v>9</v>
      </c>
      <c r="I131">
        <v>5</v>
      </c>
      <c r="K131">
        <f t="shared" si="24"/>
        <v>0.8</v>
      </c>
      <c r="L131">
        <f t="shared" si="25"/>
        <v>0.35714285714285715</v>
      </c>
    </row>
    <row r="132" spans="1:12" x14ac:dyDescent="0.25">
      <c r="A132">
        <v>230120</v>
      </c>
      <c r="B132" t="s">
        <v>19</v>
      </c>
      <c r="C132">
        <v>5</v>
      </c>
      <c r="D132">
        <v>2</v>
      </c>
      <c r="E132">
        <f>186-143</f>
        <v>43</v>
      </c>
      <c r="F132">
        <v>16</v>
      </c>
      <c r="G132">
        <v>4</v>
      </c>
      <c r="H132">
        <v>8</v>
      </c>
      <c r="I132">
        <v>5</v>
      </c>
      <c r="K132">
        <f t="shared" si="24"/>
        <v>0.8</v>
      </c>
      <c r="L132">
        <f t="shared" si="25"/>
        <v>0.3125</v>
      </c>
    </row>
    <row r="133" spans="1:12" x14ac:dyDescent="0.25">
      <c r="A133">
        <v>230120</v>
      </c>
      <c r="B133" t="s">
        <v>19</v>
      </c>
      <c r="C133">
        <v>5</v>
      </c>
      <c r="D133">
        <v>3</v>
      </c>
      <c r="E133">
        <f>321-143</f>
        <v>178</v>
      </c>
      <c r="F133">
        <v>15</v>
      </c>
      <c r="G133">
        <v>6</v>
      </c>
      <c r="H133">
        <v>7</v>
      </c>
      <c r="I133">
        <v>6</v>
      </c>
      <c r="K133">
        <f t="shared" si="24"/>
        <v>1</v>
      </c>
      <c r="L133">
        <f t="shared" si="25"/>
        <v>0.4</v>
      </c>
    </row>
    <row r="134" spans="1:12" x14ac:dyDescent="0.25">
      <c r="A134">
        <v>230120</v>
      </c>
      <c r="B134" t="s">
        <v>19</v>
      </c>
      <c r="C134">
        <v>5</v>
      </c>
      <c r="D134">
        <v>4</v>
      </c>
      <c r="E134">
        <f>367-143</f>
        <v>224</v>
      </c>
      <c r="F134">
        <v>15</v>
      </c>
      <c r="G134">
        <v>4</v>
      </c>
      <c r="H134">
        <v>9</v>
      </c>
      <c r="I134">
        <v>5</v>
      </c>
      <c r="K134">
        <f t="shared" si="24"/>
        <v>0.8</v>
      </c>
      <c r="L134">
        <f t="shared" si="25"/>
        <v>0.33333333333333331</v>
      </c>
    </row>
    <row r="135" spans="1:12" x14ac:dyDescent="0.25">
      <c r="A135">
        <v>230120</v>
      </c>
      <c r="B135" t="s">
        <v>19</v>
      </c>
      <c r="C135">
        <v>6</v>
      </c>
      <c r="D135">
        <v>1</v>
      </c>
      <c r="E135">
        <f>117-29</f>
        <v>88</v>
      </c>
      <c r="F135">
        <v>10</v>
      </c>
      <c r="G135">
        <v>4</v>
      </c>
      <c r="H135">
        <v>9</v>
      </c>
      <c r="I135">
        <v>6</v>
      </c>
      <c r="K135">
        <f t="shared" si="24"/>
        <v>0.66666666666666663</v>
      </c>
      <c r="L135">
        <f t="shared" si="25"/>
        <v>0.6</v>
      </c>
    </row>
    <row r="136" spans="1:12" x14ac:dyDescent="0.25">
      <c r="A136">
        <v>230120</v>
      </c>
      <c r="B136" t="s">
        <v>19</v>
      </c>
      <c r="C136">
        <v>6</v>
      </c>
      <c r="D136">
        <v>2</v>
      </c>
      <c r="E136">
        <f>400-29</f>
        <v>371</v>
      </c>
      <c r="F136">
        <v>17</v>
      </c>
      <c r="G136">
        <v>5</v>
      </c>
      <c r="H136">
        <v>9</v>
      </c>
      <c r="I136">
        <v>6</v>
      </c>
      <c r="K136">
        <f t="shared" si="24"/>
        <v>0.83333333333333337</v>
      </c>
      <c r="L136">
        <f t="shared" si="25"/>
        <v>0.35294117647058826</v>
      </c>
    </row>
    <row r="137" spans="1:12" x14ac:dyDescent="0.25">
      <c r="A137">
        <v>230120</v>
      </c>
      <c r="B137" t="s">
        <v>19</v>
      </c>
      <c r="C137">
        <v>6</v>
      </c>
      <c r="D137">
        <v>3</v>
      </c>
      <c r="E137">
        <f>401-29</f>
        <v>372</v>
      </c>
      <c r="F137">
        <v>17</v>
      </c>
      <c r="G137">
        <v>7</v>
      </c>
      <c r="H137">
        <v>8</v>
      </c>
      <c r="I137">
        <v>6</v>
      </c>
      <c r="K137">
        <f t="shared" si="24"/>
        <v>1.1666666666666667</v>
      </c>
      <c r="L137">
        <f t="shared" si="25"/>
        <v>0.35294117647058826</v>
      </c>
    </row>
    <row r="138" spans="1:12" x14ac:dyDescent="0.25">
      <c r="A138">
        <v>230120</v>
      </c>
      <c r="B138" t="s">
        <v>19</v>
      </c>
      <c r="C138">
        <v>7</v>
      </c>
      <c r="D138">
        <v>1</v>
      </c>
      <c r="E138">
        <f>470-39</f>
        <v>431</v>
      </c>
      <c r="F138">
        <v>20</v>
      </c>
      <c r="G138">
        <v>10</v>
      </c>
      <c r="H138">
        <v>11</v>
      </c>
      <c r="I138">
        <v>8</v>
      </c>
      <c r="K138">
        <f t="shared" si="24"/>
        <v>1.25</v>
      </c>
      <c r="L138">
        <f t="shared" si="25"/>
        <v>0.4</v>
      </c>
    </row>
    <row r="139" spans="1:12" x14ac:dyDescent="0.25">
      <c r="A139">
        <v>230120</v>
      </c>
      <c r="B139" t="s">
        <v>19</v>
      </c>
      <c r="C139">
        <v>8</v>
      </c>
      <c r="D139">
        <v>1</v>
      </c>
      <c r="E139">
        <f>382-37</f>
        <v>345</v>
      </c>
      <c r="F139">
        <v>12</v>
      </c>
      <c r="G139">
        <v>6</v>
      </c>
      <c r="H139">
        <v>7</v>
      </c>
      <c r="I139">
        <v>6</v>
      </c>
      <c r="K139">
        <f t="shared" si="24"/>
        <v>1</v>
      </c>
      <c r="L139">
        <f t="shared" si="25"/>
        <v>0.5</v>
      </c>
    </row>
    <row r="140" spans="1:12" x14ac:dyDescent="0.25">
      <c r="A140">
        <v>230120</v>
      </c>
      <c r="B140" t="s">
        <v>19</v>
      </c>
      <c r="C140">
        <v>8</v>
      </c>
      <c r="D140">
        <v>2</v>
      </c>
      <c r="E140">
        <f>410-37</f>
        <v>373</v>
      </c>
      <c r="J140" t="s">
        <v>0</v>
      </c>
    </row>
    <row r="141" spans="1:12" x14ac:dyDescent="0.25">
      <c r="A141">
        <v>230120</v>
      </c>
      <c r="B141" t="s">
        <v>19</v>
      </c>
      <c r="C141">
        <v>8</v>
      </c>
      <c r="D141">
        <v>3</v>
      </c>
      <c r="E141">
        <f>454-37</f>
        <v>417</v>
      </c>
      <c r="J141" t="s">
        <v>0</v>
      </c>
    </row>
    <row r="142" spans="1:12" x14ac:dyDescent="0.25">
      <c r="A142">
        <v>230120</v>
      </c>
      <c r="B142" t="s">
        <v>19</v>
      </c>
      <c r="C142">
        <v>9</v>
      </c>
      <c r="D142">
        <v>1</v>
      </c>
      <c r="E142">
        <f>72-30</f>
        <v>42</v>
      </c>
      <c r="F142">
        <v>10</v>
      </c>
      <c r="G142">
        <v>2</v>
      </c>
      <c r="H142">
        <v>6</v>
      </c>
      <c r="I142">
        <v>3</v>
      </c>
      <c r="K142">
        <f t="shared" ref="K142:K160" si="26">G142/I142</f>
        <v>0.66666666666666663</v>
      </c>
      <c r="L142">
        <f t="shared" ref="L142:L160" si="27">I142/F142</f>
        <v>0.3</v>
      </c>
    </row>
    <row r="143" spans="1:12" x14ac:dyDescent="0.25">
      <c r="A143">
        <v>230120</v>
      </c>
      <c r="B143" t="s">
        <v>19</v>
      </c>
      <c r="C143">
        <v>9</v>
      </c>
      <c r="D143">
        <v>2</v>
      </c>
      <c r="E143">
        <f>103-30</f>
        <v>73</v>
      </c>
      <c r="F143">
        <v>11</v>
      </c>
      <c r="G143">
        <v>4</v>
      </c>
      <c r="H143">
        <v>9</v>
      </c>
      <c r="I143">
        <v>6</v>
      </c>
      <c r="K143">
        <f t="shared" si="26"/>
        <v>0.66666666666666663</v>
      </c>
      <c r="L143">
        <f t="shared" si="27"/>
        <v>0.54545454545454541</v>
      </c>
    </row>
    <row r="144" spans="1:12" x14ac:dyDescent="0.25">
      <c r="A144">
        <v>230120</v>
      </c>
      <c r="B144" t="s">
        <v>19</v>
      </c>
      <c r="C144">
        <v>9</v>
      </c>
      <c r="D144">
        <v>3</v>
      </c>
      <c r="E144">
        <f>198-30</f>
        <v>168</v>
      </c>
      <c r="F144">
        <v>8</v>
      </c>
      <c r="G144">
        <v>2</v>
      </c>
      <c r="H144">
        <v>4</v>
      </c>
      <c r="I144">
        <v>4</v>
      </c>
      <c r="K144">
        <f t="shared" si="26"/>
        <v>0.5</v>
      </c>
      <c r="L144">
        <f t="shared" si="27"/>
        <v>0.5</v>
      </c>
    </row>
    <row r="145" spans="1:12" x14ac:dyDescent="0.25">
      <c r="A145">
        <v>230120</v>
      </c>
      <c r="B145" t="s">
        <v>19</v>
      </c>
      <c r="C145">
        <v>9</v>
      </c>
      <c r="D145">
        <v>4</v>
      </c>
      <c r="E145">
        <f>210-30</f>
        <v>180</v>
      </c>
      <c r="F145">
        <v>13</v>
      </c>
      <c r="G145">
        <v>3</v>
      </c>
      <c r="H145">
        <v>5</v>
      </c>
      <c r="I145">
        <v>4</v>
      </c>
      <c r="K145">
        <f t="shared" si="26"/>
        <v>0.75</v>
      </c>
      <c r="L145">
        <f t="shared" si="27"/>
        <v>0.30769230769230771</v>
      </c>
    </row>
    <row r="146" spans="1:12" x14ac:dyDescent="0.25">
      <c r="A146">
        <v>230120</v>
      </c>
      <c r="B146" t="s">
        <v>19</v>
      </c>
      <c r="C146">
        <v>9</v>
      </c>
      <c r="D146">
        <v>5</v>
      </c>
      <c r="E146">
        <f>308-30</f>
        <v>278</v>
      </c>
      <c r="F146">
        <v>10</v>
      </c>
      <c r="G146">
        <v>4</v>
      </c>
      <c r="H146">
        <v>4</v>
      </c>
      <c r="I146">
        <v>4</v>
      </c>
      <c r="K146">
        <f t="shared" si="26"/>
        <v>1</v>
      </c>
      <c r="L146">
        <f t="shared" si="27"/>
        <v>0.4</v>
      </c>
    </row>
    <row r="147" spans="1:12" x14ac:dyDescent="0.25">
      <c r="A147">
        <v>230120</v>
      </c>
      <c r="B147" t="s">
        <v>19</v>
      </c>
      <c r="C147">
        <v>9</v>
      </c>
      <c r="D147">
        <v>6</v>
      </c>
      <c r="E147">
        <f>336-30</f>
        <v>306</v>
      </c>
      <c r="F147">
        <v>10</v>
      </c>
      <c r="G147">
        <v>8</v>
      </c>
      <c r="H147">
        <v>8</v>
      </c>
      <c r="I147">
        <v>9</v>
      </c>
      <c r="K147">
        <f t="shared" si="26"/>
        <v>0.88888888888888884</v>
      </c>
      <c r="L147">
        <f t="shared" si="27"/>
        <v>0.9</v>
      </c>
    </row>
    <row r="148" spans="1:12" x14ac:dyDescent="0.25">
      <c r="A148">
        <v>230120</v>
      </c>
      <c r="B148" t="s">
        <v>19</v>
      </c>
      <c r="C148">
        <v>10</v>
      </c>
      <c r="D148">
        <v>1</v>
      </c>
      <c r="E148">
        <f>497-50</f>
        <v>447</v>
      </c>
      <c r="F148">
        <v>10</v>
      </c>
      <c r="G148">
        <v>7</v>
      </c>
      <c r="H148">
        <v>6</v>
      </c>
      <c r="I148">
        <v>6</v>
      </c>
      <c r="K148">
        <f t="shared" si="26"/>
        <v>1.1666666666666667</v>
      </c>
      <c r="L148">
        <f t="shared" si="27"/>
        <v>0.6</v>
      </c>
    </row>
    <row r="149" spans="1:12" x14ac:dyDescent="0.25">
      <c r="A149">
        <v>230120</v>
      </c>
      <c r="B149" t="s">
        <v>19</v>
      </c>
      <c r="C149">
        <v>11</v>
      </c>
      <c r="D149">
        <v>1</v>
      </c>
      <c r="E149">
        <f>113-55</f>
        <v>58</v>
      </c>
      <c r="F149">
        <v>10</v>
      </c>
      <c r="G149">
        <v>4</v>
      </c>
      <c r="H149">
        <v>7</v>
      </c>
      <c r="I149">
        <v>4</v>
      </c>
      <c r="K149">
        <f t="shared" si="26"/>
        <v>1</v>
      </c>
      <c r="L149">
        <f t="shared" si="27"/>
        <v>0.4</v>
      </c>
    </row>
    <row r="150" spans="1:12" x14ac:dyDescent="0.25">
      <c r="A150">
        <v>230120</v>
      </c>
      <c r="B150" t="s">
        <v>19</v>
      </c>
      <c r="C150">
        <v>11</v>
      </c>
      <c r="D150">
        <v>2</v>
      </c>
      <c r="E150">
        <f>136-55</f>
        <v>81</v>
      </c>
      <c r="F150">
        <v>10</v>
      </c>
      <c r="G150">
        <v>3</v>
      </c>
      <c r="H150">
        <v>7</v>
      </c>
      <c r="I150">
        <v>5</v>
      </c>
      <c r="K150">
        <f t="shared" si="26"/>
        <v>0.6</v>
      </c>
      <c r="L150">
        <f t="shared" si="27"/>
        <v>0.5</v>
      </c>
    </row>
    <row r="151" spans="1:12" x14ac:dyDescent="0.25">
      <c r="A151">
        <v>230120</v>
      </c>
      <c r="B151" t="s">
        <v>19</v>
      </c>
      <c r="C151">
        <v>11</v>
      </c>
      <c r="D151">
        <v>3</v>
      </c>
      <c r="E151">
        <f>154-55</f>
        <v>99</v>
      </c>
      <c r="F151">
        <v>7</v>
      </c>
      <c r="G151">
        <v>2</v>
      </c>
      <c r="H151">
        <v>5</v>
      </c>
      <c r="I151">
        <v>3</v>
      </c>
      <c r="K151">
        <f t="shared" si="26"/>
        <v>0.66666666666666663</v>
      </c>
      <c r="L151">
        <f t="shared" si="27"/>
        <v>0.42857142857142855</v>
      </c>
    </row>
    <row r="152" spans="1:12" x14ac:dyDescent="0.25">
      <c r="A152">
        <v>230120</v>
      </c>
      <c r="B152" t="s">
        <v>19</v>
      </c>
      <c r="C152">
        <v>11</v>
      </c>
      <c r="D152">
        <v>4</v>
      </c>
      <c r="E152">
        <f>325-55</f>
        <v>270</v>
      </c>
      <c r="F152">
        <v>13</v>
      </c>
      <c r="G152">
        <v>4</v>
      </c>
      <c r="H152">
        <v>4</v>
      </c>
      <c r="I152">
        <v>4</v>
      </c>
      <c r="K152">
        <f t="shared" si="26"/>
        <v>1</v>
      </c>
      <c r="L152">
        <f t="shared" si="27"/>
        <v>0.30769230769230771</v>
      </c>
    </row>
    <row r="153" spans="1:12" x14ac:dyDescent="0.25">
      <c r="A153">
        <v>230120</v>
      </c>
      <c r="B153" t="s">
        <v>19</v>
      </c>
      <c r="C153">
        <v>11</v>
      </c>
      <c r="D153">
        <v>5</v>
      </c>
      <c r="E153">
        <f>327-55</f>
        <v>272</v>
      </c>
      <c r="F153">
        <v>10</v>
      </c>
      <c r="G153">
        <v>4</v>
      </c>
      <c r="H153">
        <v>4</v>
      </c>
      <c r="I153">
        <v>5</v>
      </c>
      <c r="K153">
        <f t="shared" si="26"/>
        <v>0.8</v>
      </c>
      <c r="L153">
        <f t="shared" si="27"/>
        <v>0.5</v>
      </c>
    </row>
    <row r="154" spans="1:12" x14ac:dyDescent="0.25">
      <c r="A154">
        <v>230120</v>
      </c>
      <c r="B154" t="s">
        <v>19</v>
      </c>
      <c r="C154">
        <v>11</v>
      </c>
      <c r="D154">
        <v>6</v>
      </c>
      <c r="E154">
        <f>352-55</f>
        <v>297</v>
      </c>
      <c r="F154">
        <v>9</v>
      </c>
      <c r="G154">
        <v>3</v>
      </c>
      <c r="H154">
        <v>4</v>
      </c>
      <c r="I154">
        <v>3</v>
      </c>
      <c r="K154">
        <f t="shared" si="26"/>
        <v>1</v>
      </c>
      <c r="L154">
        <f t="shared" si="27"/>
        <v>0.33333333333333331</v>
      </c>
    </row>
    <row r="155" spans="1:12" x14ac:dyDescent="0.25">
      <c r="A155">
        <v>230120</v>
      </c>
      <c r="B155" t="s">
        <v>19</v>
      </c>
      <c r="C155">
        <v>11</v>
      </c>
      <c r="D155">
        <v>7</v>
      </c>
      <c r="E155">
        <f>392-55</f>
        <v>337</v>
      </c>
      <c r="F155">
        <v>9</v>
      </c>
      <c r="G155">
        <v>5</v>
      </c>
      <c r="H155">
        <v>5</v>
      </c>
      <c r="I155">
        <v>5</v>
      </c>
      <c r="K155">
        <f t="shared" si="26"/>
        <v>1</v>
      </c>
      <c r="L155">
        <f t="shared" si="27"/>
        <v>0.55555555555555558</v>
      </c>
    </row>
    <row r="156" spans="1:12" x14ac:dyDescent="0.25">
      <c r="A156">
        <v>230120</v>
      </c>
      <c r="B156" t="s">
        <v>19</v>
      </c>
      <c r="C156">
        <v>11</v>
      </c>
      <c r="D156">
        <v>8</v>
      </c>
      <c r="E156">
        <f>419-55</f>
        <v>364</v>
      </c>
      <c r="F156">
        <v>8</v>
      </c>
      <c r="G156">
        <v>5</v>
      </c>
      <c r="H156">
        <v>5</v>
      </c>
      <c r="I156">
        <v>4</v>
      </c>
      <c r="K156">
        <f t="shared" si="26"/>
        <v>1.25</v>
      </c>
      <c r="L156">
        <f t="shared" si="27"/>
        <v>0.5</v>
      </c>
    </row>
    <row r="157" spans="1:12" x14ac:dyDescent="0.25">
      <c r="A157">
        <v>230120</v>
      </c>
      <c r="B157" t="s">
        <v>19</v>
      </c>
      <c r="C157">
        <v>11</v>
      </c>
      <c r="D157">
        <v>9</v>
      </c>
      <c r="E157">
        <f>442-55</f>
        <v>387</v>
      </c>
      <c r="F157">
        <v>8</v>
      </c>
      <c r="G157">
        <v>5</v>
      </c>
      <c r="H157">
        <v>5</v>
      </c>
      <c r="I157">
        <v>4</v>
      </c>
      <c r="K157">
        <f t="shared" si="26"/>
        <v>1.25</v>
      </c>
      <c r="L157">
        <f t="shared" si="27"/>
        <v>0.5</v>
      </c>
    </row>
    <row r="158" spans="1:12" x14ac:dyDescent="0.25">
      <c r="A158">
        <v>230120</v>
      </c>
      <c r="B158" t="s">
        <v>19</v>
      </c>
      <c r="C158">
        <v>11</v>
      </c>
      <c r="D158">
        <v>10</v>
      </c>
      <c r="E158">
        <f>450-55</f>
        <v>395</v>
      </c>
      <c r="F158">
        <v>9</v>
      </c>
      <c r="G158">
        <v>5</v>
      </c>
      <c r="H158">
        <v>4</v>
      </c>
      <c r="I158">
        <v>4</v>
      </c>
      <c r="K158">
        <f t="shared" si="26"/>
        <v>1.25</v>
      </c>
      <c r="L158">
        <f t="shared" si="27"/>
        <v>0.44444444444444442</v>
      </c>
    </row>
    <row r="159" spans="1:12" x14ac:dyDescent="0.25">
      <c r="A159">
        <v>230120</v>
      </c>
      <c r="B159" t="s">
        <v>19</v>
      </c>
      <c r="C159">
        <v>11</v>
      </c>
      <c r="D159">
        <v>11</v>
      </c>
      <c r="E159">
        <f>487-55</f>
        <v>432</v>
      </c>
      <c r="F159">
        <v>7</v>
      </c>
      <c r="G159">
        <v>3</v>
      </c>
      <c r="H159">
        <v>3</v>
      </c>
      <c r="I159">
        <v>3</v>
      </c>
      <c r="K159">
        <f t="shared" si="26"/>
        <v>1</v>
      </c>
      <c r="L159">
        <f t="shared" si="27"/>
        <v>0.42857142857142855</v>
      </c>
    </row>
    <row r="160" spans="1:12" x14ac:dyDescent="0.25">
      <c r="A160">
        <v>230120</v>
      </c>
      <c r="B160" t="s">
        <v>19</v>
      </c>
      <c r="C160">
        <v>12</v>
      </c>
      <c r="D160">
        <v>1</v>
      </c>
      <c r="E160">
        <f>14-14</f>
        <v>0</v>
      </c>
      <c r="F160">
        <v>13</v>
      </c>
      <c r="G160">
        <v>8</v>
      </c>
      <c r="H160">
        <v>8</v>
      </c>
      <c r="I160">
        <v>4</v>
      </c>
      <c r="K160">
        <f t="shared" si="26"/>
        <v>2</v>
      </c>
      <c r="L160">
        <f t="shared" si="27"/>
        <v>0.30769230769230771</v>
      </c>
    </row>
    <row r="161" spans="1:12" x14ac:dyDescent="0.25">
      <c r="A161">
        <v>230120</v>
      </c>
      <c r="B161" t="s">
        <v>19</v>
      </c>
      <c r="C161">
        <v>12</v>
      </c>
      <c r="D161">
        <v>2</v>
      </c>
      <c r="E161">
        <f>118-14</f>
        <v>104</v>
      </c>
      <c r="F161">
        <v>11</v>
      </c>
      <c r="J161" t="s">
        <v>0</v>
      </c>
    </row>
    <row r="162" spans="1:12" x14ac:dyDescent="0.25">
      <c r="A162">
        <v>230120</v>
      </c>
      <c r="B162" t="s">
        <v>19</v>
      </c>
      <c r="C162">
        <v>12</v>
      </c>
      <c r="D162">
        <v>3</v>
      </c>
      <c r="E162">
        <f>262-14</f>
        <v>248</v>
      </c>
      <c r="F162">
        <v>9</v>
      </c>
      <c r="G162">
        <v>6</v>
      </c>
      <c r="H162">
        <v>7</v>
      </c>
      <c r="I162">
        <v>5</v>
      </c>
      <c r="K162">
        <f t="shared" ref="K162:K169" si="28">G162/I162</f>
        <v>1.2</v>
      </c>
      <c r="L162">
        <f t="shared" ref="L162:L169" si="29">I162/F162</f>
        <v>0.55555555555555558</v>
      </c>
    </row>
    <row r="163" spans="1:12" x14ac:dyDescent="0.25">
      <c r="A163">
        <v>230120</v>
      </c>
      <c r="B163" t="s">
        <v>19</v>
      </c>
      <c r="C163">
        <v>12</v>
      </c>
      <c r="D163">
        <v>4</v>
      </c>
      <c r="E163">
        <f>350-14</f>
        <v>336</v>
      </c>
      <c r="F163">
        <v>9</v>
      </c>
      <c r="G163">
        <v>4</v>
      </c>
      <c r="H163">
        <v>5</v>
      </c>
      <c r="I163">
        <v>4</v>
      </c>
      <c r="K163">
        <f t="shared" si="28"/>
        <v>1</v>
      </c>
      <c r="L163">
        <f t="shared" si="29"/>
        <v>0.44444444444444442</v>
      </c>
    </row>
    <row r="164" spans="1:12" x14ac:dyDescent="0.25">
      <c r="A164">
        <v>230120</v>
      </c>
      <c r="B164" t="s">
        <v>19</v>
      </c>
      <c r="C164">
        <v>12</v>
      </c>
      <c r="D164">
        <v>5</v>
      </c>
      <c r="E164">
        <f>350-14</f>
        <v>336</v>
      </c>
      <c r="F164">
        <v>7</v>
      </c>
      <c r="G164">
        <v>4</v>
      </c>
      <c r="H164">
        <v>5</v>
      </c>
      <c r="I164">
        <v>5</v>
      </c>
      <c r="K164">
        <f t="shared" si="28"/>
        <v>0.8</v>
      </c>
      <c r="L164">
        <f t="shared" si="29"/>
        <v>0.7142857142857143</v>
      </c>
    </row>
    <row r="165" spans="1:12" x14ac:dyDescent="0.25">
      <c r="A165">
        <v>230120</v>
      </c>
      <c r="B165" t="s">
        <v>19</v>
      </c>
      <c r="C165">
        <v>12</v>
      </c>
      <c r="D165">
        <v>6</v>
      </c>
      <c r="E165">
        <f>402-14</f>
        <v>388</v>
      </c>
      <c r="F165">
        <v>9</v>
      </c>
      <c r="G165">
        <v>5</v>
      </c>
      <c r="H165">
        <v>4</v>
      </c>
      <c r="I165">
        <v>4</v>
      </c>
      <c r="K165">
        <f t="shared" si="28"/>
        <v>1.25</v>
      </c>
      <c r="L165">
        <f t="shared" si="29"/>
        <v>0.44444444444444442</v>
      </c>
    </row>
    <row r="166" spans="1:12" x14ac:dyDescent="0.25">
      <c r="A166">
        <v>230120</v>
      </c>
      <c r="B166" t="s">
        <v>19</v>
      </c>
      <c r="C166">
        <v>12</v>
      </c>
      <c r="D166">
        <v>7</v>
      </c>
      <c r="E166">
        <f>419-14</f>
        <v>405</v>
      </c>
      <c r="F166">
        <v>10</v>
      </c>
      <c r="G166">
        <v>3</v>
      </c>
      <c r="H166">
        <v>4</v>
      </c>
      <c r="I166">
        <v>3</v>
      </c>
      <c r="K166">
        <f t="shared" si="28"/>
        <v>1</v>
      </c>
      <c r="L166">
        <f t="shared" si="29"/>
        <v>0.3</v>
      </c>
    </row>
    <row r="167" spans="1:12" x14ac:dyDescent="0.25">
      <c r="A167">
        <v>230120</v>
      </c>
      <c r="B167" t="s">
        <v>19</v>
      </c>
      <c r="C167">
        <v>12</v>
      </c>
      <c r="D167">
        <v>8</v>
      </c>
      <c r="E167">
        <f>477-14</f>
        <v>463</v>
      </c>
      <c r="F167">
        <v>8</v>
      </c>
      <c r="G167">
        <v>5</v>
      </c>
      <c r="H167">
        <v>4</v>
      </c>
      <c r="I167">
        <v>4</v>
      </c>
      <c r="K167">
        <f t="shared" si="28"/>
        <v>1.25</v>
      </c>
      <c r="L167">
        <f t="shared" si="29"/>
        <v>0.5</v>
      </c>
    </row>
    <row r="168" spans="1:12" x14ac:dyDescent="0.25">
      <c r="A168">
        <v>230120</v>
      </c>
      <c r="B168" t="s">
        <v>19</v>
      </c>
      <c r="C168">
        <v>13</v>
      </c>
      <c r="D168">
        <v>1</v>
      </c>
      <c r="E168">
        <f>338-22</f>
        <v>316</v>
      </c>
      <c r="F168">
        <v>14</v>
      </c>
      <c r="G168">
        <v>5</v>
      </c>
      <c r="H168">
        <v>7</v>
      </c>
      <c r="I168">
        <v>6</v>
      </c>
      <c r="K168">
        <f t="shared" si="28"/>
        <v>0.83333333333333337</v>
      </c>
      <c r="L168">
        <f t="shared" si="29"/>
        <v>0.42857142857142855</v>
      </c>
    </row>
    <row r="169" spans="1:12" x14ac:dyDescent="0.25">
      <c r="A169">
        <v>230120</v>
      </c>
      <c r="B169" t="s">
        <v>19</v>
      </c>
      <c r="C169">
        <v>13</v>
      </c>
      <c r="D169">
        <v>2</v>
      </c>
      <c r="E169">
        <f>341-22</f>
        <v>319</v>
      </c>
      <c r="F169">
        <v>13</v>
      </c>
      <c r="G169">
        <v>5</v>
      </c>
      <c r="H169">
        <v>8</v>
      </c>
      <c r="I169">
        <v>6</v>
      </c>
      <c r="K169">
        <f t="shared" si="28"/>
        <v>0.83333333333333337</v>
      </c>
      <c r="L169">
        <f t="shared" si="29"/>
        <v>0.46153846153846156</v>
      </c>
    </row>
    <row r="170" spans="1:12" x14ac:dyDescent="0.25">
      <c r="A170">
        <v>230120</v>
      </c>
      <c r="B170" t="s">
        <v>19</v>
      </c>
      <c r="C170">
        <v>13</v>
      </c>
      <c r="D170">
        <v>3</v>
      </c>
      <c r="E170">
        <f>426-22</f>
        <v>404</v>
      </c>
      <c r="F170">
        <v>12</v>
      </c>
      <c r="J170" t="s">
        <v>0</v>
      </c>
    </row>
    <row r="171" spans="1:12" x14ac:dyDescent="0.25">
      <c r="A171">
        <v>230120</v>
      </c>
      <c r="B171" t="s">
        <v>19</v>
      </c>
      <c r="C171">
        <v>13</v>
      </c>
      <c r="D171">
        <v>4</v>
      </c>
      <c r="E171">
        <f>461-22</f>
        <v>439</v>
      </c>
      <c r="F171">
        <v>12</v>
      </c>
      <c r="G171">
        <v>4</v>
      </c>
      <c r="H171">
        <v>6</v>
      </c>
      <c r="I171">
        <v>4</v>
      </c>
      <c r="K171">
        <f t="shared" ref="K171:K178" si="30">G171/I171</f>
        <v>1</v>
      </c>
      <c r="L171">
        <f t="shared" ref="L171:L178" si="31">I171/F171</f>
        <v>0.33333333333333331</v>
      </c>
    </row>
    <row r="172" spans="1:12" x14ac:dyDescent="0.25">
      <c r="A172">
        <v>230120</v>
      </c>
      <c r="B172" t="s">
        <v>19</v>
      </c>
      <c r="C172">
        <v>13</v>
      </c>
      <c r="D172">
        <v>5</v>
      </c>
      <c r="E172">
        <f>512-22</f>
        <v>490</v>
      </c>
      <c r="F172">
        <v>11</v>
      </c>
      <c r="G172">
        <v>3</v>
      </c>
      <c r="H172">
        <v>5</v>
      </c>
      <c r="I172">
        <v>4</v>
      </c>
      <c r="K172">
        <f t="shared" si="30"/>
        <v>0.75</v>
      </c>
      <c r="L172">
        <f t="shared" si="31"/>
        <v>0.36363636363636365</v>
      </c>
    </row>
    <row r="173" spans="1:12" x14ac:dyDescent="0.25">
      <c r="A173">
        <v>230120</v>
      </c>
      <c r="B173" t="s">
        <v>19</v>
      </c>
      <c r="C173">
        <v>13</v>
      </c>
      <c r="D173">
        <v>6</v>
      </c>
      <c r="E173">
        <f>541-22</f>
        <v>519</v>
      </c>
      <c r="F173">
        <v>11</v>
      </c>
      <c r="G173">
        <v>8</v>
      </c>
      <c r="H173">
        <v>7</v>
      </c>
      <c r="I173">
        <v>7</v>
      </c>
      <c r="K173">
        <f t="shared" si="30"/>
        <v>1.1428571428571428</v>
      </c>
      <c r="L173">
        <f t="shared" si="31"/>
        <v>0.63636363636363635</v>
      </c>
    </row>
    <row r="174" spans="1:12" x14ac:dyDescent="0.25">
      <c r="A174">
        <v>230120</v>
      </c>
      <c r="B174" t="s">
        <v>19</v>
      </c>
      <c r="C174">
        <v>13</v>
      </c>
      <c r="D174">
        <v>7</v>
      </c>
      <c r="E174">
        <f>543-22</f>
        <v>521</v>
      </c>
      <c r="F174">
        <v>13</v>
      </c>
      <c r="G174">
        <v>5</v>
      </c>
      <c r="H174">
        <v>6</v>
      </c>
      <c r="I174">
        <v>4</v>
      </c>
      <c r="K174">
        <f t="shared" si="30"/>
        <v>1.25</v>
      </c>
      <c r="L174">
        <f t="shared" si="31"/>
        <v>0.30769230769230771</v>
      </c>
    </row>
    <row r="175" spans="1:12" x14ac:dyDescent="0.25">
      <c r="A175">
        <v>230120</v>
      </c>
      <c r="B175" t="s">
        <v>19</v>
      </c>
      <c r="C175">
        <v>14</v>
      </c>
      <c r="D175">
        <v>1</v>
      </c>
      <c r="E175">
        <f>112-44</f>
        <v>68</v>
      </c>
      <c r="F175">
        <v>8</v>
      </c>
      <c r="G175">
        <v>3</v>
      </c>
      <c r="H175">
        <v>7</v>
      </c>
      <c r="I175">
        <v>5</v>
      </c>
      <c r="K175">
        <f t="shared" si="30"/>
        <v>0.6</v>
      </c>
      <c r="L175">
        <f t="shared" si="31"/>
        <v>0.625</v>
      </c>
    </row>
    <row r="176" spans="1:12" x14ac:dyDescent="0.25">
      <c r="A176">
        <v>230120</v>
      </c>
      <c r="B176" t="s">
        <v>19</v>
      </c>
      <c r="C176">
        <v>14</v>
      </c>
      <c r="D176">
        <v>2</v>
      </c>
      <c r="E176">
        <f>288-44</f>
        <v>244</v>
      </c>
      <c r="F176">
        <v>8</v>
      </c>
      <c r="G176">
        <v>6</v>
      </c>
      <c r="H176">
        <v>6</v>
      </c>
      <c r="I176">
        <v>6</v>
      </c>
      <c r="K176">
        <f t="shared" si="30"/>
        <v>1</v>
      </c>
      <c r="L176">
        <f t="shared" si="31"/>
        <v>0.75</v>
      </c>
    </row>
    <row r="177" spans="1:12" x14ac:dyDescent="0.25">
      <c r="A177">
        <v>230120</v>
      </c>
      <c r="B177" t="s">
        <v>19</v>
      </c>
      <c r="C177">
        <v>14</v>
      </c>
      <c r="D177">
        <v>3</v>
      </c>
      <c r="E177">
        <f>305-44</f>
        <v>261</v>
      </c>
      <c r="F177">
        <v>7</v>
      </c>
      <c r="G177">
        <v>3</v>
      </c>
      <c r="H177">
        <v>4</v>
      </c>
      <c r="I177">
        <v>3</v>
      </c>
      <c r="K177">
        <f t="shared" si="30"/>
        <v>1</v>
      </c>
      <c r="L177">
        <f t="shared" si="31"/>
        <v>0.42857142857142855</v>
      </c>
    </row>
    <row r="178" spans="1:12" x14ac:dyDescent="0.25">
      <c r="A178">
        <v>230120</v>
      </c>
      <c r="B178" t="s">
        <v>19</v>
      </c>
      <c r="C178">
        <v>15</v>
      </c>
      <c r="D178">
        <v>1</v>
      </c>
      <c r="E178">
        <f>242-63</f>
        <v>179</v>
      </c>
      <c r="F178">
        <v>15</v>
      </c>
      <c r="G178">
        <v>6</v>
      </c>
      <c r="H178">
        <v>7</v>
      </c>
      <c r="I178">
        <v>8</v>
      </c>
      <c r="K178">
        <f t="shared" si="30"/>
        <v>0.75</v>
      </c>
      <c r="L178">
        <f t="shared" si="31"/>
        <v>0.53333333333333333</v>
      </c>
    </row>
    <row r="179" spans="1:12" x14ac:dyDescent="0.25">
      <c r="A179">
        <v>230120</v>
      </c>
      <c r="B179" t="s">
        <v>19</v>
      </c>
      <c r="C179">
        <v>15</v>
      </c>
      <c r="D179">
        <v>2</v>
      </c>
      <c r="E179">
        <f>461-63</f>
        <v>398</v>
      </c>
      <c r="F179">
        <v>12</v>
      </c>
      <c r="J179" t="s">
        <v>0</v>
      </c>
    </row>
    <row r="180" spans="1:12" x14ac:dyDescent="0.25">
      <c r="A180">
        <v>230120</v>
      </c>
      <c r="B180" t="s">
        <v>19</v>
      </c>
      <c r="C180">
        <v>16</v>
      </c>
      <c r="D180">
        <v>1</v>
      </c>
      <c r="E180">
        <f>75-75</f>
        <v>0</v>
      </c>
      <c r="F180">
        <v>29</v>
      </c>
      <c r="G180">
        <v>4</v>
      </c>
      <c r="H180">
        <v>11</v>
      </c>
      <c r="I180">
        <v>8</v>
      </c>
      <c r="K180">
        <f t="shared" ref="K180:K192" si="32">G180/I180</f>
        <v>0.5</v>
      </c>
      <c r="L180">
        <f t="shared" ref="L180:L192" si="33">I180/F180</f>
        <v>0.27586206896551724</v>
      </c>
    </row>
    <row r="181" spans="1:12" x14ac:dyDescent="0.25">
      <c r="A181">
        <v>230120</v>
      </c>
      <c r="B181" t="s">
        <v>19</v>
      </c>
      <c r="C181">
        <v>16</v>
      </c>
      <c r="D181">
        <v>2</v>
      </c>
      <c r="E181">
        <f>110-75</f>
        <v>35</v>
      </c>
      <c r="F181">
        <v>6</v>
      </c>
      <c r="G181">
        <v>2</v>
      </c>
      <c r="H181">
        <v>3</v>
      </c>
      <c r="I181">
        <v>3</v>
      </c>
      <c r="K181">
        <f t="shared" si="32"/>
        <v>0.66666666666666663</v>
      </c>
      <c r="L181">
        <f t="shared" si="33"/>
        <v>0.5</v>
      </c>
    </row>
    <row r="182" spans="1:12" x14ac:dyDescent="0.25">
      <c r="A182">
        <v>230120</v>
      </c>
      <c r="B182" t="s">
        <v>19</v>
      </c>
      <c r="C182">
        <v>16</v>
      </c>
      <c r="D182">
        <v>3</v>
      </c>
      <c r="E182">
        <f>250-75</f>
        <v>175</v>
      </c>
      <c r="F182">
        <v>7</v>
      </c>
      <c r="G182">
        <v>3</v>
      </c>
      <c r="H182">
        <v>5</v>
      </c>
      <c r="I182">
        <v>4</v>
      </c>
      <c r="K182">
        <f t="shared" si="32"/>
        <v>0.75</v>
      </c>
      <c r="L182">
        <f t="shared" si="33"/>
        <v>0.5714285714285714</v>
      </c>
    </row>
    <row r="183" spans="1:12" x14ac:dyDescent="0.25">
      <c r="A183">
        <v>230120</v>
      </c>
      <c r="B183" t="s">
        <v>19</v>
      </c>
      <c r="C183">
        <v>16</v>
      </c>
      <c r="D183">
        <v>4</v>
      </c>
      <c r="E183">
        <f>342-75</f>
        <v>267</v>
      </c>
      <c r="F183">
        <v>9</v>
      </c>
      <c r="G183">
        <v>2</v>
      </c>
      <c r="H183">
        <v>4</v>
      </c>
      <c r="I183">
        <v>3</v>
      </c>
      <c r="K183">
        <f t="shared" si="32"/>
        <v>0.66666666666666663</v>
      </c>
      <c r="L183">
        <f t="shared" si="33"/>
        <v>0.33333333333333331</v>
      </c>
    </row>
    <row r="184" spans="1:12" x14ac:dyDescent="0.25">
      <c r="A184">
        <v>230120</v>
      </c>
      <c r="B184" t="s">
        <v>19</v>
      </c>
      <c r="C184">
        <v>16</v>
      </c>
      <c r="D184">
        <v>5</v>
      </c>
      <c r="E184">
        <f>375-75</f>
        <v>300</v>
      </c>
      <c r="F184">
        <v>10</v>
      </c>
      <c r="G184">
        <v>5</v>
      </c>
      <c r="H184">
        <v>4</v>
      </c>
      <c r="I184">
        <v>5</v>
      </c>
      <c r="K184">
        <f t="shared" si="32"/>
        <v>1</v>
      </c>
      <c r="L184">
        <f t="shared" si="33"/>
        <v>0.5</v>
      </c>
    </row>
    <row r="185" spans="1:12" x14ac:dyDescent="0.25">
      <c r="A185">
        <v>230120</v>
      </c>
      <c r="B185" t="s">
        <v>19</v>
      </c>
      <c r="C185">
        <v>16</v>
      </c>
      <c r="D185">
        <v>6</v>
      </c>
      <c r="E185">
        <f>437-75</f>
        <v>362</v>
      </c>
      <c r="F185">
        <v>8</v>
      </c>
      <c r="G185">
        <v>7</v>
      </c>
      <c r="H185">
        <v>7</v>
      </c>
      <c r="I185">
        <v>5</v>
      </c>
      <c r="K185">
        <f t="shared" si="32"/>
        <v>1.4</v>
      </c>
      <c r="L185">
        <f t="shared" si="33"/>
        <v>0.625</v>
      </c>
    </row>
    <row r="186" spans="1:12" x14ac:dyDescent="0.25">
      <c r="A186">
        <v>230120</v>
      </c>
      <c r="B186" t="s">
        <v>19</v>
      </c>
      <c r="C186">
        <v>17</v>
      </c>
      <c r="D186">
        <v>1</v>
      </c>
      <c r="E186">
        <f>238-113</f>
        <v>125</v>
      </c>
      <c r="F186">
        <v>14</v>
      </c>
      <c r="G186">
        <v>5</v>
      </c>
      <c r="H186">
        <v>6</v>
      </c>
      <c r="I186">
        <v>5</v>
      </c>
      <c r="K186">
        <f t="shared" si="32"/>
        <v>1</v>
      </c>
      <c r="L186">
        <f t="shared" si="33"/>
        <v>0.35714285714285715</v>
      </c>
    </row>
    <row r="187" spans="1:12" x14ac:dyDescent="0.25">
      <c r="A187">
        <v>230120</v>
      </c>
      <c r="B187" t="s">
        <v>19</v>
      </c>
      <c r="C187">
        <v>17</v>
      </c>
      <c r="D187">
        <v>2</v>
      </c>
      <c r="E187">
        <f>435-113</f>
        <v>322</v>
      </c>
      <c r="F187">
        <v>21</v>
      </c>
      <c r="G187">
        <v>5</v>
      </c>
      <c r="H187">
        <v>17</v>
      </c>
      <c r="I187">
        <v>8</v>
      </c>
      <c r="K187">
        <f t="shared" si="32"/>
        <v>0.625</v>
      </c>
      <c r="L187">
        <f t="shared" si="33"/>
        <v>0.38095238095238093</v>
      </c>
    </row>
    <row r="188" spans="1:12" x14ac:dyDescent="0.25">
      <c r="A188">
        <v>230120</v>
      </c>
      <c r="B188" t="s">
        <v>19</v>
      </c>
      <c r="C188">
        <v>18</v>
      </c>
      <c r="D188">
        <v>1</v>
      </c>
      <c r="E188">
        <f>290-99</f>
        <v>191</v>
      </c>
      <c r="F188">
        <v>14</v>
      </c>
      <c r="G188">
        <v>5</v>
      </c>
      <c r="H188">
        <v>10</v>
      </c>
      <c r="I188">
        <v>6</v>
      </c>
      <c r="K188">
        <f t="shared" si="32"/>
        <v>0.83333333333333337</v>
      </c>
      <c r="L188">
        <f t="shared" si="33"/>
        <v>0.42857142857142855</v>
      </c>
    </row>
    <row r="189" spans="1:12" x14ac:dyDescent="0.25">
      <c r="A189">
        <v>230120</v>
      </c>
      <c r="B189" t="s">
        <v>19</v>
      </c>
      <c r="C189">
        <v>18</v>
      </c>
      <c r="D189">
        <v>2</v>
      </c>
      <c r="E189">
        <f>338-99</f>
        <v>239</v>
      </c>
      <c r="F189">
        <v>14</v>
      </c>
      <c r="G189">
        <v>3</v>
      </c>
      <c r="H189">
        <v>6</v>
      </c>
      <c r="I189">
        <v>5</v>
      </c>
      <c r="K189">
        <f t="shared" si="32"/>
        <v>0.6</v>
      </c>
      <c r="L189">
        <f t="shared" si="33"/>
        <v>0.35714285714285715</v>
      </c>
    </row>
    <row r="190" spans="1:12" x14ac:dyDescent="0.25">
      <c r="A190">
        <v>230120</v>
      </c>
      <c r="B190" t="s">
        <v>19</v>
      </c>
      <c r="C190">
        <v>18</v>
      </c>
      <c r="D190">
        <v>3</v>
      </c>
      <c r="E190">
        <f>396-99</f>
        <v>297</v>
      </c>
      <c r="F190">
        <v>12</v>
      </c>
      <c r="G190">
        <v>4</v>
      </c>
      <c r="H190">
        <v>7</v>
      </c>
      <c r="I190">
        <v>5</v>
      </c>
      <c r="K190">
        <f t="shared" si="32"/>
        <v>0.8</v>
      </c>
      <c r="L190">
        <f t="shared" si="33"/>
        <v>0.41666666666666669</v>
      </c>
    </row>
    <row r="191" spans="1:12" x14ac:dyDescent="0.25">
      <c r="A191">
        <v>230120</v>
      </c>
      <c r="B191" t="s">
        <v>19</v>
      </c>
      <c r="C191">
        <v>18</v>
      </c>
      <c r="D191">
        <v>4</v>
      </c>
      <c r="E191">
        <f>408-99</f>
        <v>309</v>
      </c>
      <c r="F191">
        <v>14</v>
      </c>
      <c r="G191">
        <v>5</v>
      </c>
      <c r="H191">
        <v>6</v>
      </c>
      <c r="I191">
        <v>5</v>
      </c>
      <c r="K191">
        <f t="shared" si="32"/>
        <v>1</v>
      </c>
      <c r="L191">
        <f t="shared" si="33"/>
        <v>0.35714285714285715</v>
      </c>
    </row>
    <row r="192" spans="1:12" x14ac:dyDescent="0.25">
      <c r="A192">
        <v>230120</v>
      </c>
      <c r="B192" t="s">
        <v>19</v>
      </c>
      <c r="C192">
        <v>18</v>
      </c>
      <c r="D192">
        <v>5</v>
      </c>
      <c r="E192">
        <f>456-99</f>
        <v>357</v>
      </c>
      <c r="F192">
        <v>13</v>
      </c>
      <c r="G192">
        <v>3</v>
      </c>
      <c r="H192">
        <v>7</v>
      </c>
      <c r="I192">
        <v>6</v>
      </c>
      <c r="K192">
        <f t="shared" si="32"/>
        <v>0.5</v>
      </c>
      <c r="L192">
        <f t="shared" si="33"/>
        <v>0.46153846153846156</v>
      </c>
    </row>
    <row r="193" spans="1:12" x14ac:dyDescent="0.25">
      <c r="A193">
        <v>230120</v>
      </c>
      <c r="B193" t="s">
        <v>19</v>
      </c>
      <c r="C193">
        <v>18</v>
      </c>
      <c r="D193">
        <v>6</v>
      </c>
      <c r="E193">
        <f>507-99</f>
        <v>408</v>
      </c>
      <c r="F193">
        <v>13</v>
      </c>
      <c r="J193" t="s">
        <v>0</v>
      </c>
    </row>
    <row r="194" spans="1:12" x14ac:dyDescent="0.25">
      <c r="A194">
        <v>230120</v>
      </c>
      <c r="B194" t="s">
        <v>19</v>
      </c>
      <c r="C194">
        <v>19</v>
      </c>
      <c r="D194">
        <v>1</v>
      </c>
      <c r="E194">
        <f>223-117</f>
        <v>106</v>
      </c>
      <c r="F194">
        <v>12</v>
      </c>
      <c r="G194">
        <v>3</v>
      </c>
      <c r="H194">
        <v>8</v>
      </c>
      <c r="I194">
        <v>6</v>
      </c>
      <c r="K194">
        <f t="shared" ref="K194:K238" si="34">G194/I194</f>
        <v>0.5</v>
      </c>
      <c r="L194">
        <f t="shared" ref="L194:L238" si="35">I194/F194</f>
        <v>0.5</v>
      </c>
    </row>
    <row r="195" spans="1:12" x14ac:dyDescent="0.25">
      <c r="A195">
        <v>230120</v>
      </c>
      <c r="B195" t="s">
        <v>19</v>
      </c>
      <c r="C195">
        <v>19</v>
      </c>
      <c r="D195">
        <v>2</v>
      </c>
      <c r="E195">
        <f>418-117</f>
        <v>301</v>
      </c>
      <c r="F195">
        <v>14</v>
      </c>
      <c r="G195">
        <v>5</v>
      </c>
      <c r="H195">
        <v>10</v>
      </c>
      <c r="I195">
        <v>7</v>
      </c>
      <c r="K195">
        <f t="shared" si="34"/>
        <v>0.7142857142857143</v>
      </c>
      <c r="L195">
        <f t="shared" si="35"/>
        <v>0.5</v>
      </c>
    </row>
    <row r="196" spans="1:12" x14ac:dyDescent="0.25">
      <c r="A196">
        <v>230120</v>
      </c>
      <c r="B196" t="s">
        <v>19</v>
      </c>
      <c r="C196">
        <v>19</v>
      </c>
      <c r="D196">
        <v>3</v>
      </c>
      <c r="E196">
        <f>459-117</f>
        <v>342</v>
      </c>
      <c r="F196">
        <v>12</v>
      </c>
      <c r="G196">
        <v>6</v>
      </c>
      <c r="H196">
        <v>8</v>
      </c>
      <c r="I196">
        <v>5</v>
      </c>
      <c r="K196">
        <f t="shared" si="34"/>
        <v>1.2</v>
      </c>
      <c r="L196">
        <f t="shared" si="35"/>
        <v>0.41666666666666669</v>
      </c>
    </row>
    <row r="197" spans="1:12" x14ac:dyDescent="0.25">
      <c r="A197">
        <v>230120</v>
      </c>
      <c r="B197" t="s">
        <v>19</v>
      </c>
      <c r="C197">
        <v>19</v>
      </c>
      <c r="D197">
        <v>4</v>
      </c>
      <c r="E197">
        <f>538-117</f>
        <v>421</v>
      </c>
      <c r="F197">
        <v>15</v>
      </c>
      <c r="G197">
        <v>3</v>
      </c>
      <c r="H197">
        <v>8</v>
      </c>
      <c r="I197">
        <v>5</v>
      </c>
      <c r="K197">
        <f t="shared" si="34"/>
        <v>0.6</v>
      </c>
      <c r="L197">
        <f t="shared" si="35"/>
        <v>0.33333333333333331</v>
      </c>
    </row>
    <row r="198" spans="1:12" x14ac:dyDescent="0.25">
      <c r="A198">
        <v>230120</v>
      </c>
      <c r="B198" t="s">
        <v>19</v>
      </c>
      <c r="C198">
        <v>20</v>
      </c>
      <c r="D198">
        <v>1</v>
      </c>
      <c r="E198">
        <f>177-67</f>
        <v>110</v>
      </c>
      <c r="F198">
        <v>16</v>
      </c>
      <c r="G198">
        <v>5</v>
      </c>
      <c r="H198">
        <v>9</v>
      </c>
      <c r="I198">
        <v>5</v>
      </c>
      <c r="K198">
        <f t="shared" si="34"/>
        <v>1</v>
      </c>
      <c r="L198">
        <f t="shared" si="35"/>
        <v>0.3125</v>
      </c>
    </row>
    <row r="199" spans="1:12" x14ac:dyDescent="0.25">
      <c r="A199">
        <v>230120</v>
      </c>
      <c r="B199" t="s">
        <v>19</v>
      </c>
      <c r="C199">
        <v>20</v>
      </c>
      <c r="D199">
        <v>2</v>
      </c>
      <c r="E199">
        <f>509-67</f>
        <v>442</v>
      </c>
      <c r="F199">
        <v>13</v>
      </c>
      <c r="G199">
        <v>7</v>
      </c>
      <c r="H199">
        <v>13</v>
      </c>
      <c r="I199">
        <v>8</v>
      </c>
      <c r="K199">
        <f t="shared" si="34"/>
        <v>0.875</v>
      </c>
      <c r="L199">
        <f t="shared" si="35"/>
        <v>0.61538461538461542</v>
      </c>
    </row>
    <row r="200" spans="1:12" x14ac:dyDescent="0.25">
      <c r="A200">
        <v>230120</v>
      </c>
      <c r="B200" t="s">
        <v>19</v>
      </c>
      <c r="C200">
        <v>21</v>
      </c>
      <c r="D200">
        <v>1</v>
      </c>
      <c r="E200">
        <f>339-114</f>
        <v>225</v>
      </c>
      <c r="F200">
        <v>12</v>
      </c>
      <c r="G200">
        <v>4</v>
      </c>
      <c r="H200">
        <v>4</v>
      </c>
      <c r="I200">
        <v>4</v>
      </c>
      <c r="K200">
        <f t="shared" si="34"/>
        <v>1</v>
      </c>
      <c r="L200">
        <f t="shared" si="35"/>
        <v>0.33333333333333331</v>
      </c>
    </row>
    <row r="201" spans="1:12" x14ac:dyDescent="0.25">
      <c r="A201">
        <v>230120</v>
      </c>
      <c r="B201" t="s">
        <v>19</v>
      </c>
      <c r="C201">
        <v>21</v>
      </c>
      <c r="D201">
        <v>2</v>
      </c>
      <c r="E201">
        <f>354-114</f>
        <v>240</v>
      </c>
      <c r="F201">
        <v>13</v>
      </c>
      <c r="G201">
        <v>5</v>
      </c>
      <c r="H201">
        <v>8</v>
      </c>
      <c r="I201">
        <v>6</v>
      </c>
      <c r="K201">
        <f t="shared" si="34"/>
        <v>0.83333333333333337</v>
      </c>
      <c r="L201">
        <f t="shared" si="35"/>
        <v>0.46153846153846156</v>
      </c>
    </row>
    <row r="202" spans="1:12" x14ac:dyDescent="0.25">
      <c r="A202">
        <v>230120</v>
      </c>
      <c r="B202" t="s">
        <v>19</v>
      </c>
      <c r="C202">
        <v>21</v>
      </c>
      <c r="D202">
        <v>3</v>
      </c>
      <c r="E202">
        <f>364-114</f>
        <v>250</v>
      </c>
      <c r="F202">
        <v>16</v>
      </c>
      <c r="G202">
        <v>6</v>
      </c>
      <c r="H202">
        <v>9</v>
      </c>
      <c r="I202">
        <v>6</v>
      </c>
      <c r="K202">
        <f t="shared" si="34"/>
        <v>1</v>
      </c>
      <c r="L202">
        <f t="shared" si="35"/>
        <v>0.375</v>
      </c>
    </row>
    <row r="203" spans="1:12" x14ac:dyDescent="0.25">
      <c r="A203">
        <v>230120</v>
      </c>
      <c r="B203" t="s">
        <v>19</v>
      </c>
      <c r="C203">
        <v>21</v>
      </c>
      <c r="D203">
        <v>4</v>
      </c>
      <c r="E203">
        <f>458-114</f>
        <v>344</v>
      </c>
      <c r="F203">
        <v>13</v>
      </c>
      <c r="G203">
        <v>5</v>
      </c>
      <c r="H203">
        <v>6</v>
      </c>
      <c r="I203">
        <v>5</v>
      </c>
      <c r="K203">
        <f t="shared" si="34"/>
        <v>1</v>
      </c>
      <c r="L203">
        <f t="shared" si="35"/>
        <v>0.38461538461538464</v>
      </c>
    </row>
    <row r="204" spans="1:12" x14ac:dyDescent="0.25">
      <c r="A204">
        <v>230120</v>
      </c>
      <c r="B204" t="s">
        <v>19</v>
      </c>
      <c r="C204">
        <v>21</v>
      </c>
      <c r="D204">
        <v>5</v>
      </c>
      <c r="E204">
        <f>472-114</f>
        <v>358</v>
      </c>
      <c r="F204">
        <v>13</v>
      </c>
      <c r="G204">
        <v>4</v>
      </c>
      <c r="H204">
        <v>4</v>
      </c>
      <c r="I204">
        <v>4</v>
      </c>
      <c r="K204">
        <f t="shared" si="34"/>
        <v>1</v>
      </c>
      <c r="L204">
        <f t="shared" si="35"/>
        <v>0.30769230769230771</v>
      </c>
    </row>
    <row r="205" spans="1:12" x14ac:dyDescent="0.25">
      <c r="A205">
        <v>230120</v>
      </c>
      <c r="B205" t="s">
        <v>19</v>
      </c>
      <c r="C205">
        <v>21</v>
      </c>
      <c r="D205">
        <v>6</v>
      </c>
      <c r="E205">
        <f>504-114</f>
        <v>390</v>
      </c>
      <c r="F205">
        <v>12</v>
      </c>
      <c r="G205">
        <v>4</v>
      </c>
      <c r="H205">
        <v>6</v>
      </c>
      <c r="I205">
        <v>4</v>
      </c>
      <c r="K205">
        <f t="shared" si="34"/>
        <v>1</v>
      </c>
      <c r="L205">
        <f t="shared" si="35"/>
        <v>0.33333333333333331</v>
      </c>
    </row>
    <row r="206" spans="1:12" x14ac:dyDescent="0.25">
      <c r="A206">
        <v>230120</v>
      </c>
      <c r="B206" t="s">
        <v>19</v>
      </c>
      <c r="C206">
        <v>21</v>
      </c>
      <c r="D206">
        <v>7</v>
      </c>
      <c r="E206">
        <f>504-114</f>
        <v>390</v>
      </c>
      <c r="F206">
        <v>12</v>
      </c>
      <c r="G206">
        <v>4</v>
      </c>
      <c r="H206">
        <v>4</v>
      </c>
      <c r="I206">
        <v>5</v>
      </c>
      <c r="K206">
        <f t="shared" si="34"/>
        <v>0.8</v>
      </c>
      <c r="L206">
        <f t="shared" si="35"/>
        <v>0.41666666666666669</v>
      </c>
    </row>
    <row r="207" spans="1:12" x14ac:dyDescent="0.25">
      <c r="A207">
        <v>230120</v>
      </c>
      <c r="B207" t="s">
        <v>19</v>
      </c>
      <c r="C207">
        <v>21</v>
      </c>
      <c r="D207">
        <v>8</v>
      </c>
      <c r="E207">
        <f>504-114</f>
        <v>390</v>
      </c>
      <c r="F207">
        <v>12</v>
      </c>
      <c r="G207">
        <v>4</v>
      </c>
      <c r="H207">
        <v>4</v>
      </c>
      <c r="I207">
        <v>5</v>
      </c>
      <c r="K207">
        <f t="shared" si="34"/>
        <v>0.8</v>
      </c>
      <c r="L207">
        <f t="shared" si="35"/>
        <v>0.41666666666666669</v>
      </c>
    </row>
    <row r="208" spans="1:12" x14ac:dyDescent="0.25">
      <c r="A208">
        <v>230120</v>
      </c>
      <c r="B208" t="s">
        <v>19</v>
      </c>
      <c r="C208">
        <v>22</v>
      </c>
      <c r="D208">
        <v>1</v>
      </c>
      <c r="E208">
        <f>77-66</f>
        <v>11</v>
      </c>
      <c r="F208">
        <v>12</v>
      </c>
      <c r="G208">
        <v>4</v>
      </c>
      <c r="H208">
        <v>7</v>
      </c>
      <c r="I208">
        <v>7</v>
      </c>
      <c r="K208">
        <f t="shared" si="34"/>
        <v>0.5714285714285714</v>
      </c>
      <c r="L208">
        <f t="shared" si="35"/>
        <v>0.58333333333333337</v>
      </c>
    </row>
    <row r="209" spans="1:12" x14ac:dyDescent="0.25">
      <c r="A209">
        <v>230120</v>
      </c>
      <c r="B209" t="s">
        <v>19</v>
      </c>
      <c r="C209">
        <v>22</v>
      </c>
      <c r="D209">
        <v>2</v>
      </c>
      <c r="E209">
        <f>426-66</f>
        <v>360</v>
      </c>
      <c r="F209">
        <v>13</v>
      </c>
      <c r="G209">
        <v>5</v>
      </c>
      <c r="H209">
        <v>6</v>
      </c>
      <c r="I209">
        <v>5</v>
      </c>
      <c r="K209">
        <f t="shared" si="34"/>
        <v>1</v>
      </c>
      <c r="L209">
        <f t="shared" si="35"/>
        <v>0.38461538461538464</v>
      </c>
    </row>
    <row r="210" spans="1:12" x14ac:dyDescent="0.25">
      <c r="A210">
        <v>230120</v>
      </c>
      <c r="B210" t="s">
        <v>19</v>
      </c>
      <c r="C210">
        <v>22</v>
      </c>
      <c r="D210">
        <v>3</v>
      </c>
      <c r="E210">
        <f>444-66</f>
        <v>378</v>
      </c>
      <c r="F210">
        <v>14</v>
      </c>
      <c r="G210">
        <v>12</v>
      </c>
      <c r="H210">
        <v>10</v>
      </c>
      <c r="I210">
        <v>7</v>
      </c>
      <c r="K210">
        <f t="shared" si="34"/>
        <v>1.7142857142857142</v>
      </c>
      <c r="L210">
        <f t="shared" si="35"/>
        <v>0.5</v>
      </c>
    </row>
    <row r="211" spans="1:12" x14ac:dyDescent="0.25">
      <c r="A211">
        <v>230120</v>
      </c>
      <c r="B211" t="s">
        <v>19</v>
      </c>
      <c r="C211">
        <v>22</v>
      </c>
      <c r="D211">
        <v>4</v>
      </c>
      <c r="E211">
        <f>491-66</f>
        <v>425</v>
      </c>
      <c r="F211">
        <v>12</v>
      </c>
      <c r="G211">
        <v>4</v>
      </c>
      <c r="H211">
        <v>5</v>
      </c>
      <c r="I211">
        <v>4</v>
      </c>
      <c r="K211">
        <f t="shared" si="34"/>
        <v>1</v>
      </c>
      <c r="L211">
        <f t="shared" si="35"/>
        <v>0.33333333333333331</v>
      </c>
    </row>
    <row r="212" spans="1:12" x14ac:dyDescent="0.25">
      <c r="A212">
        <v>230120</v>
      </c>
      <c r="B212" t="s">
        <v>19</v>
      </c>
      <c r="C212">
        <v>22</v>
      </c>
      <c r="D212">
        <v>5</v>
      </c>
      <c r="E212">
        <f>539-66</f>
        <v>473</v>
      </c>
      <c r="F212">
        <v>11</v>
      </c>
      <c r="G212">
        <v>6</v>
      </c>
      <c r="H212">
        <v>6</v>
      </c>
      <c r="I212">
        <v>5</v>
      </c>
      <c r="K212">
        <f t="shared" si="34"/>
        <v>1.2</v>
      </c>
      <c r="L212">
        <f t="shared" si="35"/>
        <v>0.45454545454545453</v>
      </c>
    </row>
    <row r="213" spans="1:12" x14ac:dyDescent="0.25">
      <c r="A213">
        <v>230120</v>
      </c>
      <c r="B213" t="s">
        <v>19</v>
      </c>
      <c r="C213">
        <v>22</v>
      </c>
      <c r="D213">
        <v>6</v>
      </c>
      <c r="E213">
        <f>552-66</f>
        <v>486</v>
      </c>
      <c r="F213">
        <v>11</v>
      </c>
      <c r="G213">
        <v>5</v>
      </c>
      <c r="H213">
        <v>5</v>
      </c>
      <c r="I213">
        <v>4</v>
      </c>
      <c r="K213">
        <f t="shared" si="34"/>
        <v>1.25</v>
      </c>
      <c r="L213">
        <f t="shared" si="35"/>
        <v>0.36363636363636365</v>
      </c>
    </row>
    <row r="214" spans="1:12" x14ac:dyDescent="0.25">
      <c r="A214">
        <v>270220</v>
      </c>
      <c r="B214" t="s">
        <v>19</v>
      </c>
      <c r="C214">
        <v>1</v>
      </c>
      <c r="D214">
        <v>1</v>
      </c>
      <c r="E214">
        <f>330-240</f>
        <v>90</v>
      </c>
      <c r="F214">
        <v>19</v>
      </c>
      <c r="G214">
        <v>6</v>
      </c>
      <c r="H214">
        <v>9</v>
      </c>
      <c r="I214">
        <v>6</v>
      </c>
      <c r="K214">
        <f t="shared" si="34"/>
        <v>1</v>
      </c>
      <c r="L214">
        <f t="shared" si="35"/>
        <v>0.31578947368421051</v>
      </c>
    </row>
    <row r="215" spans="1:12" x14ac:dyDescent="0.25">
      <c r="A215">
        <v>270220</v>
      </c>
      <c r="B215" t="s">
        <v>19</v>
      </c>
      <c r="C215">
        <v>1</v>
      </c>
      <c r="D215">
        <v>2</v>
      </c>
      <c r="E215">
        <f>494-240</f>
        <v>254</v>
      </c>
      <c r="F215">
        <v>21</v>
      </c>
      <c r="G215">
        <v>9</v>
      </c>
      <c r="H215">
        <v>13</v>
      </c>
      <c r="I215">
        <v>7</v>
      </c>
      <c r="K215">
        <f t="shared" si="34"/>
        <v>1.2857142857142858</v>
      </c>
      <c r="L215">
        <f t="shared" si="35"/>
        <v>0.33333333333333331</v>
      </c>
    </row>
    <row r="216" spans="1:12" x14ac:dyDescent="0.25">
      <c r="A216">
        <v>270220</v>
      </c>
      <c r="B216" t="s">
        <v>19</v>
      </c>
      <c r="C216">
        <v>1</v>
      </c>
      <c r="D216">
        <v>3</v>
      </c>
      <c r="E216">
        <f>549-240</f>
        <v>309</v>
      </c>
      <c r="F216">
        <v>21</v>
      </c>
      <c r="G216">
        <v>4</v>
      </c>
      <c r="H216">
        <v>5</v>
      </c>
      <c r="I216">
        <v>5</v>
      </c>
      <c r="K216">
        <f t="shared" si="34"/>
        <v>0.8</v>
      </c>
      <c r="L216">
        <f t="shared" si="35"/>
        <v>0.23809523809523808</v>
      </c>
    </row>
    <row r="217" spans="1:12" x14ac:dyDescent="0.25">
      <c r="A217">
        <v>270220</v>
      </c>
      <c r="B217" t="s">
        <v>19</v>
      </c>
      <c r="C217">
        <v>2</v>
      </c>
      <c r="D217">
        <v>1</v>
      </c>
      <c r="E217">
        <f>227-176</f>
        <v>51</v>
      </c>
      <c r="F217">
        <v>14</v>
      </c>
      <c r="G217">
        <v>3</v>
      </c>
      <c r="H217">
        <v>5</v>
      </c>
      <c r="I217">
        <v>4</v>
      </c>
      <c r="K217">
        <f t="shared" si="34"/>
        <v>0.75</v>
      </c>
      <c r="L217">
        <f t="shared" si="35"/>
        <v>0.2857142857142857</v>
      </c>
    </row>
    <row r="218" spans="1:12" x14ac:dyDescent="0.25">
      <c r="A218">
        <v>270220</v>
      </c>
      <c r="B218" t="s">
        <v>19</v>
      </c>
      <c r="C218">
        <v>2</v>
      </c>
      <c r="D218">
        <v>2</v>
      </c>
      <c r="E218">
        <f>310-176</f>
        <v>134</v>
      </c>
      <c r="F218">
        <v>10</v>
      </c>
      <c r="G218">
        <v>3</v>
      </c>
      <c r="H218">
        <v>5</v>
      </c>
      <c r="I218">
        <v>4</v>
      </c>
      <c r="K218">
        <f t="shared" si="34"/>
        <v>0.75</v>
      </c>
      <c r="L218">
        <f t="shared" si="35"/>
        <v>0.4</v>
      </c>
    </row>
    <row r="219" spans="1:12" x14ac:dyDescent="0.25">
      <c r="A219">
        <v>270220</v>
      </c>
      <c r="B219" t="s">
        <v>19</v>
      </c>
      <c r="C219">
        <v>2</v>
      </c>
      <c r="D219">
        <v>3</v>
      </c>
      <c r="E219">
        <f>416-176</f>
        <v>240</v>
      </c>
      <c r="F219">
        <v>12</v>
      </c>
      <c r="G219">
        <v>3</v>
      </c>
      <c r="H219">
        <v>5</v>
      </c>
      <c r="I219">
        <v>4</v>
      </c>
      <c r="K219">
        <f t="shared" si="34"/>
        <v>0.75</v>
      </c>
      <c r="L219">
        <f t="shared" si="35"/>
        <v>0.33333333333333331</v>
      </c>
    </row>
    <row r="220" spans="1:12" x14ac:dyDescent="0.25">
      <c r="A220">
        <v>270220</v>
      </c>
      <c r="B220" t="s">
        <v>19</v>
      </c>
      <c r="C220">
        <v>2</v>
      </c>
      <c r="D220">
        <v>4</v>
      </c>
      <c r="E220">
        <f>518-176</f>
        <v>342</v>
      </c>
      <c r="F220">
        <v>15</v>
      </c>
      <c r="G220">
        <v>5</v>
      </c>
      <c r="H220">
        <v>9</v>
      </c>
      <c r="I220">
        <v>5</v>
      </c>
      <c r="K220">
        <f t="shared" si="34"/>
        <v>1</v>
      </c>
      <c r="L220">
        <f t="shared" si="35"/>
        <v>0.33333333333333331</v>
      </c>
    </row>
    <row r="221" spans="1:12" x14ac:dyDescent="0.25">
      <c r="A221">
        <v>270220</v>
      </c>
      <c r="B221" t="s">
        <v>19</v>
      </c>
      <c r="C221">
        <v>2</v>
      </c>
      <c r="D221">
        <v>5</v>
      </c>
      <c r="E221">
        <f>616-176</f>
        <v>440</v>
      </c>
      <c r="F221">
        <v>11</v>
      </c>
      <c r="G221">
        <v>5</v>
      </c>
      <c r="H221">
        <v>5</v>
      </c>
      <c r="I221">
        <v>6</v>
      </c>
      <c r="K221">
        <f t="shared" si="34"/>
        <v>0.83333333333333337</v>
      </c>
      <c r="L221">
        <f t="shared" si="35"/>
        <v>0.54545454545454541</v>
      </c>
    </row>
    <row r="222" spans="1:12" x14ac:dyDescent="0.25">
      <c r="A222">
        <v>270220</v>
      </c>
      <c r="B222" t="s">
        <v>19</v>
      </c>
      <c r="C222">
        <v>2</v>
      </c>
      <c r="D222">
        <v>6</v>
      </c>
      <c r="E222">
        <f>619-176</f>
        <v>443</v>
      </c>
      <c r="F222">
        <v>11</v>
      </c>
      <c r="G222">
        <v>5</v>
      </c>
      <c r="H222">
        <v>5</v>
      </c>
      <c r="I222">
        <v>5</v>
      </c>
      <c r="K222">
        <f t="shared" si="34"/>
        <v>1</v>
      </c>
      <c r="L222">
        <f t="shared" si="35"/>
        <v>0.45454545454545453</v>
      </c>
    </row>
    <row r="223" spans="1:12" x14ac:dyDescent="0.25">
      <c r="A223">
        <v>270220</v>
      </c>
      <c r="B223" t="s">
        <v>19</v>
      </c>
      <c r="C223">
        <v>2</v>
      </c>
      <c r="D223">
        <v>7</v>
      </c>
      <c r="E223">
        <f>627-176</f>
        <v>451</v>
      </c>
      <c r="F223">
        <v>11</v>
      </c>
      <c r="G223">
        <v>7</v>
      </c>
      <c r="H223">
        <v>9</v>
      </c>
      <c r="I223">
        <v>8</v>
      </c>
      <c r="K223">
        <f t="shared" si="34"/>
        <v>0.875</v>
      </c>
      <c r="L223">
        <f t="shared" si="35"/>
        <v>0.72727272727272729</v>
      </c>
    </row>
    <row r="224" spans="1:12" x14ac:dyDescent="0.25">
      <c r="A224">
        <v>270220</v>
      </c>
      <c r="B224" t="s">
        <v>19</v>
      </c>
      <c r="C224">
        <v>3</v>
      </c>
      <c r="D224">
        <v>1</v>
      </c>
      <c r="E224">
        <f>220-139</f>
        <v>81</v>
      </c>
      <c r="F224">
        <v>13</v>
      </c>
      <c r="G224">
        <v>3</v>
      </c>
      <c r="H224">
        <v>7</v>
      </c>
      <c r="I224">
        <v>4</v>
      </c>
      <c r="K224">
        <f t="shared" si="34"/>
        <v>0.75</v>
      </c>
      <c r="L224">
        <f t="shared" si="35"/>
        <v>0.30769230769230771</v>
      </c>
    </row>
    <row r="225" spans="1:12" x14ac:dyDescent="0.25">
      <c r="A225">
        <v>270220</v>
      </c>
      <c r="B225" t="s">
        <v>19</v>
      </c>
      <c r="C225">
        <v>3</v>
      </c>
      <c r="D225">
        <v>2</v>
      </c>
      <c r="E225">
        <f>284-139</f>
        <v>145</v>
      </c>
      <c r="F225">
        <v>15</v>
      </c>
      <c r="G225">
        <v>4</v>
      </c>
      <c r="H225">
        <v>10</v>
      </c>
      <c r="I225">
        <v>5</v>
      </c>
      <c r="K225">
        <f t="shared" si="34"/>
        <v>0.8</v>
      </c>
      <c r="L225">
        <f t="shared" si="35"/>
        <v>0.33333333333333331</v>
      </c>
    </row>
    <row r="226" spans="1:12" x14ac:dyDescent="0.25">
      <c r="A226">
        <v>270220</v>
      </c>
      <c r="B226" t="s">
        <v>19</v>
      </c>
      <c r="C226">
        <v>3</v>
      </c>
      <c r="D226">
        <v>3</v>
      </c>
      <c r="E226">
        <f>448-139</f>
        <v>309</v>
      </c>
      <c r="F226">
        <v>12</v>
      </c>
      <c r="G226">
        <v>5</v>
      </c>
      <c r="H226">
        <v>7</v>
      </c>
      <c r="I226">
        <v>5</v>
      </c>
      <c r="K226">
        <f t="shared" si="34"/>
        <v>1</v>
      </c>
      <c r="L226">
        <f t="shared" si="35"/>
        <v>0.41666666666666669</v>
      </c>
    </row>
    <row r="227" spans="1:12" x14ac:dyDescent="0.25">
      <c r="A227">
        <v>270220</v>
      </c>
      <c r="B227" t="s">
        <v>19</v>
      </c>
      <c r="C227">
        <v>3</v>
      </c>
      <c r="D227">
        <v>4</v>
      </c>
      <c r="E227">
        <f>568-139</f>
        <v>429</v>
      </c>
      <c r="F227">
        <v>9</v>
      </c>
      <c r="G227">
        <v>3</v>
      </c>
      <c r="H227">
        <v>6</v>
      </c>
      <c r="I227">
        <v>4</v>
      </c>
      <c r="K227">
        <f t="shared" si="34"/>
        <v>0.75</v>
      </c>
      <c r="L227">
        <f t="shared" si="35"/>
        <v>0.44444444444444442</v>
      </c>
    </row>
    <row r="228" spans="1:12" x14ac:dyDescent="0.25">
      <c r="A228">
        <v>270220</v>
      </c>
      <c r="B228" t="s">
        <v>19</v>
      </c>
      <c r="C228">
        <v>3</v>
      </c>
      <c r="D228">
        <v>5</v>
      </c>
      <c r="E228">
        <f>611-139</f>
        <v>472</v>
      </c>
      <c r="F228">
        <v>9</v>
      </c>
      <c r="G228">
        <v>6</v>
      </c>
      <c r="H228">
        <v>9</v>
      </c>
      <c r="I228">
        <v>7</v>
      </c>
      <c r="K228">
        <f t="shared" si="34"/>
        <v>0.8571428571428571</v>
      </c>
      <c r="L228">
        <f t="shared" si="35"/>
        <v>0.77777777777777779</v>
      </c>
    </row>
    <row r="229" spans="1:12" x14ac:dyDescent="0.25">
      <c r="A229">
        <v>270220</v>
      </c>
      <c r="B229" t="s">
        <v>19</v>
      </c>
      <c r="C229">
        <v>4</v>
      </c>
      <c r="D229">
        <v>1</v>
      </c>
      <c r="E229">
        <f>372-154</f>
        <v>218</v>
      </c>
      <c r="F229">
        <v>17</v>
      </c>
      <c r="G229">
        <v>6</v>
      </c>
      <c r="H229">
        <v>13</v>
      </c>
      <c r="I229">
        <v>8</v>
      </c>
      <c r="K229">
        <f t="shared" si="34"/>
        <v>0.75</v>
      </c>
      <c r="L229">
        <f t="shared" si="35"/>
        <v>0.47058823529411764</v>
      </c>
    </row>
    <row r="230" spans="1:12" x14ac:dyDescent="0.25">
      <c r="A230">
        <v>270220</v>
      </c>
      <c r="B230" t="s">
        <v>19</v>
      </c>
      <c r="C230">
        <v>4</v>
      </c>
      <c r="D230">
        <v>2</v>
      </c>
      <c r="E230">
        <f>492-154</f>
        <v>338</v>
      </c>
      <c r="F230">
        <v>18</v>
      </c>
      <c r="G230">
        <v>5</v>
      </c>
      <c r="H230">
        <v>7</v>
      </c>
      <c r="I230">
        <v>6</v>
      </c>
      <c r="K230">
        <f t="shared" si="34"/>
        <v>0.83333333333333337</v>
      </c>
      <c r="L230">
        <f t="shared" si="35"/>
        <v>0.33333333333333331</v>
      </c>
    </row>
    <row r="231" spans="1:12" x14ac:dyDescent="0.25">
      <c r="A231">
        <v>270220</v>
      </c>
      <c r="B231" t="s">
        <v>19</v>
      </c>
      <c r="C231">
        <v>4</v>
      </c>
      <c r="D231">
        <v>3</v>
      </c>
      <c r="E231">
        <f>552-154</f>
        <v>398</v>
      </c>
      <c r="F231">
        <v>13</v>
      </c>
      <c r="G231">
        <v>6</v>
      </c>
      <c r="H231">
        <v>6</v>
      </c>
      <c r="I231">
        <v>6</v>
      </c>
      <c r="K231">
        <f t="shared" si="34"/>
        <v>1</v>
      </c>
      <c r="L231">
        <f t="shared" si="35"/>
        <v>0.46153846153846156</v>
      </c>
    </row>
    <row r="232" spans="1:12" x14ac:dyDescent="0.25">
      <c r="A232">
        <v>270220</v>
      </c>
      <c r="B232" t="s">
        <v>19</v>
      </c>
      <c r="C232">
        <v>4</v>
      </c>
      <c r="D232">
        <v>4</v>
      </c>
      <c r="E232">
        <f>615-154</f>
        <v>461</v>
      </c>
      <c r="F232">
        <v>13</v>
      </c>
      <c r="G232">
        <v>6</v>
      </c>
      <c r="H232">
        <v>7</v>
      </c>
      <c r="I232">
        <v>5</v>
      </c>
      <c r="K232">
        <f t="shared" si="34"/>
        <v>1.2</v>
      </c>
      <c r="L232">
        <f t="shared" si="35"/>
        <v>0.38461538461538464</v>
      </c>
    </row>
    <row r="233" spans="1:12" x14ac:dyDescent="0.25">
      <c r="A233">
        <v>270220</v>
      </c>
      <c r="B233" t="s">
        <v>19</v>
      </c>
      <c r="C233">
        <v>5</v>
      </c>
      <c r="D233">
        <v>1</v>
      </c>
      <c r="E233">
        <f>191-124</f>
        <v>67</v>
      </c>
      <c r="F233">
        <v>7</v>
      </c>
      <c r="G233">
        <v>2</v>
      </c>
      <c r="H233">
        <v>5</v>
      </c>
      <c r="I233">
        <v>4</v>
      </c>
      <c r="K233">
        <f t="shared" si="34"/>
        <v>0.5</v>
      </c>
      <c r="L233">
        <f t="shared" si="35"/>
        <v>0.5714285714285714</v>
      </c>
    </row>
    <row r="234" spans="1:12" x14ac:dyDescent="0.25">
      <c r="A234">
        <v>270220</v>
      </c>
      <c r="B234" t="s">
        <v>19</v>
      </c>
      <c r="C234">
        <v>5</v>
      </c>
      <c r="D234">
        <v>2</v>
      </c>
      <c r="E234">
        <f>371-124</f>
        <v>247</v>
      </c>
      <c r="F234">
        <v>8</v>
      </c>
      <c r="G234">
        <v>3</v>
      </c>
      <c r="H234">
        <v>6</v>
      </c>
      <c r="I234">
        <v>4</v>
      </c>
      <c r="K234">
        <f t="shared" si="34"/>
        <v>0.75</v>
      </c>
      <c r="L234">
        <f t="shared" si="35"/>
        <v>0.5</v>
      </c>
    </row>
    <row r="235" spans="1:12" x14ac:dyDescent="0.25">
      <c r="A235">
        <v>270220</v>
      </c>
      <c r="B235" t="s">
        <v>19</v>
      </c>
      <c r="C235">
        <v>5</v>
      </c>
      <c r="D235">
        <v>3</v>
      </c>
      <c r="E235">
        <f>378-124</f>
        <v>254</v>
      </c>
      <c r="F235">
        <v>9</v>
      </c>
      <c r="G235">
        <v>4</v>
      </c>
      <c r="H235">
        <v>4</v>
      </c>
      <c r="I235">
        <v>4</v>
      </c>
      <c r="K235">
        <f t="shared" si="34"/>
        <v>1</v>
      </c>
      <c r="L235">
        <f t="shared" si="35"/>
        <v>0.44444444444444442</v>
      </c>
    </row>
    <row r="236" spans="1:12" x14ac:dyDescent="0.25">
      <c r="A236">
        <v>270220</v>
      </c>
      <c r="B236" t="s">
        <v>19</v>
      </c>
      <c r="C236">
        <v>5</v>
      </c>
      <c r="D236">
        <v>4</v>
      </c>
      <c r="E236">
        <f>415-124</f>
        <v>291</v>
      </c>
      <c r="F236">
        <v>8</v>
      </c>
      <c r="G236">
        <v>8</v>
      </c>
      <c r="H236">
        <v>6</v>
      </c>
      <c r="I236">
        <v>6</v>
      </c>
      <c r="K236">
        <f t="shared" si="34"/>
        <v>1.3333333333333333</v>
      </c>
      <c r="L236">
        <f t="shared" si="35"/>
        <v>0.75</v>
      </c>
    </row>
    <row r="237" spans="1:12" x14ac:dyDescent="0.25">
      <c r="A237">
        <v>270220</v>
      </c>
      <c r="B237" t="s">
        <v>19</v>
      </c>
      <c r="C237">
        <v>5</v>
      </c>
      <c r="D237">
        <v>5</v>
      </c>
      <c r="E237">
        <f>417-124</f>
        <v>293</v>
      </c>
      <c r="F237">
        <v>8</v>
      </c>
      <c r="G237">
        <v>7</v>
      </c>
      <c r="H237">
        <v>6</v>
      </c>
      <c r="I237">
        <v>6</v>
      </c>
      <c r="K237">
        <f t="shared" si="34"/>
        <v>1.1666666666666667</v>
      </c>
      <c r="L237">
        <f t="shared" si="35"/>
        <v>0.75</v>
      </c>
    </row>
    <row r="238" spans="1:12" x14ac:dyDescent="0.25">
      <c r="A238">
        <v>270220</v>
      </c>
      <c r="B238" t="s">
        <v>19</v>
      </c>
      <c r="C238">
        <v>6</v>
      </c>
      <c r="D238">
        <v>1</v>
      </c>
      <c r="E238">
        <f>264-143</f>
        <v>121</v>
      </c>
      <c r="F238">
        <v>11</v>
      </c>
      <c r="G238">
        <v>5</v>
      </c>
      <c r="H238">
        <v>9</v>
      </c>
      <c r="I238">
        <v>8</v>
      </c>
      <c r="K238">
        <f t="shared" si="34"/>
        <v>0.625</v>
      </c>
      <c r="L238">
        <f t="shared" si="35"/>
        <v>0.72727272727272729</v>
      </c>
    </row>
    <row r="239" spans="1:12" x14ac:dyDescent="0.25">
      <c r="A239">
        <v>270220</v>
      </c>
      <c r="B239" t="s">
        <v>19</v>
      </c>
      <c r="C239">
        <v>6</v>
      </c>
      <c r="D239">
        <v>2</v>
      </c>
      <c r="E239">
        <f>433-143</f>
        <v>290</v>
      </c>
      <c r="J239" t="s">
        <v>0</v>
      </c>
    </row>
    <row r="240" spans="1:12" x14ac:dyDescent="0.25">
      <c r="A240">
        <v>270220</v>
      </c>
      <c r="B240" t="s">
        <v>19</v>
      </c>
      <c r="C240">
        <v>6</v>
      </c>
      <c r="D240">
        <v>3</v>
      </c>
      <c r="E240">
        <f>533-143</f>
        <v>390</v>
      </c>
      <c r="F240">
        <v>8</v>
      </c>
      <c r="G240">
        <v>4</v>
      </c>
      <c r="H240">
        <v>5</v>
      </c>
      <c r="I240">
        <v>5</v>
      </c>
      <c r="K240">
        <f>G240/I240</f>
        <v>0.8</v>
      </c>
      <c r="L240">
        <f>I240/F240</f>
        <v>0.625</v>
      </c>
    </row>
    <row r="241" spans="1:12" x14ac:dyDescent="0.25">
      <c r="A241">
        <v>270220</v>
      </c>
      <c r="B241" t="s">
        <v>19</v>
      </c>
      <c r="C241">
        <v>6</v>
      </c>
      <c r="D241">
        <v>4</v>
      </c>
      <c r="E241">
        <f>535-143</f>
        <v>392</v>
      </c>
      <c r="J241" t="s">
        <v>0</v>
      </c>
    </row>
    <row r="242" spans="1:12" x14ac:dyDescent="0.25">
      <c r="A242">
        <v>270220</v>
      </c>
      <c r="B242" t="s">
        <v>19</v>
      </c>
      <c r="C242">
        <v>7</v>
      </c>
      <c r="D242">
        <v>1</v>
      </c>
      <c r="E242">
        <f>213-117</f>
        <v>96</v>
      </c>
      <c r="F242">
        <v>15</v>
      </c>
      <c r="G242">
        <v>5</v>
      </c>
      <c r="H242">
        <v>8</v>
      </c>
      <c r="I242">
        <v>5</v>
      </c>
      <c r="K242">
        <f t="shared" ref="K242:K258" si="36">G242/I242</f>
        <v>1</v>
      </c>
      <c r="L242">
        <f t="shared" ref="L242:L258" si="37">I242/F242</f>
        <v>0.33333333333333331</v>
      </c>
    </row>
    <row r="243" spans="1:12" x14ac:dyDescent="0.25">
      <c r="A243">
        <v>270220</v>
      </c>
      <c r="B243" t="s">
        <v>19</v>
      </c>
      <c r="C243">
        <v>7</v>
      </c>
      <c r="D243">
        <v>2</v>
      </c>
      <c r="E243">
        <f>497-117</f>
        <v>380</v>
      </c>
      <c r="F243">
        <v>15</v>
      </c>
      <c r="G243">
        <v>9</v>
      </c>
      <c r="H243">
        <v>9</v>
      </c>
      <c r="I243">
        <v>7</v>
      </c>
      <c r="K243">
        <f t="shared" si="36"/>
        <v>1.2857142857142858</v>
      </c>
      <c r="L243">
        <f t="shared" si="37"/>
        <v>0.46666666666666667</v>
      </c>
    </row>
    <row r="244" spans="1:12" x14ac:dyDescent="0.25">
      <c r="A244">
        <v>270220</v>
      </c>
      <c r="B244" t="s">
        <v>19</v>
      </c>
      <c r="C244">
        <v>7</v>
      </c>
      <c r="D244">
        <v>3</v>
      </c>
      <c r="E244">
        <f>545-117</f>
        <v>428</v>
      </c>
      <c r="F244">
        <v>13</v>
      </c>
      <c r="G244">
        <v>5</v>
      </c>
      <c r="H244">
        <v>7</v>
      </c>
      <c r="I244">
        <v>7</v>
      </c>
      <c r="K244">
        <f t="shared" si="36"/>
        <v>0.7142857142857143</v>
      </c>
      <c r="L244">
        <f t="shared" si="37"/>
        <v>0.53846153846153844</v>
      </c>
    </row>
    <row r="245" spans="1:12" x14ac:dyDescent="0.25">
      <c r="A245">
        <v>270220</v>
      </c>
      <c r="B245" t="s">
        <v>19</v>
      </c>
      <c r="C245">
        <v>7</v>
      </c>
      <c r="D245">
        <v>4</v>
      </c>
      <c r="E245">
        <f>591-117</f>
        <v>474</v>
      </c>
      <c r="F245">
        <v>13</v>
      </c>
      <c r="G245">
        <v>4</v>
      </c>
      <c r="H245">
        <v>10</v>
      </c>
      <c r="I245">
        <v>6</v>
      </c>
      <c r="K245">
        <f t="shared" si="36"/>
        <v>0.66666666666666663</v>
      </c>
      <c r="L245">
        <f t="shared" si="37"/>
        <v>0.46153846153846156</v>
      </c>
    </row>
    <row r="246" spans="1:12" x14ac:dyDescent="0.25">
      <c r="A246">
        <v>270220</v>
      </c>
      <c r="B246" t="s">
        <v>19</v>
      </c>
      <c r="C246">
        <v>8</v>
      </c>
      <c r="D246">
        <v>1</v>
      </c>
      <c r="E246">
        <f>402-176</f>
        <v>226</v>
      </c>
      <c r="F246">
        <v>15</v>
      </c>
      <c r="G246">
        <v>4</v>
      </c>
      <c r="H246">
        <v>7</v>
      </c>
      <c r="I246">
        <v>6</v>
      </c>
      <c r="K246">
        <f t="shared" si="36"/>
        <v>0.66666666666666663</v>
      </c>
      <c r="L246">
        <f t="shared" si="37"/>
        <v>0.4</v>
      </c>
    </row>
    <row r="247" spans="1:12" x14ac:dyDescent="0.25">
      <c r="A247">
        <v>270220</v>
      </c>
      <c r="B247" t="s">
        <v>19</v>
      </c>
      <c r="C247">
        <v>8</v>
      </c>
      <c r="D247">
        <v>2</v>
      </c>
      <c r="E247">
        <f>533-176</f>
        <v>357</v>
      </c>
      <c r="F247">
        <v>13</v>
      </c>
      <c r="G247">
        <v>5</v>
      </c>
      <c r="H247">
        <v>8</v>
      </c>
      <c r="I247">
        <v>5</v>
      </c>
      <c r="K247">
        <f t="shared" si="36"/>
        <v>1</v>
      </c>
      <c r="L247">
        <f t="shared" si="37"/>
        <v>0.38461538461538464</v>
      </c>
    </row>
    <row r="248" spans="1:12" x14ac:dyDescent="0.25">
      <c r="A248">
        <v>270220</v>
      </c>
      <c r="B248" t="s">
        <v>19</v>
      </c>
      <c r="C248">
        <v>8</v>
      </c>
      <c r="D248">
        <v>3</v>
      </c>
      <c r="E248">
        <f>573-176</f>
        <v>397</v>
      </c>
      <c r="F248">
        <v>13</v>
      </c>
      <c r="G248">
        <v>4</v>
      </c>
      <c r="H248">
        <v>12</v>
      </c>
      <c r="I248">
        <v>6</v>
      </c>
      <c r="K248">
        <f t="shared" si="36"/>
        <v>0.66666666666666663</v>
      </c>
      <c r="L248">
        <f t="shared" si="37"/>
        <v>0.46153846153846156</v>
      </c>
    </row>
    <row r="249" spans="1:12" x14ac:dyDescent="0.25">
      <c r="A249">
        <v>270220</v>
      </c>
      <c r="B249" t="s">
        <v>19</v>
      </c>
      <c r="C249">
        <v>8</v>
      </c>
      <c r="D249">
        <v>4</v>
      </c>
      <c r="E249">
        <f>577-176</f>
        <v>401</v>
      </c>
      <c r="F249">
        <v>13</v>
      </c>
      <c r="G249">
        <v>7</v>
      </c>
      <c r="H249">
        <v>7</v>
      </c>
      <c r="I249">
        <v>6</v>
      </c>
      <c r="K249">
        <f t="shared" si="36"/>
        <v>1.1666666666666667</v>
      </c>
      <c r="L249">
        <f t="shared" si="37"/>
        <v>0.46153846153846156</v>
      </c>
    </row>
    <row r="250" spans="1:12" x14ac:dyDescent="0.25">
      <c r="A250">
        <v>270220</v>
      </c>
      <c r="B250" t="s">
        <v>19</v>
      </c>
      <c r="C250">
        <v>8</v>
      </c>
      <c r="D250">
        <v>5</v>
      </c>
      <c r="E250">
        <f>612-176</f>
        <v>436</v>
      </c>
      <c r="F250">
        <v>9</v>
      </c>
      <c r="G250">
        <v>6</v>
      </c>
      <c r="H250">
        <v>7</v>
      </c>
      <c r="I250">
        <v>5</v>
      </c>
      <c r="K250">
        <f t="shared" si="36"/>
        <v>1.2</v>
      </c>
      <c r="L250">
        <f t="shared" si="37"/>
        <v>0.55555555555555558</v>
      </c>
    </row>
    <row r="251" spans="1:12" x14ac:dyDescent="0.25">
      <c r="A251">
        <v>270220</v>
      </c>
      <c r="B251" t="s">
        <v>19</v>
      </c>
      <c r="C251">
        <v>8</v>
      </c>
      <c r="D251">
        <v>6</v>
      </c>
      <c r="E251">
        <f>650-176</f>
        <v>474</v>
      </c>
      <c r="F251">
        <v>10</v>
      </c>
      <c r="G251">
        <v>5</v>
      </c>
      <c r="H251">
        <v>8</v>
      </c>
      <c r="I251">
        <v>4</v>
      </c>
      <c r="K251">
        <f t="shared" si="36"/>
        <v>1.25</v>
      </c>
      <c r="L251">
        <f t="shared" si="37"/>
        <v>0.4</v>
      </c>
    </row>
    <row r="252" spans="1:12" x14ac:dyDescent="0.25">
      <c r="A252">
        <v>270220</v>
      </c>
      <c r="B252" t="s">
        <v>19</v>
      </c>
      <c r="C252">
        <v>9</v>
      </c>
      <c r="D252">
        <v>1</v>
      </c>
      <c r="E252">
        <f>457-203</f>
        <v>254</v>
      </c>
      <c r="F252">
        <v>11</v>
      </c>
      <c r="G252">
        <v>5</v>
      </c>
      <c r="H252">
        <v>6</v>
      </c>
      <c r="I252">
        <v>4</v>
      </c>
      <c r="K252">
        <f t="shared" si="36"/>
        <v>1.25</v>
      </c>
      <c r="L252">
        <f t="shared" si="37"/>
        <v>0.36363636363636365</v>
      </c>
    </row>
    <row r="253" spans="1:12" x14ac:dyDescent="0.25">
      <c r="A253">
        <v>270220</v>
      </c>
      <c r="B253" t="s">
        <v>19</v>
      </c>
      <c r="C253">
        <v>9</v>
      </c>
      <c r="D253">
        <v>2</v>
      </c>
      <c r="E253">
        <f>491-203</f>
        <v>288</v>
      </c>
      <c r="F253">
        <v>9</v>
      </c>
      <c r="G253">
        <v>2</v>
      </c>
      <c r="H253">
        <v>5</v>
      </c>
      <c r="I253">
        <v>3</v>
      </c>
      <c r="K253">
        <f t="shared" si="36"/>
        <v>0.66666666666666663</v>
      </c>
      <c r="L253">
        <f t="shared" si="37"/>
        <v>0.33333333333333331</v>
      </c>
    </row>
    <row r="254" spans="1:12" x14ac:dyDescent="0.25">
      <c r="A254">
        <v>270220</v>
      </c>
      <c r="B254" t="s">
        <v>19</v>
      </c>
      <c r="C254">
        <v>9</v>
      </c>
      <c r="D254">
        <v>3</v>
      </c>
      <c r="E254">
        <f>552-203</f>
        <v>349</v>
      </c>
      <c r="F254">
        <v>13</v>
      </c>
      <c r="G254">
        <v>5</v>
      </c>
      <c r="H254">
        <v>4</v>
      </c>
      <c r="I254">
        <v>6</v>
      </c>
      <c r="K254">
        <f t="shared" si="36"/>
        <v>0.83333333333333337</v>
      </c>
      <c r="L254">
        <f t="shared" si="37"/>
        <v>0.46153846153846156</v>
      </c>
    </row>
    <row r="255" spans="1:12" x14ac:dyDescent="0.25">
      <c r="A255">
        <v>270220</v>
      </c>
      <c r="B255" t="s">
        <v>19</v>
      </c>
      <c r="C255">
        <v>9</v>
      </c>
      <c r="D255">
        <v>4</v>
      </c>
      <c r="E255">
        <f>555-203</f>
        <v>352</v>
      </c>
      <c r="F255">
        <v>14</v>
      </c>
      <c r="G255">
        <v>6</v>
      </c>
      <c r="H255">
        <v>5</v>
      </c>
      <c r="I255">
        <v>5</v>
      </c>
      <c r="K255">
        <f t="shared" si="36"/>
        <v>1.2</v>
      </c>
      <c r="L255">
        <f t="shared" si="37"/>
        <v>0.35714285714285715</v>
      </c>
    </row>
    <row r="256" spans="1:12" x14ac:dyDescent="0.25">
      <c r="A256">
        <v>270220</v>
      </c>
      <c r="B256" t="s">
        <v>19</v>
      </c>
      <c r="C256">
        <v>10</v>
      </c>
      <c r="D256">
        <v>1</v>
      </c>
      <c r="E256">
        <f>262-120</f>
        <v>142</v>
      </c>
      <c r="F256">
        <v>23</v>
      </c>
      <c r="G256">
        <v>6</v>
      </c>
      <c r="H256">
        <v>13</v>
      </c>
      <c r="I256">
        <v>8</v>
      </c>
      <c r="K256">
        <f t="shared" si="36"/>
        <v>0.75</v>
      </c>
      <c r="L256">
        <f t="shared" si="37"/>
        <v>0.34782608695652173</v>
      </c>
    </row>
    <row r="257" spans="1:13" x14ac:dyDescent="0.25">
      <c r="A257">
        <v>270220</v>
      </c>
      <c r="B257" t="s">
        <v>19</v>
      </c>
      <c r="C257">
        <v>10</v>
      </c>
      <c r="D257">
        <v>2</v>
      </c>
      <c r="E257">
        <f>318-120</f>
        <v>198</v>
      </c>
      <c r="F257">
        <v>21</v>
      </c>
      <c r="G257">
        <v>5</v>
      </c>
      <c r="H257">
        <v>10</v>
      </c>
      <c r="I257">
        <v>6</v>
      </c>
      <c r="K257">
        <f t="shared" si="36"/>
        <v>0.83333333333333337</v>
      </c>
      <c r="L257">
        <f t="shared" si="37"/>
        <v>0.2857142857142857</v>
      </c>
    </row>
    <row r="258" spans="1:13" x14ac:dyDescent="0.25">
      <c r="A258">
        <v>270220</v>
      </c>
      <c r="B258" t="s">
        <v>19</v>
      </c>
      <c r="C258">
        <v>10</v>
      </c>
      <c r="D258">
        <v>3</v>
      </c>
      <c r="E258">
        <f>500-120</f>
        <v>380</v>
      </c>
      <c r="F258">
        <v>15</v>
      </c>
      <c r="G258">
        <v>4</v>
      </c>
      <c r="H258">
        <v>3</v>
      </c>
      <c r="I258">
        <v>5</v>
      </c>
      <c r="K258">
        <f t="shared" si="36"/>
        <v>0.8</v>
      </c>
      <c r="L258">
        <f t="shared" si="37"/>
        <v>0.33333333333333331</v>
      </c>
    </row>
    <row r="259" spans="1:13" x14ac:dyDescent="0.25">
      <c r="A259">
        <v>270220</v>
      </c>
      <c r="B259" t="s">
        <v>19</v>
      </c>
      <c r="C259">
        <v>11</v>
      </c>
      <c r="D259">
        <v>1</v>
      </c>
      <c r="E259">
        <f>502-107</f>
        <v>395</v>
      </c>
      <c r="F259">
        <v>14</v>
      </c>
      <c r="J259" t="s">
        <v>0</v>
      </c>
    </row>
    <row r="260" spans="1:13" x14ac:dyDescent="0.25">
      <c r="A260">
        <v>270220</v>
      </c>
      <c r="B260" t="s">
        <v>19</v>
      </c>
      <c r="C260">
        <v>11</v>
      </c>
      <c r="D260">
        <v>2</v>
      </c>
      <c r="E260">
        <f>538-107</f>
        <v>431</v>
      </c>
      <c r="F260">
        <v>13</v>
      </c>
      <c r="G260">
        <v>5</v>
      </c>
      <c r="H260">
        <v>7</v>
      </c>
      <c r="I260">
        <v>5</v>
      </c>
      <c r="K260">
        <f>G260/I260</f>
        <v>1</v>
      </c>
      <c r="L260">
        <f>I260/F260</f>
        <v>0.38461538461538464</v>
      </c>
    </row>
    <row r="261" spans="1:13" x14ac:dyDescent="0.25">
      <c r="A261">
        <v>270220</v>
      </c>
      <c r="B261" t="s">
        <v>19</v>
      </c>
      <c r="C261">
        <v>11</v>
      </c>
      <c r="D261">
        <v>3</v>
      </c>
      <c r="E261">
        <f>552-107</f>
        <v>445</v>
      </c>
      <c r="F261">
        <v>12</v>
      </c>
      <c r="G261">
        <v>3</v>
      </c>
      <c r="H261">
        <v>5</v>
      </c>
      <c r="I261">
        <v>4</v>
      </c>
      <c r="K261">
        <f>G261/I261</f>
        <v>0.75</v>
      </c>
      <c r="L261">
        <f>I261/F261</f>
        <v>0.33333333333333331</v>
      </c>
    </row>
    <row r="262" spans="1:13" x14ac:dyDescent="0.25">
      <c r="A262">
        <v>270220</v>
      </c>
      <c r="B262" t="s">
        <v>19</v>
      </c>
      <c r="C262">
        <v>11</v>
      </c>
      <c r="D262">
        <v>4</v>
      </c>
      <c r="E262">
        <f>580-107</f>
        <v>473</v>
      </c>
      <c r="F262">
        <v>13</v>
      </c>
      <c r="G262">
        <v>5</v>
      </c>
      <c r="H262">
        <v>10</v>
      </c>
      <c r="I262">
        <v>7</v>
      </c>
      <c r="K262">
        <f>G262/I262</f>
        <v>0.7142857142857143</v>
      </c>
      <c r="L262">
        <f>I262/F262</f>
        <v>0.53846153846153844</v>
      </c>
    </row>
    <row r="263" spans="1:13" x14ac:dyDescent="0.25">
      <c r="A263">
        <v>270220</v>
      </c>
      <c r="B263" t="s">
        <v>19</v>
      </c>
      <c r="C263">
        <v>12</v>
      </c>
      <c r="D263">
        <v>1</v>
      </c>
      <c r="E263">
        <f>388-180</f>
        <v>208</v>
      </c>
      <c r="F263">
        <v>17</v>
      </c>
      <c r="G263">
        <v>4</v>
      </c>
      <c r="H263">
        <v>8</v>
      </c>
      <c r="I263">
        <v>4</v>
      </c>
      <c r="K263">
        <f>G263/I263</f>
        <v>1</v>
      </c>
      <c r="L263">
        <f>I263/F263</f>
        <v>0.23529411764705882</v>
      </c>
    </row>
    <row r="264" spans="1:13" x14ac:dyDescent="0.25">
      <c r="A264">
        <v>270220</v>
      </c>
      <c r="B264" t="s">
        <v>19</v>
      </c>
      <c r="C264">
        <v>12</v>
      </c>
      <c r="D264">
        <v>2</v>
      </c>
      <c r="E264">
        <f>494-180</f>
        <v>314</v>
      </c>
      <c r="F264">
        <v>17</v>
      </c>
      <c r="G264">
        <v>8</v>
      </c>
      <c r="H264">
        <v>10</v>
      </c>
      <c r="I264">
        <v>9</v>
      </c>
      <c r="K264">
        <f>G264/I264</f>
        <v>0.88888888888888884</v>
      </c>
      <c r="L264">
        <f>I264/F264</f>
        <v>0.52941176470588236</v>
      </c>
    </row>
    <row r="265" spans="1:13" x14ac:dyDescent="0.25">
      <c r="A265">
        <v>270220</v>
      </c>
      <c r="B265" t="s">
        <v>19</v>
      </c>
      <c r="C265">
        <v>13</v>
      </c>
      <c r="D265">
        <v>1</v>
      </c>
      <c r="E265">
        <f>305-127</f>
        <v>178</v>
      </c>
      <c r="F265">
        <v>14</v>
      </c>
      <c r="M265" t="s">
        <v>15</v>
      </c>
    </row>
    <row r="266" spans="1:13" x14ac:dyDescent="0.25">
      <c r="A266">
        <v>270220</v>
      </c>
      <c r="B266" t="s">
        <v>19</v>
      </c>
      <c r="C266">
        <v>13</v>
      </c>
      <c r="D266">
        <v>2</v>
      </c>
      <c r="E266">
        <f>449-127</f>
        <v>322</v>
      </c>
      <c r="F266">
        <v>12</v>
      </c>
      <c r="G266">
        <v>6</v>
      </c>
      <c r="H266">
        <v>15</v>
      </c>
      <c r="I266">
        <v>5</v>
      </c>
      <c r="K266">
        <f t="shared" ref="K266:K271" si="38">G266/I266</f>
        <v>1.2</v>
      </c>
      <c r="L266">
        <f t="shared" ref="L266:L271" si="39">I266/F266</f>
        <v>0.41666666666666669</v>
      </c>
    </row>
    <row r="267" spans="1:13" x14ac:dyDescent="0.25">
      <c r="A267">
        <v>270220</v>
      </c>
      <c r="B267" t="s">
        <v>19</v>
      </c>
      <c r="C267">
        <v>13</v>
      </c>
      <c r="D267">
        <v>3</v>
      </c>
      <c r="E267">
        <f>515-127</f>
        <v>388</v>
      </c>
      <c r="F267">
        <v>13</v>
      </c>
      <c r="G267">
        <v>4</v>
      </c>
      <c r="H267">
        <v>5</v>
      </c>
      <c r="I267">
        <v>3</v>
      </c>
      <c r="K267">
        <f t="shared" si="38"/>
        <v>1.3333333333333333</v>
      </c>
      <c r="L267">
        <f t="shared" si="39"/>
        <v>0.23076923076923078</v>
      </c>
    </row>
    <row r="268" spans="1:13" x14ac:dyDescent="0.25">
      <c r="A268">
        <v>270220</v>
      </c>
      <c r="B268" t="s">
        <v>19</v>
      </c>
      <c r="C268">
        <v>13</v>
      </c>
      <c r="D268">
        <v>4</v>
      </c>
      <c r="E268">
        <f>567-127</f>
        <v>440</v>
      </c>
      <c r="F268">
        <v>12</v>
      </c>
      <c r="G268">
        <v>5</v>
      </c>
      <c r="H268">
        <v>7</v>
      </c>
      <c r="I268">
        <v>4</v>
      </c>
      <c r="K268">
        <f t="shared" si="38"/>
        <v>1.25</v>
      </c>
      <c r="L268">
        <f t="shared" si="39"/>
        <v>0.33333333333333331</v>
      </c>
    </row>
    <row r="269" spans="1:13" x14ac:dyDescent="0.25">
      <c r="A269">
        <v>270220</v>
      </c>
      <c r="B269" t="s">
        <v>19</v>
      </c>
      <c r="C269">
        <v>14</v>
      </c>
      <c r="D269">
        <v>1</v>
      </c>
      <c r="E269">
        <f>180-110</f>
        <v>70</v>
      </c>
      <c r="F269">
        <v>9</v>
      </c>
      <c r="G269">
        <v>5</v>
      </c>
      <c r="H269">
        <v>6</v>
      </c>
      <c r="I269">
        <v>4</v>
      </c>
      <c r="K269">
        <f t="shared" si="38"/>
        <v>1.25</v>
      </c>
      <c r="L269">
        <f t="shared" si="39"/>
        <v>0.44444444444444442</v>
      </c>
    </row>
    <row r="270" spans="1:13" x14ac:dyDescent="0.25">
      <c r="A270">
        <v>270220</v>
      </c>
      <c r="B270" t="s">
        <v>19</v>
      </c>
      <c r="C270">
        <v>14</v>
      </c>
      <c r="D270">
        <v>2</v>
      </c>
      <c r="E270">
        <f>224-110</f>
        <v>114</v>
      </c>
      <c r="F270">
        <v>9</v>
      </c>
      <c r="G270">
        <v>4</v>
      </c>
      <c r="H270">
        <v>7</v>
      </c>
      <c r="I270">
        <v>4</v>
      </c>
      <c r="K270">
        <f t="shared" si="38"/>
        <v>1</v>
      </c>
      <c r="L270">
        <f t="shared" si="39"/>
        <v>0.44444444444444442</v>
      </c>
    </row>
    <row r="271" spans="1:13" x14ac:dyDescent="0.25">
      <c r="A271">
        <v>270220</v>
      </c>
      <c r="B271" t="s">
        <v>19</v>
      </c>
      <c r="C271">
        <v>14</v>
      </c>
      <c r="D271">
        <v>3</v>
      </c>
      <c r="E271">
        <f>289-110</f>
        <v>179</v>
      </c>
      <c r="F271">
        <v>7</v>
      </c>
      <c r="G271">
        <v>2</v>
      </c>
      <c r="H271">
        <v>3</v>
      </c>
      <c r="I271">
        <v>3</v>
      </c>
      <c r="K271">
        <f t="shared" si="38"/>
        <v>0.66666666666666663</v>
      </c>
      <c r="L271">
        <f t="shared" si="39"/>
        <v>0.42857142857142855</v>
      </c>
    </row>
    <row r="272" spans="1:13" x14ac:dyDescent="0.25">
      <c r="A272">
        <v>270220</v>
      </c>
      <c r="B272" t="s">
        <v>19</v>
      </c>
      <c r="C272">
        <v>14</v>
      </c>
      <c r="D272">
        <v>4</v>
      </c>
      <c r="E272">
        <f>402-110</f>
        <v>292</v>
      </c>
      <c r="F272">
        <v>7</v>
      </c>
      <c r="J272" t="s">
        <v>0</v>
      </c>
    </row>
    <row r="273" spans="1:12" x14ac:dyDescent="0.25">
      <c r="A273">
        <v>270220</v>
      </c>
      <c r="B273" t="s">
        <v>19</v>
      </c>
      <c r="C273">
        <v>15</v>
      </c>
      <c r="D273">
        <v>1</v>
      </c>
      <c r="E273">
        <f>494-109</f>
        <v>385</v>
      </c>
      <c r="F273">
        <v>13</v>
      </c>
      <c r="G273">
        <v>5</v>
      </c>
      <c r="H273">
        <v>8</v>
      </c>
      <c r="I273">
        <v>8</v>
      </c>
      <c r="K273">
        <f t="shared" ref="K273:K285" si="40">G273/I273</f>
        <v>0.625</v>
      </c>
      <c r="L273">
        <f t="shared" ref="L273:L285" si="41">I273/F273</f>
        <v>0.61538461538461542</v>
      </c>
    </row>
    <row r="274" spans="1:12" x14ac:dyDescent="0.25">
      <c r="A274">
        <v>270220</v>
      </c>
      <c r="B274" t="s">
        <v>19</v>
      </c>
      <c r="C274">
        <v>16</v>
      </c>
      <c r="D274">
        <v>1</v>
      </c>
      <c r="E274">
        <f>198-110</f>
        <v>88</v>
      </c>
      <c r="F274">
        <v>11</v>
      </c>
      <c r="G274">
        <v>3</v>
      </c>
      <c r="H274">
        <v>9</v>
      </c>
      <c r="I274">
        <v>5</v>
      </c>
      <c r="K274">
        <f t="shared" si="40"/>
        <v>0.6</v>
      </c>
      <c r="L274">
        <f t="shared" si="41"/>
        <v>0.45454545454545453</v>
      </c>
    </row>
    <row r="275" spans="1:12" x14ac:dyDescent="0.25">
      <c r="A275">
        <v>270220</v>
      </c>
      <c r="B275" t="s">
        <v>19</v>
      </c>
      <c r="C275">
        <v>16</v>
      </c>
      <c r="D275">
        <v>2</v>
      </c>
      <c r="E275">
        <f>391-110</f>
        <v>281</v>
      </c>
      <c r="F275">
        <v>11</v>
      </c>
      <c r="G275">
        <v>6</v>
      </c>
      <c r="H275">
        <v>7</v>
      </c>
      <c r="I275">
        <v>7</v>
      </c>
      <c r="K275">
        <f t="shared" si="40"/>
        <v>0.8571428571428571</v>
      </c>
      <c r="L275">
        <f t="shared" si="41"/>
        <v>0.63636363636363635</v>
      </c>
    </row>
    <row r="276" spans="1:12" x14ac:dyDescent="0.25">
      <c r="A276">
        <v>270220</v>
      </c>
      <c r="B276" t="s">
        <v>19</v>
      </c>
      <c r="C276">
        <v>16</v>
      </c>
      <c r="D276">
        <v>3</v>
      </c>
      <c r="E276">
        <f>404-110</f>
        <v>294</v>
      </c>
      <c r="F276">
        <v>11</v>
      </c>
      <c r="G276">
        <v>4</v>
      </c>
      <c r="H276">
        <v>5</v>
      </c>
      <c r="I276">
        <v>4</v>
      </c>
      <c r="K276">
        <f t="shared" si="40"/>
        <v>1</v>
      </c>
      <c r="L276">
        <f t="shared" si="41"/>
        <v>0.36363636363636365</v>
      </c>
    </row>
    <row r="277" spans="1:12" x14ac:dyDescent="0.25">
      <c r="A277">
        <v>270220</v>
      </c>
      <c r="B277" t="s">
        <v>19</v>
      </c>
      <c r="C277">
        <v>16</v>
      </c>
      <c r="D277">
        <v>4</v>
      </c>
      <c r="E277">
        <f>473-110</f>
        <v>363</v>
      </c>
      <c r="F277">
        <v>8</v>
      </c>
      <c r="G277">
        <v>6</v>
      </c>
      <c r="H277">
        <v>5</v>
      </c>
      <c r="I277">
        <v>5</v>
      </c>
      <c r="K277">
        <f t="shared" si="40"/>
        <v>1.2</v>
      </c>
      <c r="L277">
        <f t="shared" si="41"/>
        <v>0.625</v>
      </c>
    </row>
    <row r="278" spans="1:12" x14ac:dyDescent="0.25">
      <c r="A278">
        <v>270220</v>
      </c>
      <c r="B278" t="s">
        <v>19</v>
      </c>
      <c r="C278">
        <v>16</v>
      </c>
      <c r="D278">
        <v>5</v>
      </c>
      <c r="E278">
        <f>491-110</f>
        <v>381</v>
      </c>
      <c r="F278">
        <v>9</v>
      </c>
      <c r="G278">
        <v>3</v>
      </c>
      <c r="H278">
        <v>6</v>
      </c>
      <c r="I278">
        <v>4</v>
      </c>
      <c r="K278">
        <f t="shared" si="40"/>
        <v>0.75</v>
      </c>
      <c r="L278">
        <f t="shared" si="41"/>
        <v>0.44444444444444442</v>
      </c>
    </row>
    <row r="279" spans="1:12" x14ac:dyDescent="0.25">
      <c r="A279">
        <v>270220</v>
      </c>
      <c r="B279" t="s">
        <v>19</v>
      </c>
      <c r="C279">
        <v>16</v>
      </c>
      <c r="D279">
        <v>6</v>
      </c>
      <c r="E279">
        <f>513-110</f>
        <v>403</v>
      </c>
      <c r="F279">
        <v>7</v>
      </c>
      <c r="G279">
        <v>3</v>
      </c>
      <c r="H279">
        <v>3</v>
      </c>
      <c r="I279">
        <v>3</v>
      </c>
      <c r="K279">
        <f t="shared" si="40"/>
        <v>1</v>
      </c>
      <c r="L279">
        <f t="shared" si="41"/>
        <v>0.42857142857142855</v>
      </c>
    </row>
    <row r="280" spans="1:12" x14ac:dyDescent="0.25">
      <c r="A280">
        <v>270220</v>
      </c>
      <c r="B280" t="s">
        <v>19</v>
      </c>
      <c r="C280">
        <v>16</v>
      </c>
      <c r="D280">
        <v>7</v>
      </c>
      <c r="E280">
        <f>601-110</f>
        <v>491</v>
      </c>
      <c r="F280">
        <v>8</v>
      </c>
      <c r="G280">
        <v>5</v>
      </c>
      <c r="H280">
        <v>4</v>
      </c>
      <c r="I280">
        <v>5</v>
      </c>
      <c r="K280">
        <f t="shared" si="40"/>
        <v>1</v>
      </c>
      <c r="L280">
        <f t="shared" si="41"/>
        <v>0.625</v>
      </c>
    </row>
    <row r="281" spans="1:12" x14ac:dyDescent="0.25">
      <c r="A281">
        <v>270220</v>
      </c>
      <c r="B281" t="s">
        <v>19</v>
      </c>
      <c r="C281">
        <v>16</v>
      </c>
      <c r="D281">
        <v>8</v>
      </c>
      <c r="E281">
        <f>604-110</f>
        <v>494</v>
      </c>
      <c r="F281">
        <v>8</v>
      </c>
      <c r="G281">
        <v>6</v>
      </c>
      <c r="H281">
        <v>6</v>
      </c>
      <c r="I281">
        <v>5</v>
      </c>
      <c r="K281">
        <f t="shared" si="40"/>
        <v>1.2</v>
      </c>
      <c r="L281">
        <f t="shared" si="41"/>
        <v>0.625</v>
      </c>
    </row>
    <row r="282" spans="1:12" x14ac:dyDescent="0.25">
      <c r="A282">
        <v>270220</v>
      </c>
      <c r="B282" t="s">
        <v>19</v>
      </c>
      <c r="C282">
        <v>17</v>
      </c>
      <c r="D282">
        <v>1</v>
      </c>
      <c r="E282">
        <f>152-111</f>
        <v>41</v>
      </c>
      <c r="F282">
        <v>8</v>
      </c>
      <c r="G282">
        <v>3</v>
      </c>
      <c r="H282">
        <v>6</v>
      </c>
      <c r="I282">
        <v>4</v>
      </c>
      <c r="K282">
        <f t="shared" si="40"/>
        <v>0.75</v>
      </c>
      <c r="L282">
        <f t="shared" si="41"/>
        <v>0.5</v>
      </c>
    </row>
    <row r="283" spans="1:12" x14ac:dyDescent="0.25">
      <c r="A283">
        <v>270220</v>
      </c>
      <c r="B283" t="s">
        <v>19</v>
      </c>
      <c r="C283">
        <v>17</v>
      </c>
      <c r="D283">
        <v>2</v>
      </c>
      <c r="E283">
        <f>223-111</f>
        <v>112</v>
      </c>
      <c r="F283">
        <v>8</v>
      </c>
      <c r="G283">
        <v>4</v>
      </c>
      <c r="H283">
        <v>4</v>
      </c>
      <c r="I283">
        <v>5</v>
      </c>
      <c r="K283">
        <f t="shared" si="40"/>
        <v>0.8</v>
      </c>
      <c r="L283">
        <f t="shared" si="41"/>
        <v>0.625</v>
      </c>
    </row>
    <row r="284" spans="1:12" x14ac:dyDescent="0.25">
      <c r="A284">
        <v>270220</v>
      </c>
      <c r="B284" t="s">
        <v>19</v>
      </c>
      <c r="C284">
        <v>17</v>
      </c>
      <c r="D284">
        <v>3</v>
      </c>
      <c r="E284">
        <f>229-111</f>
        <v>118</v>
      </c>
      <c r="F284">
        <v>9</v>
      </c>
      <c r="G284">
        <v>3</v>
      </c>
      <c r="H284">
        <v>5</v>
      </c>
      <c r="I284">
        <v>4</v>
      </c>
      <c r="K284">
        <f t="shared" si="40"/>
        <v>0.75</v>
      </c>
      <c r="L284">
        <f t="shared" si="41"/>
        <v>0.44444444444444442</v>
      </c>
    </row>
    <row r="285" spans="1:12" x14ac:dyDescent="0.25">
      <c r="A285">
        <v>270220</v>
      </c>
      <c r="B285" t="s">
        <v>19</v>
      </c>
      <c r="C285">
        <v>17</v>
      </c>
      <c r="D285">
        <v>4</v>
      </c>
      <c r="E285">
        <f>284-111</f>
        <v>173</v>
      </c>
      <c r="F285">
        <v>9</v>
      </c>
      <c r="G285">
        <v>5</v>
      </c>
      <c r="H285">
        <v>5</v>
      </c>
      <c r="I285">
        <v>4</v>
      </c>
      <c r="K285">
        <f t="shared" si="40"/>
        <v>1.25</v>
      </c>
      <c r="L285">
        <f t="shared" si="41"/>
        <v>0.44444444444444442</v>
      </c>
    </row>
    <row r="286" spans="1:12" x14ac:dyDescent="0.25">
      <c r="A286">
        <v>270220</v>
      </c>
      <c r="B286" t="s">
        <v>19</v>
      </c>
      <c r="C286">
        <v>17</v>
      </c>
      <c r="D286">
        <v>4</v>
      </c>
      <c r="E286">
        <f>346-111</f>
        <v>235</v>
      </c>
      <c r="F286">
        <v>9</v>
      </c>
      <c r="J286" t="s">
        <v>0</v>
      </c>
    </row>
    <row r="287" spans="1:12" x14ac:dyDescent="0.25">
      <c r="A287">
        <v>270220</v>
      </c>
      <c r="B287" t="s">
        <v>19</v>
      </c>
      <c r="C287">
        <v>17</v>
      </c>
      <c r="D287">
        <v>4</v>
      </c>
      <c r="E287">
        <f>366-111</f>
        <v>255</v>
      </c>
      <c r="F287">
        <v>7</v>
      </c>
      <c r="G287">
        <v>5</v>
      </c>
      <c r="H287">
        <v>5</v>
      </c>
      <c r="I287">
        <v>4</v>
      </c>
      <c r="K287">
        <f>G287/I287</f>
        <v>1.25</v>
      </c>
      <c r="L287">
        <f>I287/F287</f>
        <v>0.5714285714285714</v>
      </c>
    </row>
    <row r="288" spans="1:12" x14ac:dyDescent="0.25">
      <c r="A288">
        <v>280818</v>
      </c>
      <c r="B288" t="s">
        <v>19</v>
      </c>
      <c r="C288">
        <v>1</v>
      </c>
      <c r="D288">
        <v>1</v>
      </c>
      <c r="E288">
        <f>2*37</f>
        <v>74</v>
      </c>
      <c r="F288">
        <v>16.2</v>
      </c>
      <c r="G288">
        <v>2.6</v>
      </c>
      <c r="H288">
        <v>6.8</v>
      </c>
      <c r="I288">
        <v>3.8</v>
      </c>
      <c r="K288">
        <f t="shared" ref="K288:K290" si="42">G288/I288</f>
        <v>0.68421052631578949</v>
      </c>
      <c r="L288">
        <f t="shared" ref="L288:L290" si="43">I288/F288</f>
        <v>0.23456790123456789</v>
      </c>
    </row>
    <row r="289" spans="1:12" x14ac:dyDescent="0.25">
      <c r="A289">
        <v>280818</v>
      </c>
      <c r="B289" t="s">
        <v>19</v>
      </c>
      <c r="C289">
        <v>1</v>
      </c>
      <c r="D289">
        <v>2</v>
      </c>
      <c r="E289">
        <f>54*2</f>
        <v>108</v>
      </c>
      <c r="F289">
        <v>14</v>
      </c>
      <c r="G289">
        <v>6.6</v>
      </c>
      <c r="H289">
        <v>13.6</v>
      </c>
      <c r="I289">
        <v>7.8</v>
      </c>
      <c r="K289">
        <f t="shared" si="42"/>
        <v>0.84615384615384615</v>
      </c>
      <c r="L289">
        <f t="shared" si="43"/>
        <v>0.55714285714285716</v>
      </c>
    </row>
    <row r="290" spans="1:12" x14ac:dyDescent="0.25">
      <c r="A290">
        <v>280818</v>
      </c>
      <c r="B290" t="s">
        <v>19</v>
      </c>
      <c r="C290">
        <v>1</v>
      </c>
      <c r="D290">
        <v>3</v>
      </c>
      <c r="E290">
        <f>226*2</f>
        <v>452</v>
      </c>
      <c r="F290">
        <v>15.6</v>
      </c>
      <c r="G290">
        <v>6.2</v>
      </c>
      <c r="H290">
        <v>9.6</v>
      </c>
      <c r="I290">
        <v>7</v>
      </c>
      <c r="K290">
        <f t="shared" si="42"/>
        <v>0.88571428571428579</v>
      </c>
      <c r="L290">
        <f t="shared" si="43"/>
        <v>0.44871794871794873</v>
      </c>
    </row>
    <row r="291" spans="1:12" x14ac:dyDescent="0.25">
      <c r="A291">
        <v>280818</v>
      </c>
      <c r="B291" t="s">
        <v>19</v>
      </c>
      <c r="C291">
        <v>2</v>
      </c>
      <c r="D291">
        <v>1</v>
      </c>
      <c r="E291">
        <f>78*2</f>
        <v>156</v>
      </c>
      <c r="F291">
        <v>11.6</v>
      </c>
      <c r="G291">
        <v>5.2</v>
      </c>
      <c r="H291">
        <v>7.7</v>
      </c>
      <c r="I291">
        <v>5.2</v>
      </c>
      <c r="K291">
        <f t="shared" ref="K291:K292" si="44">G291/I291</f>
        <v>1</v>
      </c>
      <c r="L291">
        <f t="shared" ref="L291:L292" si="45">I291/F291</f>
        <v>0.44827586206896552</v>
      </c>
    </row>
    <row r="292" spans="1:12" x14ac:dyDescent="0.25">
      <c r="A292">
        <v>280818</v>
      </c>
      <c r="B292" t="s">
        <v>19</v>
      </c>
      <c r="C292">
        <v>2</v>
      </c>
      <c r="D292">
        <v>2</v>
      </c>
      <c r="E292">
        <f>186*2</f>
        <v>372</v>
      </c>
      <c r="F292">
        <v>9.5</v>
      </c>
      <c r="G292">
        <v>4.5</v>
      </c>
      <c r="H292">
        <v>4.5999999999999996</v>
      </c>
      <c r="I292">
        <v>5.7</v>
      </c>
      <c r="K292">
        <f t="shared" si="44"/>
        <v>0.78947368421052633</v>
      </c>
      <c r="L292">
        <f t="shared" si="45"/>
        <v>0.6</v>
      </c>
    </row>
    <row r="293" spans="1:12" x14ac:dyDescent="0.25">
      <c r="A293">
        <v>280818</v>
      </c>
      <c r="B293" t="s">
        <v>19</v>
      </c>
      <c r="C293">
        <v>3</v>
      </c>
      <c r="D293">
        <v>1</v>
      </c>
      <c r="E293">
        <f>16*2</f>
        <v>32</v>
      </c>
      <c r="F293">
        <v>7.6</v>
      </c>
      <c r="G293">
        <v>2.8</v>
      </c>
      <c r="H293">
        <v>3.6</v>
      </c>
      <c r="I293">
        <v>2.6</v>
      </c>
      <c r="K293">
        <f t="shared" ref="K293:K297" si="46">G293/I293</f>
        <v>1.0769230769230769</v>
      </c>
      <c r="L293">
        <f t="shared" ref="L293:L297" si="47">I293/F293</f>
        <v>0.34210526315789475</v>
      </c>
    </row>
    <row r="294" spans="1:12" x14ac:dyDescent="0.25">
      <c r="A294">
        <v>280818</v>
      </c>
      <c r="B294" t="s">
        <v>19</v>
      </c>
      <c r="C294">
        <v>3</v>
      </c>
      <c r="D294">
        <v>2</v>
      </c>
      <c r="E294">
        <f>94*2</f>
        <v>188</v>
      </c>
      <c r="F294">
        <v>8</v>
      </c>
      <c r="G294">
        <v>6.2</v>
      </c>
      <c r="H294">
        <v>5.9</v>
      </c>
      <c r="I294">
        <v>5.2</v>
      </c>
      <c r="K294">
        <f t="shared" si="46"/>
        <v>1.1923076923076923</v>
      </c>
      <c r="L294">
        <f t="shared" si="47"/>
        <v>0.65</v>
      </c>
    </row>
    <row r="295" spans="1:12" x14ac:dyDescent="0.25">
      <c r="A295">
        <v>280818</v>
      </c>
      <c r="B295" t="s">
        <v>19</v>
      </c>
      <c r="C295">
        <v>3</v>
      </c>
      <c r="D295">
        <v>3</v>
      </c>
      <c r="E295">
        <f>102*2</f>
        <v>204</v>
      </c>
      <c r="F295">
        <v>11</v>
      </c>
      <c r="G295">
        <v>5.0999999999999996</v>
      </c>
      <c r="H295">
        <v>5.5</v>
      </c>
      <c r="I295">
        <v>5.4</v>
      </c>
      <c r="K295">
        <f t="shared" si="46"/>
        <v>0.94444444444444431</v>
      </c>
      <c r="L295">
        <f t="shared" si="47"/>
        <v>0.49090909090909096</v>
      </c>
    </row>
    <row r="296" spans="1:12" x14ac:dyDescent="0.25">
      <c r="A296">
        <v>280818</v>
      </c>
      <c r="B296" t="s">
        <v>19</v>
      </c>
      <c r="C296">
        <v>3</v>
      </c>
      <c r="D296">
        <v>4</v>
      </c>
      <c r="E296">
        <f>134*2</f>
        <v>268</v>
      </c>
      <c r="F296">
        <v>5.7</v>
      </c>
      <c r="G296">
        <v>3.4</v>
      </c>
      <c r="H296">
        <v>3.4</v>
      </c>
      <c r="I296">
        <v>5.2</v>
      </c>
      <c r="K296">
        <f t="shared" si="46"/>
        <v>0.65384615384615385</v>
      </c>
      <c r="L296">
        <f t="shared" si="47"/>
        <v>0.91228070175438591</v>
      </c>
    </row>
    <row r="297" spans="1:12" x14ac:dyDescent="0.25">
      <c r="A297">
        <v>280818</v>
      </c>
      <c r="B297" t="s">
        <v>19</v>
      </c>
      <c r="C297">
        <v>3</v>
      </c>
      <c r="D297">
        <v>5</v>
      </c>
      <c r="E297">
        <f>155*2</f>
        <v>310</v>
      </c>
      <c r="F297">
        <v>5.8</v>
      </c>
      <c r="G297">
        <v>2.1</v>
      </c>
      <c r="H297">
        <v>3.9</v>
      </c>
      <c r="I297">
        <v>3</v>
      </c>
      <c r="K297">
        <f t="shared" si="46"/>
        <v>0.70000000000000007</v>
      </c>
      <c r="L297">
        <f t="shared" si="47"/>
        <v>0.51724137931034486</v>
      </c>
    </row>
    <row r="298" spans="1:12" x14ac:dyDescent="0.25">
      <c r="A298">
        <v>280818</v>
      </c>
      <c r="B298" t="s">
        <v>19</v>
      </c>
      <c r="C298">
        <v>4</v>
      </c>
      <c r="D298">
        <v>1</v>
      </c>
      <c r="E298">
        <f>67*2</f>
        <v>134</v>
      </c>
      <c r="F298">
        <v>11</v>
      </c>
      <c r="G298">
        <v>3.4</v>
      </c>
      <c r="H298">
        <v>6</v>
      </c>
      <c r="I298">
        <v>5.5</v>
      </c>
      <c r="K298">
        <f t="shared" ref="K298:K339" si="48">G298/I298</f>
        <v>0.61818181818181817</v>
      </c>
      <c r="L298">
        <f t="shared" ref="L298:L339" si="49">I298/F298</f>
        <v>0.5</v>
      </c>
    </row>
    <row r="299" spans="1:12" x14ac:dyDescent="0.25">
      <c r="A299">
        <v>280818</v>
      </c>
      <c r="B299" t="s">
        <v>19</v>
      </c>
      <c r="C299">
        <v>4</v>
      </c>
      <c r="D299">
        <v>2</v>
      </c>
      <c r="E299">
        <f>148*2</f>
        <v>296</v>
      </c>
      <c r="F299">
        <v>11.3</v>
      </c>
      <c r="G299">
        <v>5.5</v>
      </c>
      <c r="H299">
        <v>8.1</v>
      </c>
      <c r="I299">
        <v>6</v>
      </c>
      <c r="K299">
        <f t="shared" si="48"/>
        <v>0.91666666666666663</v>
      </c>
      <c r="L299">
        <f t="shared" si="49"/>
        <v>0.53097345132743357</v>
      </c>
    </row>
    <row r="300" spans="1:12" x14ac:dyDescent="0.25">
      <c r="A300">
        <v>280818</v>
      </c>
      <c r="B300" t="s">
        <v>19</v>
      </c>
      <c r="C300">
        <v>4</v>
      </c>
      <c r="D300">
        <v>3</v>
      </c>
      <c r="E300">
        <f>200*2</f>
        <v>400</v>
      </c>
      <c r="F300">
        <v>5.5</v>
      </c>
      <c r="G300">
        <v>3.4</v>
      </c>
      <c r="H300">
        <v>4.0999999999999996</v>
      </c>
      <c r="I300">
        <v>3.2</v>
      </c>
      <c r="K300">
        <f t="shared" si="48"/>
        <v>1.0625</v>
      </c>
      <c r="L300">
        <f t="shared" si="49"/>
        <v>0.5818181818181819</v>
      </c>
    </row>
    <row r="301" spans="1:12" x14ac:dyDescent="0.25">
      <c r="A301">
        <v>280818</v>
      </c>
      <c r="B301" t="s">
        <v>19</v>
      </c>
      <c r="C301">
        <v>4</v>
      </c>
      <c r="D301">
        <v>4</v>
      </c>
      <c r="E301">
        <f>219*2</f>
        <v>438</v>
      </c>
      <c r="F301">
        <v>4.8</v>
      </c>
      <c r="G301">
        <v>2.9</v>
      </c>
      <c r="H301">
        <v>2</v>
      </c>
      <c r="I301">
        <v>2.5</v>
      </c>
      <c r="K301">
        <f t="shared" si="48"/>
        <v>1.1599999999999999</v>
      </c>
      <c r="L301">
        <f t="shared" si="49"/>
        <v>0.52083333333333337</v>
      </c>
    </row>
    <row r="302" spans="1:12" x14ac:dyDescent="0.25">
      <c r="A302">
        <v>280818</v>
      </c>
      <c r="B302" t="s">
        <v>19</v>
      </c>
      <c r="C302">
        <v>5</v>
      </c>
      <c r="D302">
        <v>1</v>
      </c>
      <c r="E302">
        <f>243*2</f>
        <v>486</v>
      </c>
      <c r="F302">
        <v>24</v>
      </c>
      <c r="G302">
        <v>8.9</v>
      </c>
      <c r="H302">
        <v>8.6999999999999993</v>
      </c>
      <c r="I302">
        <v>5.9</v>
      </c>
      <c r="K302">
        <f t="shared" si="48"/>
        <v>1.5084745762711864</v>
      </c>
      <c r="L302">
        <f t="shared" si="49"/>
        <v>0.24583333333333335</v>
      </c>
    </row>
    <row r="303" spans="1:12" x14ac:dyDescent="0.25">
      <c r="A303">
        <v>280818</v>
      </c>
      <c r="B303" t="s">
        <v>19</v>
      </c>
      <c r="C303">
        <v>5</v>
      </c>
      <c r="D303">
        <v>2</v>
      </c>
      <c r="E303">
        <f>249*2</f>
        <v>498</v>
      </c>
      <c r="F303">
        <v>20.2</v>
      </c>
      <c r="J303" t="s">
        <v>0</v>
      </c>
    </row>
    <row r="304" spans="1:12" x14ac:dyDescent="0.25">
      <c r="A304">
        <v>130918</v>
      </c>
      <c r="B304" t="s">
        <v>19</v>
      </c>
      <c r="C304">
        <v>1</v>
      </c>
      <c r="D304">
        <v>1</v>
      </c>
      <c r="E304">
        <f>76*2</f>
        <v>152</v>
      </c>
      <c r="F304">
        <v>16.8</v>
      </c>
      <c r="G304">
        <v>4.4000000000000004</v>
      </c>
      <c r="H304">
        <v>9.4</v>
      </c>
      <c r="I304">
        <f>(5.3+6.3)/2</f>
        <v>5.8</v>
      </c>
      <c r="K304">
        <f t="shared" si="48"/>
        <v>0.75862068965517249</v>
      </c>
      <c r="L304">
        <f t="shared" si="49"/>
        <v>0.34523809523809523</v>
      </c>
    </row>
    <row r="305" spans="1:12" x14ac:dyDescent="0.25">
      <c r="A305">
        <v>130918</v>
      </c>
      <c r="B305" t="s">
        <v>19</v>
      </c>
      <c r="C305">
        <v>1</v>
      </c>
      <c r="D305">
        <v>2</v>
      </c>
      <c r="E305">
        <f>142*2</f>
        <v>284</v>
      </c>
      <c r="F305">
        <v>18.8</v>
      </c>
      <c r="G305">
        <v>6</v>
      </c>
      <c r="I305">
        <f>(3.8+5.4)/2</f>
        <v>4.5999999999999996</v>
      </c>
      <c r="K305">
        <f t="shared" si="48"/>
        <v>1.3043478260869565</v>
      </c>
      <c r="L305">
        <f t="shared" si="49"/>
        <v>0.24468085106382975</v>
      </c>
    </row>
    <row r="306" spans="1:12" x14ac:dyDescent="0.25">
      <c r="A306">
        <v>130918</v>
      </c>
      <c r="B306" t="s">
        <v>19</v>
      </c>
      <c r="C306">
        <v>1</v>
      </c>
      <c r="D306">
        <v>3</v>
      </c>
      <c r="E306">
        <f>188*2</f>
        <v>376</v>
      </c>
      <c r="F306">
        <v>22.1</v>
      </c>
      <c r="G306">
        <v>8.1999999999999993</v>
      </c>
      <c r="H306">
        <v>10.4</v>
      </c>
      <c r="I306">
        <v>10.4</v>
      </c>
      <c r="K306">
        <f t="shared" si="48"/>
        <v>0.78846153846153832</v>
      </c>
      <c r="L306">
        <f t="shared" si="49"/>
        <v>0.47058823529411764</v>
      </c>
    </row>
    <row r="307" spans="1:12" x14ac:dyDescent="0.25">
      <c r="A307">
        <v>130918</v>
      </c>
      <c r="B307" t="s">
        <v>19</v>
      </c>
      <c r="C307">
        <v>1</v>
      </c>
      <c r="D307">
        <v>4</v>
      </c>
      <c r="E307">
        <f>229*2</f>
        <v>458</v>
      </c>
      <c r="F307">
        <v>13.6</v>
      </c>
      <c r="G307">
        <v>6.3</v>
      </c>
      <c r="H307">
        <v>7.6</v>
      </c>
      <c r="I307">
        <v>5</v>
      </c>
      <c r="K307">
        <f t="shared" si="48"/>
        <v>1.26</v>
      </c>
      <c r="L307">
        <f t="shared" si="49"/>
        <v>0.36764705882352944</v>
      </c>
    </row>
    <row r="308" spans="1:12" x14ac:dyDescent="0.25">
      <c r="A308">
        <v>130918</v>
      </c>
      <c r="B308" t="s">
        <v>19</v>
      </c>
      <c r="C308">
        <v>2</v>
      </c>
      <c r="D308">
        <v>1</v>
      </c>
      <c r="E308">
        <f>4*2</f>
        <v>8</v>
      </c>
      <c r="F308">
        <v>16</v>
      </c>
      <c r="G308">
        <v>5</v>
      </c>
      <c r="H308">
        <v>10.1</v>
      </c>
      <c r="I308">
        <v>6.1</v>
      </c>
      <c r="K308">
        <f t="shared" si="48"/>
        <v>0.81967213114754101</v>
      </c>
      <c r="L308">
        <f t="shared" si="49"/>
        <v>0.38124999999999998</v>
      </c>
    </row>
    <row r="309" spans="1:12" x14ac:dyDescent="0.25">
      <c r="A309">
        <v>130918</v>
      </c>
      <c r="B309" t="s">
        <v>19</v>
      </c>
      <c r="C309">
        <v>2</v>
      </c>
      <c r="D309">
        <v>2</v>
      </c>
      <c r="E309">
        <f>111*2</f>
        <v>222</v>
      </c>
      <c r="F309">
        <v>20.2</v>
      </c>
      <c r="G309">
        <v>6.3</v>
      </c>
      <c r="H309">
        <v>11.3</v>
      </c>
      <c r="I309">
        <v>7.9</v>
      </c>
      <c r="K309">
        <f t="shared" si="48"/>
        <v>0.79746835443037967</v>
      </c>
      <c r="L309">
        <f t="shared" si="49"/>
        <v>0.3910891089108911</v>
      </c>
    </row>
    <row r="310" spans="1:12" x14ac:dyDescent="0.25">
      <c r="A310">
        <v>130918</v>
      </c>
      <c r="B310" t="s">
        <v>19</v>
      </c>
      <c r="C310">
        <v>2</v>
      </c>
      <c r="D310">
        <v>3</v>
      </c>
      <c r="E310">
        <f>174*2</f>
        <v>348</v>
      </c>
      <c r="F310">
        <v>20.9</v>
      </c>
      <c r="J310" t="s">
        <v>0</v>
      </c>
    </row>
    <row r="311" spans="1:12" x14ac:dyDescent="0.25">
      <c r="A311">
        <v>130918</v>
      </c>
      <c r="B311" t="s">
        <v>19</v>
      </c>
      <c r="C311">
        <v>3</v>
      </c>
      <c r="D311">
        <v>1</v>
      </c>
      <c r="E311">
        <f>30*2</f>
        <v>60</v>
      </c>
      <c r="F311">
        <v>18</v>
      </c>
      <c r="G311">
        <v>3.8</v>
      </c>
      <c r="H311">
        <v>6.2</v>
      </c>
      <c r="I311">
        <v>6.6</v>
      </c>
      <c r="K311">
        <f t="shared" si="48"/>
        <v>0.5757575757575758</v>
      </c>
      <c r="L311">
        <f t="shared" si="49"/>
        <v>0.36666666666666664</v>
      </c>
    </row>
    <row r="312" spans="1:12" x14ac:dyDescent="0.25">
      <c r="A312">
        <v>130918</v>
      </c>
      <c r="B312" t="s">
        <v>19</v>
      </c>
      <c r="C312">
        <v>3</v>
      </c>
      <c r="D312">
        <v>2</v>
      </c>
      <c r="E312">
        <f>47*2</f>
        <v>94</v>
      </c>
      <c r="F312">
        <v>19.3</v>
      </c>
      <c r="G312">
        <v>3.4</v>
      </c>
      <c r="H312">
        <v>4.0999999999999996</v>
      </c>
      <c r="I312">
        <v>4.8</v>
      </c>
      <c r="K312">
        <f t="shared" si="48"/>
        <v>0.70833333333333337</v>
      </c>
      <c r="L312">
        <f t="shared" si="49"/>
        <v>0.24870466321243523</v>
      </c>
    </row>
    <row r="313" spans="1:12" x14ac:dyDescent="0.25">
      <c r="A313">
        <v>130918</v>
      </c>
      <c r="B313" t="s">
        <v>19</v>
      </c>
      <c r="C313">
        <v>3</v>
      </c>
      <c r="D313">
        <v>3</v>
      </c>
      <c r="E313">
        <f>159*2</f>
        <v>318</v>
      </c>
      <c r="F313">
        <v>19.399999999999999</v>
      </c>
      <c r="J313" t="s">
        <v>0</v>
      </c>
    </row>
    <row r="314" spans="1:12" x14ac:dyDescent="0.25">
      <c r="A314">
        <v>130918</v>
      </c>
      <c r="B314" t="s">
        <v>19</v>
      </c>
      <c r="C314">
        <v>3</v>
      </c>
      <c r="D314">
        <v>4</v>
      </c>
      <c r="E314">
        <f>212*2</f>
        <v>424</v>
      </c>
      <c r="F314">
        <v>19.5</v>
      </c>
      <c r="G314">
        <v>8.1999999999999993</v>
      </c>
      <c r="H314">
        <v>9.8000000000000007</v>
      </c>
      <c r="I314">
        <v>8.1999999999999993</v>
      </c>
      <c r="K314">
        <f t="shared" si="48"/>
        <v>1</v>
      </c>
      <c r="L314">
        <f t="shared" si="49"/>
        <v>0.42051282051282046</v>
      </c>
    </row>
    <row r="315" spans="1:12" x14ac:dyDescent="0.25">
      <c r="A315">
        <v>130918</v>
      </c>
      <c r="B315" t="s">
        <v>19</v>
      </c>
      <c r="C315">
        <v>4</v>
      </c>
      <c r="D315">
        <v>1</v>
      </c>
      <c r="E315">
        <f>17*2</f>
        <v>34</v>
      </c>
      <c r="F315">
        <v>29.4</v>
      </c>
      <c r="G315">
        <v>7.1</v>
      </c>
      <c r="H315">
        <v>11.2</v>
      </c>
      <c r="I315">
        <v>10.1</v>
      </c>
      <c r="K315">
        <f t="shared" si="48"/>
        <v>0.70297029702970293</v>
      </c>
      <c r="L315">
        <f t="shared" si="49"/>
        <v>0.34353741496598639</v>
      </c>
    </row>
    <row r="316" spans="1:12" x14ac:dyDescent="0.25">
      <c r="A316">
        <v>130918</v>
      </c>
      <c r="B316" t="s">
        <v>19</v>
      </c>
      <c r="C316">
        <v>4</v>
      </c>
      <c r="D316">
        <v>2</v>
      </c>
      <c r="E316">
        <f>222*2</f>
        <v>444</v>
      </c>
      <c r="F316">
        <v>20.7</v>
      </c>
      <c r="G316">
        <v>7.6</v>
      </c>
      <c r="H316">
        <v>8.8000000000000007</v>
      </c>
      <c r="I316">
        <v>6.1</v>
      </c>
      <c r="K316">
        <f t="shared" si="48"/>
        <v>1.2459016393442623</v>
      </c>
      <c r="L316">
        <f t="shared" si="49"/>
        <v>0.29468599033816423</v>
      </c>
    </row>
    <row r="317" spans="1:12" x14ac:dyDescent="0.25">
      <c r="A317">
        <v>130918</v>
      </c>
      <c r="B317" t="s">
        <v>19</v>
      </c>
      <c r="C317">
        <v>4</v>
      </c>
      <c r="D317">
        <v>3</v>
      </c>
      <c r="E317">
        <f>261*2</f>
        <v>522</v>
      </c>
      <c r="F317">
        <v>19.7</v>
      </c>
      <c r="G317">
        <v>8.6</v>
      </c>
      <c r="H317">
        <v>12</v>
      </c>
      <c r="I317">
        <v>7.9</v>
      </c>
      <c r="K317">
        <f t="shared" si="48"/>
        <v>1.0886075949367087</v>
      </c>
      <c r="L317">
        <f t="shared" si="49"/>
        <v>0.40101522842639598</v>
      </c>
    </row>
    <row r="318" spans="1:12" x14ac:dyDescent="0.25">
      <c r="A318">
        <v>130918</v>
      </c>
      <c r="B318" t="s">
        <v>19</v>
      </c>
      <c r="C318">
        <v>4</v>
      </c>
      <c r="D318">
        <v>1</v>
      </c>
      <c r="E318">
        <f>185*2</f>
        <v>370</v>
      </c>
      <c r="F318">
        <v>13.5</v>
      </c>
      <c r="G318">
        <v>6.8</v>
      </c>
      <c r="H318">
        <v>9.3000000000000007</v>
      </c>
      <c r="I318">
        <v>6.1</v>
      </c>
      <c r="K318">
        <f t="shared" si="48"/>
        <v>1.1147540983606559</v>
      </c>
      <c r="L318">
        <f t="shared" si="49"/>
        <v>0.45185185185185184</v>
      </c>
    </row>
    <row r="319" spans="1:12" x14ac:dyDescent="0.25">
      <c r="A319">
        <v>130918</v>
      </c>
      <c r="B319" t="s">
        <v>19</v>
      </c>
      <c r="C319">
        <v>5</v>
      </c>
      <c r="D319">
        <v>1</v>
      </c>
      <c r="E319">
        <f>178*2</f>
        <v>356</v>
      </c>
      <c r="F319">
        <v>23.9</v>
      </c>
      <c r="J319" t="s">
        <v>0</v>
      </c>
    </row>
    <row r="320" spans="1:12" x14ac:dyDescent="0.25">
      <c r="A320">
        <v>130918</v>
      </c>
      <c r="B320" t="s">
        <v>19</v>
      </c>
      <c r="C320">
        <v>5</v>
      </c>
      <c r="D320">
        <v>2</v>
      </c>
      <c r="E320">
        <f>200*2</f>
        <v>400</v>
      </c>
      <c r="F320">
        <v>19.8</v>
      </c>
      <c r="G320">
        <v>6.3</v>
      </c>
      <c r="H320">
        <v>8.1999999999999993</v>
      </c>
      <c r="I320">
        <v>6</v>
      </c>
      <c r="K320">
        <f t="shared" si="48"/>
        <v>1.05</v>
      </c>
      <c r="L320">
        <f t="shared" si="49"/>
        <v>0.30303030303030304</v>
      </c>
    </row>
    <row r="321" spans="1:12" x14ac:dyDescent="0.25">
      <c r="A321">
        <v>130918</v>
      </c>
      <c r="B321" t="s">
        <v>19</v>
      </c>
      <c r="C321">
        <v>5</v>
      </c>
      <c r="D321">
        <v>3</v>
      </c>
      <c r="E321">
        <f>267*2</f>
        <v>534</v>
      </c>
      <c r="F321">
        <v>21.6</v>
      </c>
      <c r="G321">
        <v>10.9</v>
      </c>
      <c r="H321">
        <v>15.4</v>
      </c>
      <c r="I321">
        <v>11.5</v>
      </c>
      <c r="K321">
        <f t="shared" si="48"/>
        <v>0.94782608695652182</v>
      </c>
      <c r="L321">
        <f t="shared" si="49"/>
        <v>0.53240740740740733</v>
      </c>
    </row>
    <row r="322" spans="1:12" x14ac:dyDescent="0.25">
      <c r="A322">
        <v>130918</v>
      </c>
      <c r="B322" t="s">
        <v>19</v>
      </c>
      <c r="C322">
        <v>6</v>
      </c>
      <c r="D322">
        <v>1</v>
      </c>
      <c r="E322">
        <f>97*2</f>
        <v>194</v>
      </c>
      <c r="F322">
        <v>14.1</v>
      </c>
      <c r="G322">
        <v>4.3</v>
      </c>
      <c r="H322">
        <v>10</v>
      </c>
      <c r="I322">
        <v>5.6</v>
      </c>
      <c r="K322">
        <f t="shared" si="48"/>
        <v>0.7678571428571429</v>
      </c>
      <c r="L322">
        <f t="shared" si="49"/>
        <v>0.39716312056737585</v>
      </c>
    </row>
    <row r="323" spans="1:12" x14ac:dyDescent="0.25">
      <c r="A323">
        <v>130918</v>
      </c>
      <c r="B323" t="s">
        <v>19</v>
      </c>
      <c r="C323">
        <v>6</v>
      </c>
      <c r="D323">
        <v>2</v>
      </c>
      <c r="E323">
        <f>149*2</f>
        <v>298</v>
      </c>
      <c r="F323">
        <v>15.3</v>
      </c>
      <c r="G323">
        <v>6.3</v>
      </c>
      <c r="H323">
        <v>6.6</v>
      </c>
      <c r="I323">
        <v>5.0999999999999996</v>
      </c>
      <c r="K323">
        <f t="shared" si="48"/>
        <v>1.2352941176470589</v>
      </c>
      <c r="L323">
        <f t="shared" si="49"/>
        <v>0.33333333333333331</v>
      </c>
    </row>
    <row r="324" spans="1:12" x14ac:dyDescent="0.25">
      <c r="A324">
        <v>130918</v>
      </c>
      <c r="B324" t="s">
        <v>19</v>
      </c>
      <c r="C324">
        <v>7</v>
      </c>
      <c r="D324">
        <v>1</v>
      </c>
      <c r="E324">
        <f>180*2</f>
        <v>360</v>
      </c>
      <c r="F324">
        <v>15.7</v>
      </c>
      <c r="G324">
        <v>5</v>
      </c>
      <c r="H324">
        <v>9.3000000000000007</v>
      </c>
      <c r="I324">
        <v>6.5</v>
      </c>
      <c r="K324">
        <f t="shared" si="48"/>
        <v>0.76923076923076927</v>
      </c>
      <c r="L324">
        <f t="shared" si="49"/>
        <v>0.4140127388535032</v>
      </c>
    </row>
    <row r="325" spans="1:12" x14ac:dyDescent="0.25">
      <c r="A325">
        <v>130918</v>
      </c>
      <c r="B325" t="s">
        <v>19</v>
      </c>
      <c r="C325">
        <v>8</v>
      </c>
      <c r="D325">
        <v>1</v>
      </c>
      <c r="E325">
        <f>180*2</f>
        <v>360</v>
      </c>
      <c r="F325">
        <v>15.4</v>
      </c>
      <c r="G325">
        <v>4.2</v>
      </c>
      <c r="H325">
        <v>6.5</v>
      </c>
      <c r="I325">
        <v>5</v>
      </c>
      <c r="K325">
        <f t="shared" si="48"/>
        <v>0.84000000000000008</v>
      </c>
      <c r="L325">
        <f t="shared" si="49"/>
        <v>0.32467532467532467</v>
      </c>
    </row>
    <row r="326" spans="1:12" x14ac:dyDescent="0.25">
      <c r="A326">
        <v>130918</v>
      </c>
      <c r="B326" t="s">
        <v>19</v>
      </c>
      <c r="C326">
        <v>9</v>
      </c>
      <c r="D326">
        <v>1</v>
      </c>
      <c r="E326">
        <f>19*2</f>
        <v>38</v>
      </c>
      <c r="F326">
        <v>11.7</v>
      </c>
      <c r="G326">
        <v>2.7</v>
      </c>
      <c r="H326">
        <v>6.2</v>
      </c>
      <c r="I326">
        <v>3.7</v>
      </c>
      <c r="K326">
        <f t="shared" si="48"/>
        <v>0.72972972972972971</v>
      </c>
      <c r="L326">
        <f t="shared" si="49"/>
        <v>0.31623931623931628</v>
      </c>
    </row>
    <row r="327" spans="1:12" x14ac:dyDescent="0.25">
      <c r="A327">
        <v>130918</v>
      </c>
      <c r="B327" t="s">
        <v>19</v>
      </c>
      <c r="C327">
        <v>9</v>
      </c>
      <c r="D327">
        <v>2</v>
      </c>
      <c r="E327">
        <f>224*2</f>
        <v>448</v>
      </c>
      <c r="F327">
        <v>10.4</v>
      </c>
      <c r="G327">
        <v>4.5</v>
      </c>
      <c r="H327">
        <v>8.3000000000000007</v>
      </c>
      <c r="I327">
        <v>6.2</v>
      </c>
      <c r="K327">
        <f t="shared" si="48"/>
        <v>0.72580645161290325</v>
      </c>
      <c r="L327">
        <f t="shared" si="49"/>
        <v>0.59615384615384615</v>
      </c>
    </row>
    <row r="328" spans="1:12" x14ac:dyDescent="0.25">
      <c r="A328">
        <v>130918</v>
      </c>
      <c r="B328" t="s">
        <v>19</v>
      </c>
      <c r="C328">
        <v>10</v>
      </c>
      <c r="D328">
        <v>1</v>
      </c>
      <c r="E328">
        <f>30*2</f>
        <v>60</v>
      </c>
      <c r="F328">
        <v>8.8000000000000007</v>
      </c>
      <c r="G328">
        <v>3.9</v>
      </c>
      <c r="H328">
        <v>3.7</v>
      </c>
      <c r="I328">
        <v>3.8</v>
      </c>
      <c r="K328">
        <f t="shared" si="48"/>
        <v>1.0263157894736843</v>
      </c>
      <c r="L328">
        <f t="shared" si="49"/>
        <v>0.43181818181818177</v>
      </c>
    </row>
    <row r="329" spans="1:12" x14ac:dyDescent="0.25">
      <c r="A329">
        <v>130918</v>
      </c>
      <c r="B329" t="s">
        <v>19</v>
      </c>
      <c r="C329">
        <v>10</v>
      </c>
      <c r="D329">
        <v>2</v>
      </c>
      <c r="E329">
        <f>106*2</f>
        <v>212</v>
      </c>
      <c r="F329">
        <v>10.9</v>
      </c>
      <c r="G329">
        <v>2.5</v>
      </c>
      <c r="H329">
        <v>4.2</v>
      </c>
      <c r="I329">
        <v>3.7</v>
      </c>
      <c r="K329">
        <f t="shared" si="48"/>
        <v>0.67567567567567566</v>
      </c>
      <c r="L329">
        <f t="shared" si="49"/>
        <v>0.33944954128440369</v>
      </c>
    </row>
    <row r="330" spans="1:12" x14ac:dyDescent="0.25">
      <c r="A330">
        <v>130918</v>
      </c>
      <c r="B330" t="s">
        <v>19</v>
      </c>
      <c r="C330">
        <v>10</v>
      </c>
      <c r="D330">
        <v>3</v>
      </c>
      <c r="E330">
        <f>149*2</f>
        <v>298</v>
      </c>
      <c r="F330">
        <v>9.4</v>
      </c>
      <c r="G330">
        <v>6.1</v>
      </c>
      <c r="H330">
        <v>6.7</v>
      </c>
      <c r="I330">
        <v>5.6</v>
      </c>
      <c r="K330">
        <f t="shared" si="48"/>
        <v>1.0892857142857142</v>
      </c>
      <c r="L330">
        <f t="shared" si="49"/>
        <v>0.5957446808510638</v>
      </c>
    </row>
    <row r="331" spans="1:12" x14ac:dyDescent="0.25">
      <c r="A331">
        <v>130918</v>
      </c>
      <c r="B331" t="s">
        <v>19</v>
      </c>
      <c r="C331">
        <v>10</v>
      </c>
      <c r="D331">
        <v>4</v>
      </c>
      <c r="E331">
        <f>158*2</f>
        <v>316</v>
      </c>
      <c r="F331">
        <v>8.6999999999999993</v>
      </c>
      <c r="G331">
        <v>4.5999999999999996</v>
      </c>
      <c r="H331">
        <v>6</v>
      </c>
      <c r="I331">
        <v>5.2</v>
      </c>
      <c r="K331">
        <f t="shared" si="48"/>
        <v>0.88461538461538447</v>
      </c>
      <c r="L331">
        <f t="shared" si="49"/>
        <v>0.5977011494252874</v>
      </c>
    </row>
    <row r="332" spans="1:12" x14ac:dyDescent="0.25">
      <c r="A332">
        <v>130918</v>
      </c>
      <c r="B332" t="s">
        <v>19</v>
      </c>
      <c r="C332">
        <v>10</v>
      </c>
      <c r="D332">
        <v>5</v>
      </c>
      <c r="E332">
        <f>175*2</f>
        <v>350</v>
      </c>
      <c r="F332">
        <v>6</v>
      </c>
      <c r="G332">
        <v>3.7</v>
      </c>
      <c r="H332">
        <v>2.9</v>
      </c>
      <c r="I332">
        <v>2.8</v>
      </c>
      <c r="K332">
        <f t="shared" si="48"/>
        <v>1.3214285714285716</v>
      </c>
      <c r="L332">
        <f t="shared" si="49"/>
        <v>0.46666666666666662</v>
      </c>
    </row>
    <row r="333" spans="1:12" x14ac:dyDescent="0.25">
      <c r="A333">
        <v>130918</v>
      </c>
      <c r="B333" t="s">
        <v>19</v>
      </c>
      <c r="C333">
        <v>10</v>
      </c>
      <c r="D333">
        <v>6</v>
      </c>
      <c r="E333">
        <f>183*2</f>
        <v>366</v>
      </c>
      <c r="F333">
        <v>6</v>
      </c>
      <c r="G333">
        <v>4.2</v>
      </c>
      <c r="H333">
        <v>4.4000000000000004</v>
      </c>
      <c r="I333">
        <v>3.7</v>
      </c>
      <c r="K333">
        <f t="shared" si="48"/>
        <v>1.1351351351351351</v>
      </c>
      <c r="L333">
        <f t="shared" si="49"/>
        <v>0.6166666666666667</v>
      </c>
    </row>
    <row r="334" spans="1:12" x14ac:dyDescent="0.25">
      <c r="A334">
        <v>130918</v>
      </c>
      <c r="B334" t="s">
        <v>19</v>
      </c>
      <c r="C334">
        <v>10</v>
      </c>
      <c r="D334">
        <v>7</v>
      </c>
      <c r="E334">
        <f>191*2</f>
        <v>382</v>
      </c>
      <c r="F334">
        <v>6.9</v>
      </c>
      <c r="G334">
        <v>2.6</v>
      </c>
      <c r="H334">
        <v>2.2999999999999998</v>
      </c>
      <c r="I334">
        <v>3.1</v>
      </c>
      <c r="K334">
        <f t="shared" si="48"/>
        <v>0.83870967741935487</v>
      </c>
      <c r="L334">
        <f t="shared" si="49"/>
        <v>0.44927536231884058</v>
      </c>
    </row>
    <row r="335" spans="1:12" x14ac:dyDescent="0.25">
      <c r="A335">
        <v>130918</v>
      </c>
      <c r="B335" t="s">
        <v>19</v>
      </c>
      <c r="C335">
        <v>11</v>
      </c>
      <c r="D335">
        <v>1</v>
      </c>
      <c r="E335">
        <f>72*2</f>
        <v>144</v>
      </c>
      <c r="F335">
        <v>7.1</v>
      </c>
      <c r="G335">
        <v>2.9</v>
      </c>
      <c r="H335">
        <v>4.8</v>
      </c>
      <c r="I335">
        <v>3.3</v>
      </c>
      <c r="K335">
        <f t="shared" si="48"/>
        <v>0.87878787878787878</v>
      </c>
      <c r="L335">
        <f t="shared" si="49"/>
        <v>0.46478873239436619</v>
      </c>
    </row>
    <row r="336" spans="1:12" x14ac:dyDescent="0.25">
      <c r="A336">
        <v>130918</v>
      </c>
      <c r="B336" t="s">
        <v>19</v>
      </c>
      <c r="C336">
        <v>11</v>
      </c>
      <c r="D336">
        <v>2</v>
      </c>
      <c r="E336">
        <f>78*2</f>
        <v>156</v>
      </c>
      <c r="F336">
        <v>10.3</v>
      </c>
      <c r="G336">
        <v>7.3</v>
      </c>
      <c r="H336">
        <v>5.3</v>
      </c>
      <c r="I336">
        <v>4.9000000000000004</v>
      </c>
      <c r="K336">
        <f t="shared" si="48"/>
        <v>1.4897959183673468</v>
      </c>
      <c r="L336">
        <f t="shared" si="49"/>
        <v>0.47572815533980584</v>
      </c>
    </row>
    <row r="337" spans="1:12" x14ac:dyDescent="0.25">
      <c r="A337">
        <v>130918</v>
      </c>
      <c r="B337" t="s">
        <v>19</v>
      </c>
      <c r="C337">
        <v>11</v>
      </c>
      <c r="D337">
        <v>3</v>
      </c>
      <c r="E337">
        <f>98*2</f>
        <v>196</v>
      </c>
      <c r="F337">
        <v>5.2</v>
      </c>
      <c r="G337">
        <v>3.4</v>
      </c>
      <c r="H337">
        <v>3</v>
      </c>
      <c r="I337">
        <v>2.6</v>
      </c>
      <c r="K337">
        <f t="shared" si="48"/>
        <v>1.3076923076923077</v>
      </c>
      <c r="L337">
        <f t="shared" si="49"/>
        <v>0.5</v>
      </c>
    </row>
    <row r="338" spans="1:12" x14ac:dyDescent="0.25">
      <c r="A338">
        <v>130918</v>
      </c>
      <c r="B338" t="s">
        <v>19</v>
      </c>
      <c r="C338">
        <v>11</v>
      </c>
      <c r="D338">
        <v>4</v>
      </c>
      <c r="E338">
        <v>115</v>
      </c>
      <c r="F338">
        <v>7.4</v>
      </c>
      <c r="G338">
        <v>6.1</v>
      </c>
      <c r="H338">
        <v>5.7</v>
      </c>
      <c r="I338">
        <v>4.7</v>
      </c>
      <c r="K338">
        <f t="shared" si="48"/>
        <v>1.2978723404255319</v>
      </c>
      <c r="L338">
        <f t="shared" si="49"/>
        <v>0.63513513513513509</v>
      </c>
    </row>
    <row r="339" spans="1:12" x14ac:dyDescent="0.25">
      <c r="A339">
        <v>130918</v>
      </c>
      <c r="B339" t="s">
        <v>19</v>
      </c>
      <c r="C339">
        <v>11</v>
      </c>
      <c r="D339">
        <v>5</v>
      </c>
      <c r="E339">
        <f>155*2</f>
        <v>310</v>
      </c>
      <c r="F339">
        <v>5</v>
      </c>
      <c r="G339">
        <v>2.4</v>
      </c>
      <c r="H339">
        <v>3.6</v>
      </c>
      <c r="I339">
        <v>2.4</v>
      </c>
      <c r="K339">
        <f t="shared" si="48"/>
        <v>1</v>
      </c>
      <c r="L339">
        <f t="shared" si="49"/>
        <v>0.48</v>
      </c>
    </row>
    <row r="340" spans="1:12" x14ac:dyDescent="0.25">
      <c r="A340">
        <v>130918</v>
      </c>
      <c r="B340" t="s">
        <v>19</v>
      </c>
      <c r="C340">
        <v>11</v>
      </c>
      <c r="D340">
        <v>6</v>
      </c>
      <c r="E340">
        <f>160*2</f>
        <v>320</v>
      </c>
      <c r="F340">
        <v>5.4</v>
      </c>
      <c r="G340">
        <v>2.9</v>
      </c>
      <c r="H340">
        <v>3.8</v>
      </c>
      <c r="I340">
        <v>3.6</v>
      </c>
      <c r="K340">
        <f t="shared" ref="K340:K387" si="50">G340/I340</f>
        <v>0.80555555555555547</v>
      </c>
      <c r="L340">
        <f t="shared" ref="L340:L387" si="51">I340/F340</f>
        <v>0.66666666666666663</v>
      </c>
    </row>
    <row r="341" spans="1:12" x14ac:dyDescent="0.25">
      <c r="A341">
        <v>130918</v>
      </c>
      <c r="B341" t="s">
        <v>19</v>
      </c>
      <c r="C341">
        <v>12</v>
      </c>
      <c r="D341">
        <v>1</v>
      </c>
      <c r="E341">
        <f>7*2</f>
        <v>14</v>
      </c>
      <c r="F341">
        <v>17.600000000000001</v>
      </c>
      <c r="G341">
        <v>8.5</v>
      </c>
      <c r="H341">
        <v>6.3</v>
      </c>
      <c r="I341">
        <v>7.3</v>
      </c>
      <c r="K341">
        <f t="shared" si="50"/>
        <v>1.1643835616438356</v>
      </c>
      <c r="L341">
        <f t="shared" si="51"/>
        <v>0.41477272727272724</v>
      </c>
    </row>
    <row r="342" spans="1:12" x14ac:dyDescent="0.25">
      <c r="A342">
        <v>130918</v>
      </c>
      <c r="B342" t="s">
        <v>19</v>
      </c>
      <c r="C342">
        <v>12</v>
      </c>
      <c r="D342">
        <v>2</v>
      </c>
      <c r="E342">
        <f>134*2</f>
        <v>268</v>
      </c>
      <c r="F342">
        <v>16.100000000000001</v>
      </c>
      <c r="G342">
        <v>3.7</v>
      </c>
      <c r="H342">
        <v>6.1</v>
      </c>
      <c r="I342">
        <v>3.9</v>
      </c>
      <c r="K342">
        <f t="shared" si="50"/>
        <v>0.94871794871794879</v>
      </c>
      <c r="L342">
        <f t="shared" si="51"/>
        <v>0.24223602484472048</v>
      </c>
    </row>
    <row r="343" spans="1:12" x14ac:dyDescent="0.25">
      <c r="A343">
        <v>130918</v>
      </c>
      <c r="B343" t="s">
        <v>19</v>
      </c>
      <c r="C343">
        <v>12</v>
      </c>
      <c r="D343">
        <v>3</v>
      </c>
      <c r="E343">
        <f>205*2</f>
        <v>410</v>
      </c>
      <c r="F343">
        <v>14.7</v>
      </c>
      <c r="G343">
        <v>4</v>
      </c>
      <c r="H343">
        <v>7</v>
      </c>
      <c r="I343">
        <v>3.7</v>
      </c>
      <c r="K343">
        <f t="shared" si="50"/>
        <v>1.0810810810810809</v>
      </c>
      <c r="L343">
        <f t="shared" si="51"/>
        <v>0.25170068027210885</v>
      </c>
    </row>
    <row r="344" spans="1:12" x14ac:dyDescent="0.25">
      <c r="A344">
        <v>130918</v>
      </c>
      <c r="B344" t="s">
        <v>19</v>
      </c>
      <c r="C344">
        <v>12</v>
      </c>
      <c r="D344">
        <v>4</v>
      </c>
      <c r="E344">
        <f>235*2</f>
        <v>470</v>
      </c>
      <c r="F344">
        <v>11.2</v>
      </c>
      <c r="G344">
        <v>2.9</v>
      </c>
      <c r="H344">
        <v>5.9</v>
      </c>
      <c r="I344">
        <v>4.2</v>
      </c>
      <c r="K344">
        <f t="shared" si="50"/>
        <v>0.69047619047619047</v>
      </c>
      <c r="L344">
        <f t="shared" si="51"/>
        <v>0.37500000000000006</v>
      </c>
    </row>
    <row r="345" spans="1:12" x14ac:dyDescent="0.25">
      <c r="A345">
        <v>130918</v>
      </c>
      <c r="B345" t="s">
        <v>19</v>
      </c>
      <c r="C345">
        <v>13</v>
      </c>
      <c r="D345">
        <v>1</v>
      </c>
      <c r="E345">
        <f>27*2</f>
        <v>54</v>
      </c>
      <c r="F345">
        <v>5</v>
      </c>
      <c r="G345">
        <v>2.4</v>
      </c>
      <c r="H345">
        <v>3.2</v>
      </c>
      <c r="I345">
        <v>4.7</v>
      </c>
      <c r="K345">
        <f t="shared" si="50"/>
        <v>0.51063829787234039</v>
      </c>
      <c r="L345">
        <f t="shared" si="51"/>
        <v>0.94000000000000006</v>
      </c>
    </row>
    <row r="346" spans="1:12" x14ac:dyDescent="0.25">
      <c r="A346">
        <v>130918</v>
      </c>
      <c r="B346" t="s">
        <v>19</v>
      </c>
      <c r="C346">
        <v>13</v>
      </c>
      <c r="D346">
        <v>2</v>
      </c>
      <c r="E346">
        <f>30*2</f>
        <v>60</v>
      </c>
      <c r="F346">
        <v>5.7</v>
      </c>
      <c r="G346">
        <v>2.2999999999999998</v>
      </c>
      <c r="H346">
        <v>3.6</v>
      </c>
      <c r="I346">
        <v>3.8</v>
      </c>
      <c r="K346">
        <f t="shared" si="50"/>
        <v>0.60526315789473684</v>
      </c>
      <c r="L346">
        <f t="shared" si="51"/>
        <v>0.66666666666666663</v>
      </c>
    </row>
    <row r="347" spans="1:12" x14ac:dyDescent="0.25">
      <c r="A347">
        <v>130918</v>
      </c>
      <c r="B347" t="s">
        <v>19</v>
      </c>
      <c r="C347">
        <v>14</v>
      </c>
      <c r="D347">
        <v>1</v>
      </c>
      <c r="E347">
        <f>195*2</f>
        <v>390</v>
      </c>
      <c r="F347">
        <v>18.600000000000001</v>
      </c>
      <c r="J347" t="s">
        <v>0</v>
      </c>
    </row>
    <row r="348" spans="1:12" x14ac:dyDescent="0.25">
      <c r="A348">
        <v>130918</v>
      </c>
      <c r="B348" t="s">
        <v>19</v>
      </c>
      <c r="C348">
        <v>14</v>
      </c>
      <c r="D348">
        <v>2</v>
      </c>
      <c r="E348">
        <f>228*2</f>
        <v>456</v>
      </c>
      <c r="F348">
        <v>12.4</v>
      </c>
      <c r="G348">
        <v>3.3</v>
      </c>
      <c r="H348">
        <v>9.5</v>
      </c>
      <c r="I348">
        <v>4.5</v>
      </c>
      <c r="K348">
        <f t="shared" ref="K348:K371" si="52">G348/I348</f>
        <v>0.73333333333333328</v>
      </c>
      <c r="L348">
        <f t="shared" ref="L348:L371" si="53">I348/F348</f>
        <v>0.36290322580645162</v>
      </c>
    </row>
    <row r="349" spans="1:12" x14ac:dyDescent="0.25">
      <c r="A349">
        <v>130918</v>
      </c>
      <c r="B349" t="s">
        <v>19</v>
      </c>
      <c r="C349">
        <v>14</v>
      </c>
      <c r="D349">
        <v>3</v>
      </c>
      <c r="E349">
        <f>237*2</f>
        <v>474</v>
      </c>
      <c r="F349">
        <v>14.8</v>
      </c>
      <c r="G349">
        <v>4.8</v>
      </c>
      <c r="H349">
        <v>6.2</v>
      </c>
      <c r="I349">
        <v>5.4</v>
      </c>
      <c r="K349">
        <f t="shared" si="52"/>
        <v>0.88888888888888884</v>
      </c>
      <c r="L349">
        <f t="shared" si="53"/>
        <v>0.36486486486486486</v>
      </c>
    </row>
    <row r="350" spans="1:12" x14ac:dyDescent="0.25">
      <c r="A350">
        <v>130918</v>
      </c>
      <c r="B350" t="s">
        <v>19</v>
      </c>
      <c r="C350">
        <v>15</v>
      </c>
      <c r="D350">
        <v>1</v>
      </c>
      <c r="E350">
        <f>33*2</f>
        <v>66</v>
      </c>
      <c r="F350">
        <v>16.399999999999999</v>
      </c>
      <c r="J350" t="s">
        <v>0</v>
      </c>
    </row>
    <row r="351" spans="1:12" x14ac:dyDescent="0.25">
      <c r="A351">
        <v>130918</v>
      </c>
      <c r="B351" t="s">
        <v>19</v>
      </c>
      <c r="C351">
        <v>15</v>
      </c>
      <c r="D351">
        <v>2</v>
      </c>
      <c r="E351">
        <f>125*2</f>
        <v>250</v>
      </c>
      <c r="F351">
        <v>14.6</v>
      </c>
      <c r="G351">
        <v>5.7</v>
      </c>
      <c r="H351">
        <v>9</v>
      </c>
      <c r="I351">
        <v>6.6</v>
      </c>
      <c r="K351">
        <f t="shared" si="52"/>
        <v>0.86363636363636376</v>
      </c>
      <c r="L351">
        <f t="shared" si="53"/>
        <v>0.45205479452054792</v>
      </c>
    </row>
    <row r="352" spans="1:12" x14ac:dyDescent="0.25">
      <c r="A352">
        <v>130918</v>
      </c>
      <c r="B352" t="s">
        <v>19</v>
      </c>
      <c r="C352">
        <v>15</v>
      </c>
      <c r="D352">
        <v>3</v>
      </c>
      <c r="E352">
        <f>141*2</f>
        <v>282</v>
      </c>
      <c r="F352">
        <v>9.8000000000000007</v>
      </c>
      <c r="G352">
        <v>2.7</v>
      </c>
      <c r="H352">
        <v>7.5</v>
      </c>
      <c r="I352">
        <v>4.8</v>
      </c>
      <c r="K352">
        <f t="shared" si="52"/>
        <v>0.56250000000000011</v>
      </c>
      <c r="L352">
        <f t="shared" si="53"/>
        <v>0.48979591836734687</v>
      </c>
    </row>
    <row r="353" spans="1:12" x14ac:dyDescent="0.25">
      <c r="A353">
        <v>130918</v>
      </c>
      <c r="B353" t="s">
        <v>19</v>
      </c>
      <c r="C353">
        <v>15</v>
      </c>
      <c r="D353">
        <v>4</v>
      </c>
      <c r="E353">
        <f>200*2</f>
        <v>400</v>
      </c>
      <c r="F353">
        <v>8</v>
      </c>
      <c r="G353">
        <v>2.9</v>
      </c>
      <c r="H353">
        <v>2</v>
      </c>
      <c r="I353">
        <v>3</v>
      </c>
      <c r="K353">
        <f t="shared" si="52"/>
        <v>0.96666666666666667</v>
      </c>
      <c r="L353">
        <f t="shared" si="53"/>
        <v>0.375</v>
      </c>
    </row>
    <row r="354" spans="1:12" x14ac:dyDescent="0.25">
      <c r="A354">
        <v>130918</v>
      </c>
      <c r="B354" t="s">
        <v>19</v>
      </c>
      <c r="C354">
        <v>15</v>
      </c>
      <c r="D354">
        <v>5</v>
      </c>
      <c r="E354">
        <f>251*2</f>
        <v>502</v>
      </c>
      <c r="F354">
        <v>10.6</v>
      </c>
      <c r="G354">
        <v>5.2</v>
      </c>
      <c r="H354">
        <v>4.7</v>
      </c>
      <c r="I354">
        <v>4.8</v>
      </c>
      <c r="K354">
        <f t="shared" si="52"/>
        <v>1.0833333333333335</v>
      </c>
      <c r="L354">
        <f t="shared" si="53"/>
        <v>0.45283018867924529</v>
      </c>
    </row>
    <row r="355" spans="1:12" x14ac:dyDescent="0.25">
      <c r="A355">
        <v>140918</v>
      </c>
      <c r="B355" t="s">
        <v>19</v>
      </c>
      <c r="C355">
        <v>1</v>
      </c>
      <c r="D355">
        <v>1</v>
      </c>
      <c r="E355">
        <f>39*2</f>
        <v>78</v>
      </c>
      <c r="F355">
        <v>16.8</v>
      </c>
      <c r="G355">
        <v>4.7</v>
      </c>
      <c r="I355">
        <f>(5.2+7)/2</f>
        <v>6.1</v>
      </c>
      <c r="K355">
        <f t="shared" si="52"/>
        <v>0.7704918032786886</v>
      </c>
      <c r="L355">
        <f t="shared" si="53"/>
        <v>0.36309523809523808</v>
      </c>
    </row>
    <row r="356" spans="1:12" x14ac:dyDescent="0.25">
      <c r="A356">
        <v>140918</v>
      </c>
      <c r="B356" t="s">
        <v>19</v>
      </c>
      <c r="C356">
        <v>1</v>
      </c>
      <c r="D356">
        <v>2</v>
      </c>
      <c r="E356">
        <f>66*2</f>
        <v>132</v>
      </c>
      <c r="F356">
        <v>16</v>
      </c>
      <c r="G356">
        <v>7.8</v>
      </c>
      <c r="H356">
        <v>6.4</v>
      </c>
      <c r="I356">
        <v>6.9</v>
      </c>
      <c r="K356">
        <f t="shared" si="52"/>
        <v>1.1304347826086956</v>
      </c>
      <c r="L356">
        <f t="shared" si="53"/>
        <v>0.43125000000000002</v>
      </c>
    </row>
    <row r="357" spans="1:12" x14ac:dyDescent="0.25">
      <c r="A357">
        <v>140918</v>
      </c>
      <c r="B357" t="s">
        <v>19</v>
      </c>
      <c r="C357">
        <v>1</v>
      </c>
      <c r="D357">
        <v>3</v>
      </c>
      <c r="E357">
        <f>170*2</f>
        <v>340</v>
      </c>
      <c r="F357">
        <v>14.5</v>
      </c>
      <c r="G357">
        <v>7.2</v>
      </c>
      <c r="H357">
        <v>5</v>
      </c>
      <c r="I357">
        <v>6</v>
      </c>
      <c r="K357">
        <f t="shared" si="52"/>
        <v>1.2</v>
      </c>
      <c r="L357">
        <f t="shared" si="53"/>
        <v>0.41379310344827586</v>
      </c>
    </row>
    <row r="358" spans="1:12" x14ac:dyDescent="0.25">
      <c r="A358">
        <v>140918</v>
      </c>
      <c r="B358" t="s">
        <v>19</v>
      </c>
      <c r="C358">
        <v>2</v>
      </c>
      <c r="D358">
        <v>1</v>
      </c>
      <c r="E358">
        <f>6*2</f>
        <v>12</v>
      </c>
      <c r="F358">
        <v>21.9</v>
      </c>
      <c r="G358">
        <v>6.9</v>
      </c>
      <c r="H358">
        <v>11.8</v>
      </c>
      <c r="I358">
        <v>7.8</v>
      </c>
      <c r="K358">
        <f t="shared" si="52"/>
        <v>0.88461538461538469</v>
      </c>
      <c r="L358">
        <f t="shared" si="53"/>
        <v>0.35616438356164387</v>
      </c>
    </row>
    <row r="359" spans="1:12" x14ac:dyDescent="0.25">
      <c r="A359">
        <v>140918</v>
      </c>
      <c r="B359" t="s">
        <v>19</v>
      </c>
      <c r="C359">
        <v>2</v>
      </c>
      <c r="D359">
        <v>2</v>
      </c>
      <c r="E359">
        <f>128*2</f>
        <v>256</v>
      </c>
      <c r="F359">
        <v>22.8</v>
      </c>
      <c r="G359">
        <v>5.8</v>
      </c>
      <c r="H359">
        <v>13</v>
      </c>
      <c r="I359">
        <v>9.6</v>
      </c>
      <c r="K359">
        <f t="shared" si="52"/>
        <v>0.60416666666666663</v>
      </c>
      <c r="L359">
        <f t="shared" si="53"/>
        <v>0.42105263157894735</v>
      </c>
    </row>
    <row r="360" spans="1:12" x14ac:dyDescent="0.25">
      <c r="A360">
        <v>140918</v>
      </c>
      <c r="B360" t="s">
        <v>19</v>
      </c>
      <c r="C360">
        <v>2</v>
      </c>
      <c r="D360">
        <v>3</v>
      </c>
      <c r="E360">
        <f>233*2</f>
        <v>466</v>
      </c>
      <c r="F360">
        <v>23.3</v>
      </c>
      <c r="G360">
        <v>10.3</v>
      </c>
      <c r="H360">
        <v>11.7</v>
      </c>
      <c r="I360">
        <v>14</v>
      </c>
      <c r="K360">
        <f t="shared" si="52"/>
        <v>0.73571428571428577</v>
      </c>
      <c r="L360">
        <f t="shared" si="53"/>
        <v>0.60085836909871237</v>
      </c>
    </row>
    <row r="361" spans="1:12" x14ac:dyDescent="0.25">
      <c r="A361">
        <v>140918</v>
      </c>
      <c r="B361" t="s">
        <v>19</v>
      </c>
      <c r="C361">
        <v>5</v>
      </c>
      <c r="D361">
        <v>1</v>
      </c>
      <c r="E361">
        <f>115*2</f>
        <v>230</v>
      </c>
      <c r="F361">
        <v>14.3</v>
      </c>
      <c r="J361" t="s">
        <v>0</v>
      </c>
    </row>
    <row r="362" spans="1:12" x14ac:dyDescent="0.25">
      <c r="A362">
        <v>140918</v>
      </c>
      <c r="B362" t="s">
        <v>19</v>
      </c>
      <c r="C362">
        <v>5</v>
      </c>
      <c r="D362">
        <v>2</v>
      </c>
      <c r="E362">
        <f>198*2</f>
        <v>396</v>
      </c>
      <c r="F362">
        <v>13.3</v>
      </c>
      <c r="G362">
        <v>4.4000000000000004</v>
      </c>
      <c r="H362">
        <v>4.5</v>
      </c>
      <c r="I362">
        <v>4</v>
      </c>
      <c r="K362">
        <f t="shared" si="52"/>
        <v>1.1000000000000001</v>
      </c>
      <c r="L362">
        <f t="shared" si="53"/>
        <v>0.3007518796992481</v>
      </c>
    </row>
    <row r="363" spans="1:12" x14ac:dyDescent="0.25">
      <c r="A363">
        <v>140918</v>
      </c>
      <c r="B363" t="s">
        <v>19</v>
      </c>
      <c r="C363">
        <v>5</v>
      </c>
      <c r="D363">
        <v>3</v>
      </c>
      <c r="E363">
        <f>201*2</f>
        <v>402</v>
      </c>
      <c r="F363">
        <v>16.2</v>
      </c>
      <c r="G363">
        <v>8.6</v>
      </c>
      <c r="H363">
        <v>8.1</v>
      </c>
      <c r="I363">
        <v>7.2</v>
      </c>
      <c r="K363">
        <f t="shared" si="52"/>
        <v>1.1944444444444444</v>
      </c>
      <c r="L363">
        <f t="shared" si="53"/>
        <v>0.44444444444444448</v>
      </c>
    </row>
    <row r="364" spans="1:12" x14ac:dyDescent="0.25">
      <c r="A364">
        <v>140918</v>
      </c>
      <c r="B364" t="s">
        <v>19</v>
      </c>
      <c r="C364">
        <v>5</v>
      </c>
      <c r="D364">
        <v>4</v>
      </c>
      <c r="E364">
        <f>213*2</f>
        <v>426</v>
      </c>
      <c r="F364">
        <v>15.4</v>
      </c>
      <c r="G364">
        <v>10.6</v>
      </c>
      <c r="H364">
        <v>11.4</v>
      </c>
      <c r="I364">
        <v>8.8000000000000007</v>
      </c>
      <c r="K364">
        <f t="shared" si="52"/>
        <v>1.2045454545454544</v>
      </c>
      <c r="L364">
        <f t="shared" si="53"/>
        <v>0.57142857142857151</v>
      </c>
    </row>
    <row r="365" spans="1:12" x14ac:dyDescent="0.25">
      <c r="A365">
        <v>140918</v>
      </c>
      <c r="B365" t="s">
        <v>19</v>
      </c>
      <c r="C365">
        <v>6</v>
      </c>
      <c r="D365">
        <v>1</v>
      </c>
      <c r="E365">
        <f>133*2</f>
        <v>266</v>
      </c>
      <c r="F365">
        <v>13.9</v>
      </c>
      <c r="G365">
        <v>5.3</v>
      </c>
      <c r="H365">
        <v>7.7</v>
      </c>
      <c r="I365">
        <v>8.1999999999999993</v>
      </c>
      <c r="K365">
        <f t="shared" si="52"/>
        <v>0.64634146341463417</v>
      </c>
      <c r="L365">
        <f t="shared" si="53"/>
        <v>0.58992805755395672</v>
      </c>
    </row>
    <row r="366" spans="1:12" x14ac:dyDescent="0.25">
      <c r="A366">
        <v>140918</v>
      </c>
      <c r="B366" t="s">
        <v>19</v>
      </c>
      <c r="C366">
        <v>6</v>
      </c>
      <c r="D366">
        <v>2</v>
      </c>
      <c r="E366">
        <f>156*2</f>
        <v>312</v>
      </c>
      <c r="F366">
        <v>14.2</v>
      </c>
      <c r="G366">
        <v>4.9000000000000004</v>
      </c>
      <c r="H366">
        <v>6.5</v>
      </c>
      <c r="I366">
        <v>6.9</v>
      </c>
      <c r="K366">
        <f t="shared" si="52"/>
        <v>0.71014492753623193</v>
      </c>
      <c r="L366">
        <f t="shared" si="53"/>
        <v>0.48591549295774655</v>
      </c>
    </row>
    <row r="367" spans="1:12" x14ac:dyDescent="0.25">
      <c r="A367">
        <v>140918</v>
      </c>
      <c r="B367" t="s">
        <v>19</v>
      </c>
      <c r="C367">
        <v>6</v>
      </c>
      <c r="D367">
        <v>3</v>
      </c>
      <c r="E367">
        <f>160*2</f>
        <v>320</v>
      </c>
      <c r="F367">
        <v>14.7</v>
      </c>
      <c r="G367">
        <v>6.1</v>
      </c>
      <c r="H367">
        <v>8.6999999999999993</v>
      </c>
      <c r="I367">
        <v>8.4</v>
      </c>
      <c r="K367">
        <f t="shared" si="52"/>
        <v>0.72619047619047616</v>
      </c>
      <c r="L367">
        <f t="shared" si="53"/>
        <v>0.57142857142857151</v>
      </c>
    </row>
    <row r="368" spans="1:12" x14ac:dyDescent="0.25">
      <c r="A368">
        <v>140918</v>
      </c>
      <c r="B368" t="s">
        <v>19</v>
      </c>
      <c r="C368">
        <v>6</v>
      </c>
      <c r="D368">
        <v>4</v>
      </c>
      <c r="E368">
        <f>223*2</f>
        <v>446</v>
      </c>
      <c r="F368">
        <v>11.3</v>
      </c>
      <c r="G368">
        <v>2.4</v>
      </c>
      <c r="H368">
        <v>3.8</v>
      </c>
      <c r="I368">
        <v>4</v>
      </c>
      <c r="K368">
        <f t="shared" si="52"/>
        <v>0.6</v>
      </c>
      <c r="L368">
        <f t="shared" si="53"/>
        <v>0.35398230088495575</v>
      </c>
    </row>
    <row r="369" spans="1:12" x14ac:dyDescent="0.25">
      <c r="A369">
        <v>140918</v>
      </c>
      <c r="B369" t="s">
        <v>19</v>
      </c>
      <c r="C369">
        <v>6</v>
      </c>
      <c r="D369">
        <v>5</v>
      </c>
      <c r="E369">
        <f>242*2</f>
        <v>484</v>
      </c>
      <c r="F369">
        <v>7.4</v>
      </c>
      <c r="G369">
        <v>5.4</v>
      </c>
      <c r="H369">
        <v>4.0999999999999996</v>
      </c>
      <c r="I369">
        <v>4.2</v>
      </c>
      <c r="K369">
        <f t="shared" si="52"/>
        <v>1.2857142857142858</v>
      </c>
      <c r="L369">
        <f t="shared" si="53"/>
        <v>0.56756756756756754</v>
      </c>
    </row>
    <row r="370" spans="1:12" x14ac:dyDescent="0.25">
      <c r="A370">
        <v>140918</v>
      </c>
      <c r="B370" t="s">
        <v>19</v>
      </c>
      <c r="C370">
        <v>7</v>
      </c>
      <c r="D370">
        <v>1</v>
      </c>
      <c r="E370">
        <f>211*2</f>
        <v>422</v>
      </c>
      <c r="F370">
        <v>20</v>
      </c>
      <c r="G370">
        <v>8.3000000000000007</v>
      </c>
      <c r="H370">
        <v>12.8</v>
      </c>
      <c r="I370">
        <v>13.2</v>
      </c>
      <c r="K370">
        <f t="shared" si="52"/>
        <v>0.6287878787878789</v>
      </c>
      <c r="L370">
        <f t="shared" si="53"/>
        <v>0.65999999999999992</v>
      </c>
    </row>
    <row r="371" spans="1:12" x14ac:dyDescent="0.25">
      <c r="A371">
        <v>140918</v>
      </c>
      <c r="B371" t="s">
        <v>19</v>
      </c>
      <c r="C371">
        <v>7</v>
      </c>
      <c r="D371">
        <v>2</v>
      </c>
      <c r="E371">
        <f>313*2</f>
        <v>626</v>
      </c>
      <c r="F371">
        <v>15.3</v>
      </c>
      <c r="G371">
        <v>11.4</v>
      </c>
      <c r="H371">
        <v>9.3000000000000007</v>
      </c>
      <c r="I371">
        <v>11.8</v>
      </c>
      <c r="K371">
        <f t="shared" si="52"/>
        <v>0.96610169491525422</v>
      </c>
      <c r="L371">
        <f t="shared" si="53"/>
        <v>0.77124183006535951</v>
      </c>
    </row>
    <row r="372" spans="1:12" x14ac:dyDescent="0.25">
      <c r="A372">
        <v>140918</v>
      </c>
      <c r="B372" t="s">
        <v>19</v>
      </c>
      <c r="C372">
        <v>8</v>
      </c>
      <c r="D372">
        <v>1</v>
      </c>
      <c r="E372">
        <f>75*2</f>
        <v>150</v>
      </c>
      <c r="F372">
        <v>13.8</v>
      </c>
      <c r="G372">
        <v>3.7</v>
      </c>
      <c r="H372">
        <v>9.1999999999999993</v>
      </c>
      <c r="I372">
        <v>5.2</v>
      </c>
      <c r="K372">
        <f t="shared" si="50"/>
        <v>0.71153846153846156</v>
      </c>
      <c r="L372">
        <f t="shared" si="51"/>
        <v>0.37681159420289856</v>
      </c>
    </row>
    <row r="373" spans="1:12" x14ac:dyDescent="0.25">
      <c r="A373">
        <v>140918</v>
      </c>
      <c r="B373" t="s">
        <v>19</v>
      </c>
      <c r="C373">
        <v>8</v>
      </c>
      <c r="D373">
        <v>2</v>
      </c>
      <c r="E373">
        <f>158*2</f>
        <v>316</v>
      </c>
      <c r="F373">
        <v>12.2</v>
      </c>
      <c r="G373">
        <v>4</v>
      </c>
      <c r="H373">
        <v>6.7</v>
      </c>
      <c r="I373">
        <v>3.9</v>
      </c>
      <c r="K373">
        <f t="shared" si="50"/>
        <v>1.0256410256410258</v>
      </c>
      <c r="L373">
        <f t="shared" si="51"/>
        <v>0.31967213114754101</v>
      </c>
    </row>
    <row r="374" spans="1:12" x14ac:dyDescent="0.25">
      <c r="A374">
        <v>140918</v>
      </c>
      <c r="B374" t="s">
        <v>19</v>
      </c>
      <c r="C374">
        <v>8</v>
      </c>
      <c r="D374">
        <v>3</v>
      </c>
      <c r="E374">
        <f>201*2</f>
        <v>402</v>
      </c>
      <c r="F374">
        <v>11.6</v>
      </c>
      <c r="G374">
        <v>3.2</v>
      </c>
      <c r="H374">
        <v>6.5</v>
      </c>
      <c r="I374">
        <v>3.5</v>
      </c>
      <c r="K374">
        <f t="shared" si="50"/>
        <v>0.91428571428571437</v>
      </c>
      <c r="L374">
        <f t="shared" si="51"/>
        <v>0.30172413793103448</v>
      </c>
    </row>
    <row r="375" spans="1:12" x14ac:dyDescent="0.25">
      <c r="A375">
        <v>140918</v>
      </c>
      <c r="B375" t="s">
        <v>19</v>
      </c>
      <c r="C375">
        <v>8</v>
      </c>
      <c r="D375">
        <v>4</v>
      </c>
      <c r="E375">
        <f>203*2</f>
        <v>406</v>
      </c>
      <c r="F375">
        <v>11.9</v>
      </c>
      <c r="G375">
        <v>2.6</v>
      </c>
      <c r="H375">
        <v>3.9</v>
      </c>
      <c r="I375">
        <v>2.7</v>
      </c>
      <c r="K375">
        <f t="shared" si="50"/>
        <v>0.96296296296296291</v>
      </c>
      <c r="L375">
        <f t="shared" si="51"/>
        <v>0.22689075630252101</v>
      </c>
    </row>
    <row r="376" spans="1:12" x14ac:dyDescent="0.25">
      <c r="A376">
        <v>140918</v>
      </c>
      <c r="B376" t="s">
        <v>19</v>
      </c>
      <c r="C376">
        <v>8</v>
      </c>
      <c r="D376">
        <v>5</v>
      </c>
      <c r="E376">
        <f>211*2</f>
        <v>422</v>
      </c>
      <c r="F376">
        <v>10.199999999999999</v>
      </c>
      <c r="G376">
        <v>4.0999999999999996</v>
      </c>
      <c r="H376">
        <v>3.9</v>
      </c>
      <c r="I376">
        <v>3.4</v>
      </c>
      <c r="K376">
        <f t="shared" si="50"/>
        <v>1.2058823529411764</v>
      </c>
      <c r="L376">
        <f t="shared" si="51"/>
        <v>0.33333333333333337</v>
      </c>
    </row>
    <row r="377" spans="1:12" x14ac:dyDescent="0.25">
      <c r="A377">
        <v>140918</v>
      </c>
      <c r="B377" t="s">
        <v>19</v>
      </c>
      <c r="C377">
        <v>9</v>
      </c>
      <c r="D377">
        <v>1</v>
      </c>
      <c r="E377">
        <f>113*2</f>
        <v>226</v>
      </c>
      <c r="F377">
        <v>15</v>
      </c>
      <c r="J377" t="s">
        <v>0</v>
      </c>
    </row>
    <row r="378" spans="1:12" x14ac:dyDescent="0.25">
      <c r="A378">
        <v>140918</v>
      </c>
      <c r="B378" t="s">
        <v>19</v>
      </c>
      <c r="C378">
        <v>9</v>
      </c>
      <c r="D378">
        <v>2</v>
      </c>
      <c r="E378">
        <f>146*2</f>
        <v>292</v>
      </c>
      <c r="F378">
        <v>19.2</v>
      </c>
      <c r="G378">
        <v>6.6</v>
      </c>
      <c r="H378">
        <v>10.7</v>
      </c>
      <c r="I378">
        <v>6.7</v>
      </c>
      <c r="K378">
        <f t="shared" si="50"/>
        <v>0.9850746268656716</v>
      </c>
      <c r="L378">
        <f t="shared" si="51"/>
        <v>0.34895833333333337</v>
      </c>
    </row>
    <row r="379" spans="1:12" x14ac:dyDescent="0.25">
      <c r="A379">
        <v>140918</v>
      </c>
      <c r="B379" t="s">
        <v>19</v>
      </c>
      <c r="C379">
        <v>9</v>
      </c>
      <c r="D379">
        <v>3</v>
      </c>
      <c r="E379">
        <f>187*2</f>
        <v>374</v>
      </c>
      <c r="F379">
        <v>13.6</v>
      </c>
      <c r="G379">
        <v>7.3</v>
      </c>
      <c r="H379">
        <v>8.3000000000000007</v>
      </c>
      <c r="I379">
        <v>7.1</v>
      </c>
      <c r="K379">
        <f t="shared" si="50"/>
        <v>1.028169014084507</v>
      </c>
      <c r="L379">
        <f t="shared" si="51"/>
        <v>0.5220588235294118</v>
      </c>
    </row>
    <row r="380" spans="1:12" x14ac:dyDescent="0.25">
      <c r="A380">
        <v>140918</v>
      </c>
      <c r="B380" t="s">
        <v>19</v>
      </c>
      <c r="C380">
        <v>9</v>
      </c>
      <c r="D380">
        <v>4</v>
      </c>
      <c r="E380">
        <f>201*2</f>
        <v>402</v>
      </c>
      <c r="F380">
        <v>11.4</v>
      </c>
      <c r="G380">
        <v>5.9</v>
      </c>
      <c r="H380">
        <v>5.5</v>
      </c>
      <c r="I380">
        <v>6.3</v>
      </c>
      <c r="K380">
        <f t="shared" si="50"/>
        <v>0.93650793650793662</v>
      </c>
      <c r="L380">
        <f t="shared" si="51"/>
        <v>0.55263157894736836</v>
      </c>
    </row>
    <row r="381" spans="1:12" x14ac:dyDescent="0.25">
      <c r="A381">
        <v>140918</v>
      </c>
      <c r="B381" t="s">
        <v>19</v>
      </c>
      <c r="C381">
        <v>9</v>
      </c>
      <c r="D381">
        <v>5</v>
      </c>
      <c r="E381">
        <f>230*2</f>
        <v>460</v>
      </c>
      <c r="F381">
        <v>10.7</v>
      </c>
      <c r="G381">
        <v>4.9000000000000004</v>
      </c>
      <c r="H381">
        <v>7.1</v>
      </c>
      <c r="I381">
        <v>3</v>
      </c>
      <c r="K381">
        <f t="shared" si="50"/>
        <v>1.6333333333333335</v>
      </c>
      <c r="L381">
        <f t="shared" si="51"/>
        <v>0.28037383177570097</v>
      </c>
    </row>
    <row r="382" spans="1:12" x14ac:dyDescent="0.25">
      <c r="A382">
        <v>140918</v>
      </c>
      <c r="B382" t="s">
        <v>19</v>
      </c>
      <c r="C382">
        <v>9</v>
      </c>
      <c r="D382">
        <v>6</v>
      </c>
      <c r="E382">
        <f>264*2</f>
        <v>528</v>
      </c>
      <c r="F382">
        <v>9.1999999999999993</v>
      </c>
      <c r="G382">
        <v>4.2</v>
      </c>
      <c r="H382">
        <v>6</v>
      </c>
      <c r="I382">
        <v>4.3</v>
      </c>
      <c r="K382">
        <f t="shared" si="50"/>
        <v>0.9767441860465117</v>
      </c>
      <c r="L382">
        <f t="shared" si="51"/>
        <v>0.46739130434782611</v>
      </c>
    </row>
    <row r="383" spans="1:12" x14ac:dyDescent="0.25">
      <c r="A383">
        <v>140918</v>
      </c>
      <c r="B383" t="s">
        <v>19</v>
      </c>
      <c r="C383">
        <v>10</v>
      </c>
      <c r="D383">
        <v>1</v>
      </c>
      <c r="E383">
        <f>39*2</f>
        <v>78</v>
      </c>
      <c r="F383">
        <v>13.5</v>
      </c>
      <c r="G383">
        <v>2.4</v>
      </c>
      <c r="H383">
        <v>5.5</v>
      </c>
      <c r="I383">
        <v>3.5</v>
      </c>
      <c r="K383">
        <f t="shared" si="50"/>
        <v>0.68571428571428572</v>
      </c>
      <c r="L383">
        <f t="shared" si="51"/>
        <v>0.25925925925925924</v>
      </c>
    </row>
    <row r="384" spans="1:12" x14ac:dyDescent="0.25">
      <c r="A384">
        <v>140918</v>
      </c>
      <c r="B384" t="s">
        <v>19</v>
      </c>
      <c r="C384">
        <v>10</v>
      </c>
      <c r="D384">
        <v>2</v>
      </c>
      <c r="E384">
        <f>52*2</f>
        <v>104</v>
      </c>
      <c r="F384">
        <v>14.2</v>
      </c>
      <c r="G384">
        <v>2.6</v>
      </c>
      <c r="H384">
        <v>7.2</v>
      </c>
      <c r="I384">
        <v>3.3</v>
      </c>
      <c r="K384">
        <f t="shared" si="50"/>
        <v>0.78787878787878796</v>
      </c>
      <c r="L384">
        <f t="shared" si="51"/>
        <v>0.23239436619718309</v>
      </c>
    </row>
    <row r="385" spans="1:13" x14ac:dyDescent="0.25">
      <c r="A385">
        <v>140918</v>
      </c>
      <c r="B385" t="s">
        <v>19</v>
      </c>
      <c r="C385">
        <v>10</v>
      </c>
      <c r="D385">
        <v>3</v>
      </c>
      <c r="E385">
        <f>73*2</f>
        <v>146</v>
      </c>
      <c r="F385">
        <v>13.3</v>
      </c>
      <c r="G385">
        <v>5.2</v>
      </c>
      <c r="H385">
        <v>8.4</v>
      </c>
      <c r="I385">
        <v>6.4</v>
      </c>
      <c r="K385">
        <f t="shared" si="50"/>
        <v>0.8125</v>
      </c>
      <c r="L385">
        <f t="shared" si="51"/>
        <v>0.48120300751879697</v>
      </c>
    </row>
    <row r="386" spans="1:13" x14ac:dyDescent="0.25">
      <c r="A386">
        <v>140918</v>
      </c>
      <c r="B386" t="s">
        <v>19</v>
      </c>
      <c r="C386">
        <v>10</v>
      </c>
      <c r="D386">
        <v>4</v>
      </c>
      <c r="E386">
        <f>148*2</f>
        <v>296</v>
      </c>
      <c r="F386">
        <v>9.3000000000000007</v>
      </c>
      <c r="G386">
        <v>3.9</v>
      </c>
      <c r="H386">
        <v>6.7</v>
      </c>
      <c r="I386">
        <v>3.7</v>
      </c>
      <c r="K386">
        <f t="shared" si="50"/>
        <v>1.0540540540540539</v>
      </c>
      <c r="L386">
        <f t="shared" si="51"/>
        <v>0.39784946236559138</v>
      </c>
    </row>
    <row r="387" spans="1:13" x14ac:dyDescent="0.25">
      <c r="A387">
        <v>140918</v>
      </c>
      <c r="B387" t="s">
        <v>19</v>
      </c>
      <c r="C387">
        <v>10</v>
      </c>
      <c r="D387">
        <v>6</v>
      </c>
      <c r="E387">
        <f>203*2</f>
        <v>406</v>
      </c>
      <c r="F387">
        <v>6.9</v>
      </c>
      <c r="G387">
        <v>4</v>
      </c>
      <c r="H387">
        <v>2.6</v>
      </c>
      <c r="I387">
        <v>2.8</v>
      </c>
      <c r="K387">
        <f t="shared" si="50"/>
        <v>1.4285714285714286</v>
      </c>
      <c r="L387">
        <f t="shared" si="51"/>
        <v>0.40579710144927533</v>
      </c>
    </row>
    <row r="388" spans="1:13" x14ac:dyDescent="0.25">
      <c r="A388">
        <v>160421</v>
      </c>
      <c r="B388" t="s">
        <v>19</v>
      </c>
      <c r="C388">
        <v>1</v>
      </c>
      <c r="D388">
        <v>1</v>
      </c>
      <c r="E388">
        <f>37-22</f>
        <v>15</v>
      </c>
      <c r="F388">
        <v>17</v>
      </c>
      <c r="G388">
        <v>6</v>
      </c>
      <c r="H388">
        <v>8</v>
      </c>
      <c r="I388">
        <v>7</v>
      </c>
      <c r="K388">
        <f>G388/I388</f>
        <v>0.8571428571428571</v>
      </c>
      <c r="L388">
        <f>I388/F388</f>
        <v>0.41176470588235292</v>
      </c>
    </row>
    <row r="389" spans="1:13" x14ac:dyDescent="0.25">
      <c r="A389">
        <v>160421</v>
      </c>
      <c r="B389" t="s">
        <v>19</v>
      </c>
      <c r="C389">
        <v>1</v>
      </c>
      <c r="D389">
        <v>2</v>
      </c>
      <c r="E389">
        <f>189-22</f>
        <v>167</v>
      </c>
      <c r="F389">
        <v>19</v>
      </c>
      <c r="G389">
        <v>6</v>
      </c>
      <c r="H389">
        <v>11</v>
      </c>
      <c r="I389">
        <v>8</v>
      </c>
      <c r="K389">
        <f>G389/I389</f>
        <v>0.75</v>
      </c>
      <c r="L389">
        <f>I389/F389</f>
        <v>0.42105263157894735</v>
      </c>
    </row>
    <row r="390" spans="1:13" x14ac:dyDescent="0.25">
      <c r="A390">
        <v>160421</v>
      </c>
      <c r="B390" t="s">
        <v>19</v>
      </c>
      <c r="C390">
        <v>1</v>
      </c>
      <c r="D390">
        <v>3</v>
      </c>
      <c r="E390">
        <f>315-22</f>
        <v>293</v>
      </c>
      <c r="F390">
        <v>17</v>
      </c>
      <c r="G390">
        <v>8</v>
      </c>
      <c r="H390">
        <v>11</v>
      </c>
      <c r="I390">
        <v>7</v>
      </c>
      <c r="K390">
        <f>G390/I390</f>
        <v>1.1428571428571428</v>
      </c>
      <c r="L390">
        <f>I390/F390</f>
        <v>0.41176470588235292</v>
      </c>
    </row>
    <row r="391" spans="1:13" x14ac:dyDescent="0.25">
      <c r="A391">
        <v>160421</v>
      </c>
      <c r="B391" t="s">
        <v>19</v>
      </c>
      <c r="C391">
        <v>2</v>
      </c>
      <c r="D391">
        <v>1</v>
      </c>
      <c r="E391">
        <f>39-39</f>
        <v>0</v>
      </c>
      <c r="F391">
        <v>26</v>
      </c>
      <c r="G391">
        <v>6</v>
      </c>
      <c r="H391">
        <v>11</v>
      </c>
      <c r="I391">
        <v>8</v>
      </c>
      <c r="K391">
        <f>G391/I391</f>
        <v>0.75</v>
      </c>
      <c r="L391">
        <f>I391/F391</f>
        <v>0.30769230769230771</v>
      </c>
    </row>
    <row r="392" spans="1:13" x14ac:dyDescent="0.25">
      <c r="A392">
        <v>160421</v>
      </c>
      <c r="B392" t="s">
        <v>19</v>
      </c>
      <c r="C392">
        <v>2</v>
      </c>
      <c r="D392">
        <v>2</v>
      </c>
      <c r="E392">
        <f>109-39</f>
        <v>70</v>
      </c>
      <c r="F392">
        <v>12</v>
      </c>
      <c r="G392">
        <v>4</v>
      </c>
      <c r="H392">
        <v>8</v>
      </c>
      <c r="I392">
        <v>4</v>
      </c>
      <c r="K392">
        <f>G392/I392</f>
        <v>1</v>
      </c>
      <c r="L392">
        <f>I392/F392</f>
        <v>0.33333333333333331</v>
      </c>
    </row>
    <row r="393" spans="1:13" x14ac:dyDescent="0.25">
      <c r="A393">
        <v>160421</v>
      </c>
      <c r="B393" t="s">
        <v>19</v>
      </c>
      <c r="C393">
        <v>2</v>
      </c>
      <c r="D393">
        <v>3</v>
      </c>
      <c r="E393">
        <f>152-39</f>
        <v>113</v>
      </c>
      <c r="F393">
        <v>12</v>
      </c>
      <c r="M393" t="s">
        <v>15</v>
      </c>
    </row>
    <row r="394" spans="1:13" x14ac:dyDescent="0.25">
      <c r="A394">
        <v>160421</v>
      </c>
      <c r="B394" t="s">
        <v>19</v>
      </c>
      <c r="C394">
        <v>2</v>
      </c>
      <c r="D394">
        <v>4</v>
      </c>
      <c r="E394">
        <f>244-39</f>
        <v>205</v>
      </c>
      <c r="F394">
        <v>10</v>
      </c>
      <c r="G394">
        <v>4</v>
      </c>
      <c r="H394">
        <v>4</v>
      </c>
      <c r="I394">
        <v>4</v>
      </c>
      <c r="K394">
        <f>G394/I394</f>
        <v>1</v>
      </c>
      <c r="L394">
        <f>I394/F394</f>
        <v>0.4</v>
      </c>
    </row>
    <row r="395" spans="1:13" x14ac:dyDescent="0.25">
      <c r="A395">
        <v>160421</v>
      </c>
      <c r="B395" t="s">
        <v>19</v>
      </c>
      <c r="C395">
        <v>2</v>
      </c>
      <c r="D395">
        <v>5</v>
      </c>
      <c r="E395">
        <f>280-39</f>
        <v>241</v>
      </c>
      <c r="F395">
        <v>8</v>
      </c>
      <c r="G395">
        <v>5</v>
      </c>
      <c r="H395">
        <v>5</v>
      </c>
      <c r="I395">
        <v>4</v>
      </c>
      <c r="K395">
        <f>G395/I395</f>
        <v>1.25</v>
      </c>
      <c r="L395">
        <f>I395/F395</f>
        <v>0.5</v>
      </c>
    </row>
    <row r="396" spans="1:13" x14ac:dyDescent="0.25">
      <c r="A396">
        <v>160421</v>
      </c>
      <c r="B396" t="s">
        <v>19</v>
      </c>
      <c r="C396">
        <v>2</v>
      </c>
      <c r="D396">
        <v>6</v>
      </c>
      <c r="E396">
        <f>315-39</f>
        <v>276</v>
      </c>
      <c r="F396">
        <v>8</v>
      </c>
      <c r="G396">
        <v>4</v>
      </c>
      <c r="H396">
        <v>4</v>
      </c>
      <c r="I396">
        <v>3</v>
      </c>
      <c r="K396">
        <f>G396/I396</f>
        <v>1.3333333333333333</v>
      </c>
      <c r="L396">
        <f>I396/F396</f>
        <v>0.375</v>
      </c>
    </row>
    <row r="397" spans="1:13" x14ac:dyDescent="0.25">
      <c r="A397">
        <v>160421</v>
      </c>
      <c r="B397" t="s">
        <v>19</v>
      </c>
      <c r="C397">
        <v>3</v>
      </c>
      <c r="D397">
        <v>1</v>
      </c>
      <c r="E397">
        <f>61-33</f>
        <v>28</v>
      </c>
      <c r="F397">
        <v>10</v>
      </c>
      <c r="G397">
        <v>4</v>
      </c>
      <c r="H397">
        <v>5</v>
      </c>
      <c r="I397">
        <v>5</v>
      </c>
      <c r="K397">
        <f>G397/I397</f>
        <v>0.8</v>
      </c>
      <c r="L397">
        <f>I397/F397</f>
        <v>0.5</v>
      </c>
    </row>
    <row r="398" spans="1:13" x14ac:dyDescent="0.25">
      <c r="A398">
        <v>160421</v>
      </c>
      <c r="B398" t="s">
        <v>19</v>
      </c>
      <c r="C398">
        <v>3</v>
      </c>
      <c r="D398">
        <v>2</v>
      </c>
      <c r="E398">
        <f>83-33</f>
        <v>50</v>
      </c>
      <c r="F398">
        <v>9</v>
      </c>
      <c r="G398">
        <v>3</v>
      </c>
      <c r="H398">
        <v>6</v>
      </c>
      <c r="I398">
        <v>4</v>
      </c>
      <c r="K398">
        <f>G398/I398</f>
        <v>0.75</v>
      </c>
      <c r="L398">
        <f>I398/F398</f>
        <v>0.44444444444444442</v>
      </c>
    </row>
    <row r="399" spans="1:13" x14ac:dyDescent="0.25">
      <c r="A399">
        <v>160421</v>
      </c>
      <c r="B399" t="s">
        <v>19</v>
      </c>
      <c r="C399">
        <v>3</v>
      </c>
      <c r="D399">
        <v>3</v>
      </c>
      <c r="E399">
        <f>172-33</f>
        <v>139</v>
      </c>
      <c r="F399">
        <v>10</v>
      </c>
      <c r="M399" t="s">
        <v>15</v>
      </c>
    </row>
    <row r="400" spans="1:13" x14ac:dyDescent="0.25">
      <c r="A400">
        <v>160421</v>
      </c>
      <c r="B400" t="s">
        <v>19</v>
      </c>
      <c r="C400">
        <v>4</v>
      </c>
      <c r="D400">
        <v>1</v>
      </c>
      <c r="E400">
        <f>234-35</f>
        <v>199</v>
      </c>
      <c r="F400">
        <v>14</v>
      </c>
      <c r="G400">
        <v>3</v>
      </c>
      <c r="H400">
        <v>10</v>
      </c>
      <c r="I400">
        <v>7</v>
      </c>
      <c r="K400">
        <f>G400/I400</f>
        <v>0.42857142857142855</v>
      </c>
      <c r="L400">
        <f>I400/F400</f>
        <v>0.5</v>
      </c>
    </row>
    <row r="401" spans="1:13" x14ac:dyDescent="0.25">
      <c r="A401">
        <v>160421</v>
      </c>
      <c r="B401" t="s">
        <v>19</v>
      </c>
      <c r="C401">
        <v>5</v>
      </c>
      <c r="D401">
        <v>1</v>
      </c>
      <c r="E401">
        <f>76-38</f>
        <v>38</v>
      </c>
      <c r="F401">
        <v>11</v>
      </c>
      <c r="G401">
        <v>5</v>
      </c>
      <c r="H401">
        <v>8</v>
      </c>
      <c r="I401">
        <v>5</v>
      </c>
      <c r="K401">
        <f>G401/I401</f>
        <v>1</v>
      </c>
      <c r="L401">
        <f>I401/F401</f>
        <v>0.45454545454545453</v>
      </c>
    </row>
    <row r="402" spans="1:13" x14ac:dyDescent="0.25">
      <c r="A402">
        <v>160421</v>
      </c>
      <c r="B402" t="s">
        <v>19</v>
      </c>
      <c r="C402">
        <v>5</v>
      </c>
      <c r="D402">
        <v>2</v>
      </c>
      <c r="E402">
        <f>114-38</f>
        <v>76</v>
      </c>
      <c r="F402">
        <v>11</v>
      </c>
      <c r="G402">
        <v>6</v>
      </c>
      <c r="H402">
        <v>5</v>
      </c>
      <c r="I402">
        <v>5</v>
      </c>
      <c r="K402">
        <f>G402/I402</f>
        <v>1.2</v>
      </c>
      <c r="L402">
        <f>I402/F402</f>
        <v>0.45454545454545453</v>
      </c>
    </row>
    <row r="403" spans="1:13" x14ac:dyDescent="0.25">
      <c r="A403">
        <v>160421</v>
      </c>
      <c r="B403" t="s">
        <v>19</v>
      </c>
      <c r="C403">
        <v>5</v>
      </c>
      <c r="D403">
        <v>3</v>
      </c>
      <c r="E403">
        <f>115-38</f>
        <v>77</v>
      </c>
      <c r="F403">
        <v>11</v>
      </c>
      <c r="G403">
        <v>5</v>
      </c>
      <c r="H403">
        <v>6</v>
      </c>
      <c r="I403">
        <v>6</v>
      </c>
      <c r="K403">
        <f>G403/I403</f>
        <v>0.83333333333333337</v>
      </c>
      <c r="L403">
        <f>I403/F403</f>
        <v>0.54545454545454541</v>
      </c>
    </row>
    <row r="404" spans="1:13" x14ac:dyDescent="0.25">
      <c r="A404">
        <v>160421</v>
      </c>
      <c r="B404" t="s">
        <v>19</v>
      </c>
      <c r="C404">
        <v>5</v>
      </c>
      <c r="D404">
        <v>4</v>
      </c>
      <c r="E404">
        <f>214-38</f>
        <v>176</v>
      </c>
      <c r="F404">
        <v>8</v>
      </c>
      <c r="G404">
        <v>5</v>
      </c>
      <c r="H404">
        <v>4</v>
      </c>
      <c r="I404">
        <v>5</v>
      </c>
      <c r="K404">
        <f>G404/I404</f>
        <v>1</v>
      </c>
      <c r="L404">
        <f>I404/F404</f>
        <v>0.625</v>
      </c>
    </row>
    <row r="405" spans="1:13" x14ac:dyDescent="0.25">
      <c r="A405">
        <v>160421</v>
      </c>
      <c r="B405" t="s">
        <v>19</v>
      </c>
      <c r="C405">
        <v>5</v>
      </c>
      <c r="D405">
        <v>5</v>
      </c>
      <c r="E405">
        <f>235-38</f>
        <v>197</v>
      </c>
      <c r="F405">
        <v>8</v>
      </c>
      <c r="G405">
        <v>5</v>
      </c>
      <c r="H405">
        <v>4</v>
      </c>
      <c r="I405">
        <v>4</v>
      </c>
      <c r="K405">
        <f>G405/I405</f>
        <v>1.25</v>
      </c>
      <c r="L405">
        <f>I405/F405</f>
        <v>0.5</v>
      </c>
    </row>
    <row r="406" spans="1:13" x14ac:dyDescent="0.25">
      <c r="A406">
        <v>160421</v>
      </c>
      <c r="B406" t="s">
        <v>19</v>
      </c>
      <c r="C406">
        <v>6</v>
      </c>
      <c r="D406">
        <v>1</v>
      </c>
      <c r="E406">
        <f>32-32</f>
        <v>0</v>
      </c>
      <c r="F406">
        <v>15</v>
      </c>
      <c r="G406">
        <v>4</v>
      </c>
      <c r="H406">
        <v>6</v>
      </c>
      <c r="I406">
        <v>5</v>
      </c>
      <c r="K406">
        <f>G406/I406</f>
        <v>0.8</v>
      </c>
      <c r="L406">
        <f>I406/F406</f>
        <v>0.33333333333333331</v>
      </c>
    </row>
    <row r="407" spans="1:13" x14ac:dyDescent="0.25">
      <c r="A407">
        <v>160421</v>
      </c>
      <c r="B407" t="s">
        <v>19</v>
      </c>
      <c r="C407">
        <v>6</v>
      </c>
      <c r="D407">
        <v>2</v>
      </c>
      <c r="E407">
        <f>86-32</f>
        <v>54</v>
      </c>
      <c r="F407">
        <v>12</v>
      </c>
      <c r="M407" t="s">
        <v>15</v>
      </c>
    </row>
    <row r="408" spans="1:13" x14ac:dyDescent="0.25">
      <c r="A408">
        <v>160421</v>
      </c>
      <c r="B408" t="s">
        <v>19</v>
      </c>
      <c r="C408">
        <v>6</v>
      </c>
      <c r="D408">
        <v>3</v>
      </c>
      <c r="E408">
        <f>149-32</f>
        <v>117</v>
      </c>
      <c r="F408">
        <v>10</v>
      </c>
      <c r="J408" t="s">
        <v>0</v>
      </c>
    </row>
    <row r="409" spans="1:13" x14ac:dyDescent="0.25">
      <c r="A409">
        <v>160421</v>
      </c>
      <c r="B409" t="s">
        <v>19</v>
      </c>
      <c r="C409">
        <v>6</v>
      </c>
      <c r="D409">
        <v>4</v>
      </c>
      <c r="E409">
        <f>208-32</f>
        <v>176</v>
      </c>
      <c r="F409">
        <v>10</v>
      </c>
      <c r="M409" t="s">
        <v>15</v>
      </c>
    </row>
    <row r="410" spans="1:13" x14ac:dyDescent="0.25">
      <c r="A410">
        <v>160421</v>
      </c>
      <c r="B410" t="s">
        <v>19</v>
      </c>
      <c r="C410">
        <v>7</v>
      </c>
      <c r="D410">
        <v>1</v>
      </c>
      <c r="E410">
        <f>51-20</f>
        <v>31</v>
      </c>
      <c r="F410">
        <v>10</v>
      </c>
      <c r="G410">
        <v>3</v>
      </c>
      <c r="H410">
        <v>6</v>
      </c>
      <c r="I410">
        <v>4</v>
      </c>
      <c r="K410">
        <f>G410/I410</f>
        <v>0.75</v>
      </c>
      <c r="L410">
        <f>I410/F410</f>
        <v>0.4</v>
      </c>
    </row>
    <row r="411" spans="1:13" x14ac:dyDescent="0.25">
      <c r="A411">
        <v>160421</v>
      </c>
      <c r="B411" t="s">
        <v>19</v>
      </c>
      <c r="C411">
        <v>7</v>
      </c>
      <c r="D411">
        <v>2</v>
      </c>
      <c r="E411">
        <f>102-20</f>
        <v>82</v>
      </c>
      <c r="F411">
        <v>9</v>
      </c>
      <c r="G411">
        <v>3</v>
      </c>
      <c r="H411">
        <v>5</v>
      </c>
      <c r="I411">
        <v>3</v>
      </c>
      <c r="K411">
        <f>G411/I411</f>
        <v>1</v>
      </c>
      <c r="L411">
        <f>I411/F411</f>
        <v>0.33333333333333331</v>
      </c>
    </row>
    <row r="412" spans="1:13" x14ac:dyDescent="0.25">
      <c r="A412">
        <v>160421</v>
      </c>
      <c r="B412" t="s">
        <v>19</v>
      </c>
      <c r="C412">
        <v>7</v>
      </c>
      <c r="D412">
        <v>3</v>
      </c>
      <c r="E412">
        <f>125-20</f>
        <v>105</v>
      </c>
      <c r="F412">
        <v>9</v>
      </c>
      <c r="J412" t="s">
        <v>0</v>
      </c>
    </row>
    <row r="413" spans="1:13" x14ac:dyDescent="0.25">
      <c r="A413">
        <v>160421</v>
      </c>
      <c r="B413" t="s">
        <v>19</v>
      </c>
      <c r="C413">
        <v>7</v>
      </c>
      <c r="D413">
        <v>4</v>
      </c>
      <c r="E413">
        <f>151-20</f>
        <v>131</v>
      </c>
      <c r="F413">
        <v>10</v>
      </c>
      <c r="J413" t="s">
        <v>0</v>
      </c>
    </row>
    <row r="414" spans="1:13" x14ac:dyDescent="0.25">
      <c r="A414">
        <v>160421</v>
      </c>
      <c r="B414" t="s">
        <v>19</v>
      </c>
      <c r="C414">
        <v>8</v>
      </c>
      <c r="D414">
        <v>1</v>
      </c>
      <c r="E414">
        <f>57-27</f>
        <v>30</v>
      </c>
      <c r="F414">
        <v>8</v>
      </c>
      <c r="G414">
        <v>2</v>
      </c>
      <c r="H414">
        <v>5</v>
      </c>
      <c r="I414">
        <v>4</v>
      </c>
      <c r="K414">
        <f>G414/I414</f>
        <v>0.5</v>
      </c>
      <c r="L414">
        <f>I414/F414</f>
        <v>0.5</v>
      </c>
    </row>
    <row r="415" spans="1:13" x14ac:dyDescent="0.25">
      <c r="A415">
        <v>160421</v>
      </c>
      <c r="B415" t="s">
        <v>19</v>
      </c>
      <c r="C415">
        <v>8</v>
      </c>
      <c r="D415">
        <v>2</v>
      </c>
      <c r="E415">
        <f>75-27</f>
        <v>48</v>
      </c>
      <c r="F415">
        <v>8</v>
      </c>
      <c r="G415">
        <v>6</v>
      </c>
      <c r="H415">
        <v>5</v>
      </c>
      <c r="I415">
        <v>5</v>
      </c>
      <c r="K415">
        <f>G415/I415</f>
        <v>1.2</v>
      </c>
      <c r="L415">
        <f>I415/F415</f>
        <v>0.625</v>
      </c>
    </row>
    <row r="416" spans="1:13" x14ac:dyDescent="0.25">
      <c r="A416">
        <v>160421</v>
      </c>
      <c r="B416" t="s">
        <v>19</v>
      </c>
      <c r="C416">
        <v>8</v>
      </c>
      <c r="D416">
        <v>3</v>
      </c>
      <c r="E416">
        <f>134-27</f>
        <v>107</v>
      </c>
      <c r="F416">
        <v>9</v>
      </c>
      <c r="G416">
        <v>7</v>
      </c>
      <c r="H416">
        <v>6</v>
      </c>
      <c r="I416">
        <v>6</v>
      </c>
      <c r="K416">
        <f>G416/I416</f>
        <v>1.1666666666666667</v>
      </c>
      <c r="L416">
        <f>I416/F416</f>
        <v>0.66666666666666663</v>
      </c>
    </row>
    <row r="417" spans="1:12" x14ac:dyDescent="0.25">
      <c r="A417">
        <v>160421</v>
      </c>
      <c r="B417" t="s">
        <v>19</v>
      </c>
      <c r="C417">
        <v>9</v>
      </c>
      <c r="D417">
        <v>1</v>
      </c>
      <c r="E417">
        <f>58-15</f>
        <v>43</v>
      </c>
      <c r="F417">
        <v>13</v>
      </c>
      <c r="G417">
        <v>4</v>
      </c>
      <c r="H417">
        <v>9</v>
      </c>
      <c r="I417">
        <v>5</v>
      </c>
      <c r="K417">
        <f>G417/I417</f>
        <v>0.8</v>
      </c>
      <c r="L417">
        <f>I417/F417</f>
        <v>0.38461538461538464</v>
      </c>
    </row>
    <row r="418" spans="1:12" x14ac:dyDescent="0.25">
      <c r="A418">
        <v>160421</v>
      </c>
      <c r="B418" t="s">
        <v>19</v>
      </c>
      <c r="C418">
        <v>9</v>
      </c>
      <c r="D418">
        <v>2</v>
      </c>
      <c r="E418">
        <f>135-15</f>
        <v>120</v>
      </c>
      <c r="F418">
        <v>9</v>
      </c>
      <c r="G418">
        <v>6</v>
      </c>
      <c r="H418">
        <v>5</v>
      </c>
      <c r="I418">
        <v>5</v>
      </c>
      <c r="K418">
        <f>G418/I418</f>
        <v>1.2</v>
      </c>
      <c r="L418">
        <f>I418/F418</f>
        <v>0.55555555555555558</v>
      </c>
    </row>
    <row r="419" spans="1:12" x14ac:dyDescent="0.25">
      <c r="A419">
        <v>160421</v>
      </c>
      <c r="B419" t="s">
        <v>19</v>
      </c>
      <c r="C419">
        <v>9</v>
      </c>
      <c r="D419">
        <v>3</v>
      </c>
      <c r="E419">
        <f>150-15</f>
        <v>135</v>
      </c>
      <c r="F419">
        <v>9</v>
      </c>
      <c r="G419">
        <v>4</v>
      </c>
      <c r="H419">
        <v>6</v>
      </c>
      <c r="I419">
        <v>3</v>
      </c>
      <c r="K419">
        <f>G419/I419</f>
        <v>1.3333333333333333</v>
      </c>
      <c r="L419">
        <f>I419/F419</f>
        <v>0.33333333333333331</v>
      </c>
    </row>
    <row r="420" spans="1:12" x14ac:dyDescent="0.25">
      <c r="A420">
        <v>160421</v>
      </c>
      <c r="B420" t="s">
        <v>19</v>
      </c>
      <c r="C420">
        <v>9</v>
      </c>
      <c r="D420">
        <v>4</v>
      </c>
      <c r="E420">
        <f>180-15</f>
        <v>165</v>
      </c>
      <c r="F420">
        <v>8</v>
      </c>
      <c r="G420">
        <v>3</v>
      </c>
      <c r="H420">
        <v>3</v>
      </c>
      <c r="I420">
        <v>3</v>
      </c>
      <c r="K420">
        <f>G420/I420</f>
        <v>1</v>
      </c>
      <c r="L420">
        <f>I420/F420</f>
        <v>0.375</v>
      </c>
    </row>
    <row r="421" spans="1:12" x14ac:dyDescent="0.25">
      <c r="A421">
        <v>160421</v>
      </c>
      <c r="B421" t="s">
        <v>19</v>
      </c>
      <c r="C421">
        <v>9</v>
      </c>
      <c r="D421">
        <v>5</v>
      </c>
      <c r="E421">
        <f>182-15</f>
        <v>167</v>
      </c>
      <c r="F421">
        <v>9</v>
      </c>
      <c r="G421">
        <v>5</v>
      </c>
      <c r="H421">
        <v>4</v>
      </c>
      <c r="I421">
        <v>4</v>
      </c>
      <c r="K421">
        <f>G421/I421</f>
        <v>1.25</v>
      </c>
      <c r="L421">
        <f>I421/F421</f>
        <v>0.44444444444444442</v>
      </c>
    </row>
    <row r="422" spans="1:12" x14ac:dyDescent="0.25">
      <c r="A422">
        <v>160421</v>
      </c>
      <c r="B422" t="s">
        <v>19</v>
      </c>
      <c r="C422">
        <v>9</v>
      </c>
      <c r="D422">
        <v>6</v>
      </c>
      <c r="E422">
        <f>196-15</f>
        <v>181</v>
      </c>
      <c r="F422">
        <v>10</v>
      </c>
      <c r="G422">
        <v>4</v>
      </c>
      <c r="H422">
        <v>4</v>
      </c>
      <c r="I422">
        <v>3</v>
      </c>
      <c r="K422">
        <f>G422/I422</f>
        <v>1.3333333333333333</v>
      </c>
      <c r="L422">
        <f>I422/F422</f>
        <v>0.3</v>
      </c>
    </row>
    <row r="423" spans="1:12" x14ac:dyDescent="0.25">
      <c r="A423">
        <v>160421</v>
      </c>
      <c r="B423" t="s">
        <v>19</v>
      </c>
      <c r="C423">
        <v>9</v>
      </c>
      <c r="D423">
        <v>7</v>
      </c>
      <c r="E423">
        <f>211-15</f>
        <v>196</v>
      </c>
      <c r="F423">
        <v>9</v>
      </c>
      <c r="G423">
        <v>4</v>
      </c>
      <c r="H423">
        <v>4</v>
      </c>
      <c r="I423">
        <v>3</v>
      </c>
      <c r="K423">
        <f>G423/I423</f>
        <v>1.3333333333333333</v>
      </c>
      <c r="L423">
        <f>I423/F423</f>
        <v>0.33333333333333331</v>
      </c>
    </row>
    <row r="424" spans="1:12" x14ac:dyDescent="0.25">
      <c r="A424">
        <v>160421</v>
      </c>
      <c r="B424" t="s">
        <v>19</v>
      </c>
      <c r="C424">
        <v>9</v>
      </c>
      <c r="D424">
        <v>8</v>
      </c>
      <c r="E424">
        <f>225-15</f>
        <v>210</v>
      </c>
      <c r="F424">
        <v>8</v>
      </c>
      <c r="G424">
        <v>4</v>
      </c>
      <c r="H424">
        <v>4</v>
      </c>
      <c r="I424">
        <v>5</v>
      </c>
      <c r="K424">
        <f>G424/I424</f>
        <v>0.8</v>
      </c>
      <c r="L424">
        <f>I424/F424</f>
        <v>0.625</v>
      </c>
    </row>
    <row r="425" spans="1:12" x14ac:dyDescent="0.25">
      <c r="A425">
        <v>160421</v>
      </c>
      <c r="B425" t="s">
        <v>19</v>
      </c>
      <c r="C425">
        <v>10</v>
      </c>
      <c r="D425">
        <v>1</v>
      </c>
      <c r="E425">
        <f>55-16</f>
        <v>39</v>
      </c>
      <c r="F425">
        <v>9</v>
      </c>
      <c r="G425">
        <v>3</v>
      </c>
      <c r="H425">
        <v>6</v>
      </c>
      <c r="I425">
        <v>3</v>
      </c>
      <c r="K425">
        <f>G425/I425</f>
        <v>1</v>
      </c>
      <c r="L425">
        <f>I425/F425</f>
        <v>0.33333333333333331</v>
      </c>
    </row>
    <row r="426" spans="1:12" x14ac:dyDescent="0.25">
      <c r="A426">
        <v>160421</v>
      </c>
      <c r="B426" t="s">
        <v>19</v>
      </c>
      <c r="C426">
        <v>10</v>
      </c>
      <c r="D426">
        <v>2</v>
      </c>
      <c r="E426">
        <f>61-16</f>
        <v>45</v>
      </c>
      <c r="F426">
        <v>13</v>
      </c>
      <c r="G426">
        <v>8</v>
      </c>
      <c r="H426">
        <v>6</v>
      </c>
      <c r="I426">
        <v>6</v>
      </c>
      <c r="K426">
        <f>G426/I426</f>
        <v>1.3333333333333333</v>
      </c>
      <c r="L426">
        <f>I426/F426</f>
        <v>0.46153846153846156</v>
      </c>
    </row>
    <row r="427" spans="1:12" x14ac:dyDescent="0.25">
      <c r="A427">
        <v>160421</v>
      </c>
      <c r="B427" t="s">
        <v>19</v>
      </c>
      <c r="C427">
        <v>10</v>
      </c>
      <c r="D427">
        <v>3</v>
      </c>
      <c r="E427">
        <f>76-16</f>
        <v>60</v>
      </c>
      <c r="F427">
        <v>8</v>
      </c>
      <c r="G427">
        <v>3</v>
      </c>
      <c r="H427">
        <v>4</v>
      </c>
      <c r="I427">
        <v>4</v>
      </c>
      <c r="K427">
        <f>G427/I427</f>
        <v>0.75</v>
      </c>
      <c r="L427">
        <f>I427/F427</f>
        <v>0.5</v>
      </c>
    </row>
    <row r="428" spans="1:12" x14ac:dyDescent="0.25">
      <c r="A428">
        <v>160421</v>
      </c>
      <c r="B428" t="s">
        <v>19</v>
      </c>
      <c r="C428">
        <v>11</v>
      </c>
      <c r="D428">
        <v>1</v>
      </c>
      <c r="E428">
        <f>193-22</f>
        <v>171</v>
      </c>
      <c r="F428">
        <v>11</v>
      </c>
      <c r="G428">
        <v>6</v>
      </c>
      <c r="H428">
        <v>7</v>
      </c>
      <c r="I428">
        <v>7</v>
      </c>
      <c r="K428">
        <f>G428/I428</f>
        <v>0.8571428571428571</v>
      </c>
      <c r="L428">
        <f>I428/F428</f>
        <v>0.63636363636363635</v>
      </c>
    </row>
    <row r="429" spans="1:12" x14ac:dyDescent="0.25">
      <c r="A429">
        <v>160421</v>
      </c>
      <c r="B429" t="s">
        <v>19</v>
      </c>
      <c r="C429">
        <v>11</v>
      </c>
      <c r="D429">
        <v>2</v>
      </c>
      <c r="E429">
        <f>199-22</f>
        <v>177</v>
      </c>
      <c r="F429">
        <v>11</v>
      </c>
      <c r="G429">
        <v>3</v>
      </c>
      <c r="H429">
        <v>5</v>
      </c>
      <c r="I429">
        <v>5</v>
      </c>
      <c r="K429">
        <f>G429/I429</f>
        <v>0.6</v>
      </c>
      <c r="L429">
        <f>I429/F429</f>
        <v>0.45454545454545453</v>
      </c>
    </row>
    <row r="430" spans="1:12" x14ac:dyDescent="0.25">
      <c r="A430">
        <v>160421</v>
      </c>
      <c r="B430" t="s">
        <v>19</v>
      </c>
      <c r="C430">
        <v>11</v>
      </c>
      <c r="D430">
        <v>3</v>
      </c>
      <c r="E430">
        <f>222-22</f>
        <v>200</v>
      </c>
      <c r="F430">
        <v>10</v>
      </c>
      <c r="G430">
        <v>3</v>
      </c>
      <c r="H430">
        <v>4</v>
      </c>
      <c r="I430">
        <v>3</v>
      </c>
      <c r="K430">
        <f>G430/I430</f>
        <v>1</v>
      </c>
      <c r="L430">
        <f>I430/F430</f>
        <v>0.3</v>
      </c>
    </row>
    <row r="431" spans="1:12" x14ac:dyDescent="0.25">
      <c r="A431">
        <v>160421</v>
      </c>
      <c r="B431" t="s">
        <v>19</v>
      </c>
      <c r="C431">
        <v>11</v>
      </c>
      <c r="D431">
        <v>4</v>
      </c>
      <c r="E431">
        <f>252-22</f>
        <v>230</v>
      </c>
      <c r="F431">
        <v>8</v>
      </c>
      <c r="G431">
        <v>4</v>
      </c>
      <c r="H431">
        <v>5</v>
      </c>
      <c r="I431">
        <v>4</v>
      </c>
      <c r="K431">
        <f>G431/I431</f>
        <v>1</v>
      </c>
      <c r="L431">
        <f>I431/F431</f>
        <v>0.5</v>
      </c>
    </row>
    <row r="432" spans="1:12" x14ac:dyDescent="0.25">
      <c r="A432">
        <v>160421</v>
      </c>
      <c r="B432" t="s">
        <v>19</v>
      </c>
      <c r="C432">
        <v>11</v>
      </c>
      <c r="D432">
        <v>5</v>
      </c>
      <c r="E432">
        <f>265-22</f>
        <v>243</v>
      </c>
      <c r="F432">
        <v>9</v>
      </c>
      <c r="G432">
        <v>4</v>
      </c>
      <c r="H432">
        <v>5</v>
      </c>
      <c r="I432">
        <v>3</v>
      </c>
      <c r="K432">
        <f>G432/I432</f>
        <v>1.3333333333333333</v>
      </c>
      <c r="L432">
        <f>I432/F432</f>
        <v>0.33333333333333331</v>
      </c>
    </row>
    <row r="433" spans="1:13" x14ac:dyDescent="0.25">
      <c r="A433">
        <v>160421</v>
      </c>
      <c r="B433" t="s">
        <v>19</v>
      </c>
      <c r="C433">
        <v>12</v>
      </c>
      <c r="D433">
        <v>1</v>
      </c>
      <c r="E433">
        <f>142-26</f>
        <v>116</v>
      </c>
      <c r="F433">
        <v>10</v>
      </c>
      <c r="G433">
        <v>4</v>
      </c>
      <c r="H433">
        <v>7</v>
      </c>
      <c r="I433">
        <v>5</v>
      </c>
      <c r="K433">
        <f>G433/I433</f>
        <v>0.8</v>
      </c>
      <c r="L433">
        <f>I433/F433</f>
        <v>0.5</v>
      </c>
    </row>
    <row r="434" spans="1:13" x14ac:dyDescent="0.25">
      <c r="A434">
        <v>160421</v>
      </c>
      <c r="B434" t="s">
        <v>19</v>
      </c>
      <c r="C434">
        <v>12</v>
      </c>
      <c r="D434">
        <v>2</v>
      </c>
      <c r="E434">
        <f>161-26</f>
        <v>135</v>
      </c>
      <c r="F434">
        <v>9</v>
      </c>
      <c r="G434">
        <v>4</v>
      </c>
      <c r="H434">
        <v>4</v>
      </c>
      <c r="I434">
        <v>3</v>
      </c>
      <c r="K434">
        <f>G434/I434</f>
        <v>1.3333333333333333</v>
      </c>
      <c r="L434">
        <f>I434/F434</f>
        <v>0.33333333333333331</v>
      </c>
    </row>
    <row r="435" spans="1:13" x14ac:dyDescent="0.25">
      <c r="A435">
        <v>160421</v>
      </c>
      <c r="B435" t="s">
        <v>19</v>
      </c>
      <c r="C435">
        <v>13</v>
      </c>
      <c r="D435">
        <v>1</v>
      </c>
      <c r="E435">
        <f>59-11</f>
        <v>48</v>
      </c>
      <c r="F435">
        <v>9</v>
      </c>
      <c r="G435">
        <v>2</v>
      </c>
      <c r="H435">
        <v>3</v>
      </c>
      <c r="I435">
        <v>3</v>
      </c>
      <c r="K435">
        <f>G435/I435</f>
        <v>0.66666666666666663</v>
      </c>
      <c r="L435">
        <f>I435/F435</f>
        <v>0.33333333333333331</v>
      </c>
    </row>
    <row r="436" spans="1:13" x14ac:dyDescent="0.25">
      <c r="A436">
        <v>160421</v>
      </c>
      <c r="B436" t="s">
        <v>19</v>
      </c>
      <c r="C436">
        <v>13</v>
      </c>
      <c r="D436">
        <v>2</v>
      </c>
      <c r="E436">
        <f>82-11</f>
        <v>71</v>
      </c>
      <c r="F436">
        <v>9</v>
      </c>
      <c r="G436">
        <v>5</v>
      </c>
      <c r="H436">
        <v>4</v>
      </c>
      <c r="I436">
        <v>5</v>
      </c>
      <c r="K436">
        <f>G436/I436</f>
        <v>1</v>
      </c>
      <c r="L436">
        <f>I436/F436</f>
        <v>0.55555555555555558</v>
      </c>
    </row>
    <row r="437" spans="1:13" x14ac:dyDescent="0.25">
      <c r="A437">
        <v>160421</v>
      </c>
      <c r="B437" t="s">
        <v>19</v>
      </c>
      <c r="C437">
        <v>13</v>
      </c>
      <c r="D437">
        <v>3</v>
      </c>
      <c r="E437">
        <f>90-11</f>
        <v>79</v>
      </c>
      <c r="F437">
        <v>8</v>
      </c>
      <c r="G437">
        <v>6</v>
      </c>
      <c r="H437">
        <v>6</v>
      </c>
      <c r="I437">
        <v>6</v>
      </c>
      <c r="K437">
        <f>G437/I437</f>
        <v>1</v>
      </c>
      <c r="L437">
        <f>I437/F437</f>
        <v>0.75</v>
      </c>
    </row>
    <row r="438" spans="1:13" x14ac:dyDescent="0.25">
      <c r="A438">
        <v>160421</v>
      </c>
      <c r="B438" t="s">
        <v>19</v>
      </c>
      <c r="C438">
        <v>14</v>
      </c>
      <c r="D438">
        <v>1</v>
      </c>
      <c r="E438">
        <f>218-64</f>
        <v>154</v>
      </c>
      <c r="F438">
        <v>19</v>
      </c>
      <c r="G438">
        <v>6</v>
      </c>
      <c r="H438">
        <v>12</v>
      </c>
      <c r="I438">
        <v>6</v>
      </c>
      <c r="K438">
        <f>G438/I438</f>
        <v>1</v>
      </c>
      <c r="L438">
        <f>I438/F438</f>
        <v>0.31578947368421051</v>
      </c>
    </row>
    <row r="439" spans="1:13" x14ac:dyDescent="0.25">
      <c r="A439">
        <v>160421</v>
      </c>
      <c r="B439" t="s">
        <v>19</v>
      </c>
      <c r="C439">
        <v>14</v>
      </c>
      <c r="D439">
        <v>2</v>
      </c>
      <c r="E439">
        <f>285-64</f>
        <v>221</v>
      </c>
      <c r="F439">
        <v>13</v>
      </c>
      <c r="G439">
        <v>3</v>
      </c>
      <c r="H439">
        <v>7</v>
      </c>
      <c r="I439">
        <v>4</v>
      </c>
      <c r="K439">
        <f>G439/I439</f>
        <v>0.75</v>
      </c>
      <c r="L439">
        <f>I439/F439</f>
        <v>0.30769230769230771</v>
      </c>
    </row>
    <row r="440" spans="1:13" x14ac:dyDescent="0.25">
      <c r="A440">
        <v>160421</v>
      </c>
      <c r="B440" t="s">
        <v>19</v>
      </c>
      <c r="C440">
        <v>15</v>
      </c>
      <c r="D440">
        <v>1</v>
      </c>
      <c r="E440">
        <f>71-45</f>
        <v>26</v>
      </c>
      <c r="F440">
        <v>21</v>
      </c>
      <c r="G440">
        <v>5</v>
      </c>
      <c r="H440">
        <v>6</v>
      </c>
      <c r="I440">
        <v>5</v>
      </c>
      <c r="K440">
        <f>G440/I440</f>
        <v>1</v>
      </c>
      <c r="L440">
        <f>I440/F440</f>
        <v>0.23809523809523808</v>
      </c>
      <c r="M440" t="s">
        <v>9</v>
      </c>
    </row>
    <row r="441" spans="1:13" x14ac:dyDescent="0.25">
      <c r="A441">
        <v>160421</v>
      </c>
      <c r="B441" t="s">
        <v>19</v>
      </c>
      <c r="C441">
        <v>15</v>
      </c>
      <c r="D441">
        <v>2</v>
      </c>
      <c r="E441">
        <f>164-45</f>
        <v>119</v>
      </c>
      <c r="F441">
        <v>14</v>
      </c>
      <c r="G441">
        <v>5</v>
      </c>
      <c r="H441">
        <v>5</v>
      </c>
      <c r="I441">
        <v>5</v>
      </c>
      <c r="K441">
        <f>G441/I441</f>
        <v>1</v>
      </c>
      <c r="L441">
        <f>I441/F441</f>
        <v>0.35714285714285715</v>
      </c>
      <c r="M441" t="s">
        <v>9</v>
      </c>
    </row>
    <row r="442" spans="1:13" x14ac:dyDescent="0.25">
      <c r="A442">
        <v>160421</v>
      </c>
      <c r="B442" t="s">
        <v>19</v>
      </c>
      <c r="C442">
        <v>15</v>
      </c>
      <c r="D442">
        <v>3</v>
      </c>
      <c r="E442">
        <f>243-45</f>
        <v>198</v>
      </c>
      <c r="F442">
        <v>14</v>
      </c>
      <c r="G442">
        <v>2</v>
      </c>
      <c r="H442">
        <v>8</v>
      </c>
      <c r="I442">
        <v>5</v>
      </c>
      <c r="K442">
        <f>G442/I442</f>
        <v>0.4</v>
      </c>
      <c r="L442">
        <f>I442/F442</f>
        <v>0.35714285714285715</v>
      </c>
    </row>
    <row r="443" spans="1:13" x14ac:dyDescent="0.25">
      <c r="A443">
        <v>160421</v>
      </c>
      <c r="B443" t="s">
        <v>19</v>
      </c>
      <c r="C443">
        <v>15</v>
      </c>
      <c r="D443">
        <v>4</v>
      </c>
      <c r="E443">
        <f>282-45</f>
        <v>237</v>
      </c>
      <c r="F443">
        <v>17</v>
      </c>
      <c r="G443">
        <v>5</v>
      </c>
      <c r="H443">
        <v>6</v>
      </c>
      <c r="I443">
        <v>5</v>
      </c>
      <c r="K443">
        <f>G443/I443</f>
        <v>1</v>
      </c>
      <c r="L443">
        <f>I443/F443</f>
        <v>0.29411764705882354</v>
      </c>
      <c r="M443" t="s">
        <v>9</v>
      </c>
    </row>
    <row r="444" spans="1:13" x14ac:dyDescent="0.25">
      <c r="A444">
        <v>160421</v>
      </c>
      <c r="B444" t="s">
        <v>19</v>
      </c>
      <c r="C444">
        <v>16</v>
      </c>
      <c r="D444">
        <v>1</v>
      </c>
      <c r="E444">
        <f>211-62</f>
        <v>149</v>
      </c>
      <c r="F444">
        <v>15</v>
      </c>
      <c r="G444">
        <v>5</v>
      </c>
      <c r="H444">
        <v>5</v>
      </c>
      <c r="I444">
        <v>5</v>
      </c>
      <c r="K444">
        <f>G444/I444</f>
        <v>1</v>
      </c>
      <c r="L444">
        <f>I444/F444</f>
        <v>0.33333333333333331</v>
      </c>
    </row>
    <row r="445" spans="1:13" x14ac:dyDescent="0.25">
      <c r="A445">
        <v>160421</v>
      </c>
      <c r="B445" t="s">
        <v>19</v>
      </c>
      <c r="C445">
        <v>16</v>
      </c>
      <c r="D445">
        <v>2</v>
      </c>
      <c r="E445">
        <f>249-62</f>
        <v>187</v>
      </c>
      <c r="F445">
        <v>11</v>
      </c>
      <c r="G445">
        <v>4</v>
      </c>
      <c r="H445">
        <v>4</v>
      </c>
      <c r="I445">
        <v>3</v>
      </c>
      <c r="K445">
        <f>G445/I445</f>
        <v>1.3333333333333333</v>
      </c>
      <c r="L445">
        <f>I445/F445</f>
        <v>0.27272727272727271</v>
      </c>
    </row>
    <row r="446" spans="1:13" x14ac:dyDescent="0.25">
      <c r="A446">
        <v>160421</v>
      </c>
      <c r="B446" t="s">
        <v>19</v>
      </c>
      <c r="C446">
        <v>16</v>
      </c>
      <c r="D446">
        <v>3</v>
      </c>
      <c r="E446">
        <f>305-62</f>
        <v>243</v>
      </c>
      <c r="F446">
        <v>13</v>
      </c>
      <c r="G446">
        <v>2</v>
      </c>
      <c r="H446">
        <v>6</v>
      </c>
      <c r="I446">
        <v>4</v>
      </c>
      <c r="K446">
        <f>G446/I446</f>
        <v>0.5</v>
      </c>
      <c r="L446">
        <f>I446/F446</f>
        <v>0.30769230769230771</v>
      </c>
    </row>
    <row r="447" spans="1:13" x14ac:dyDescent="0.25">
      <c r="A447">
        <v>160421</v>
      </c>
      <c r="B447" t="s">
        <v>19</v>
      </c>
      <c r="C447">
        <v>17</v>
      </c>
      <c r="D447">
        <v>1</v>
      </c>
      <c r="E447">
        <f>69-51</f>
        <v>18</v>
      </c>
      <c r="F447">
        <v>11</v>
      </c>
      <c r="G447">
        <v>4</v>
      </c>
      <c r="H447">
        <v>9</v>
      </c>
      <c r="I447">
        <v>5</v>
      </c>
      <c r="K447">
        <f>G447/I447</f>
        <v>0.8</v>
      </c>
      <c r="L447">
        <f>I447/F447</f>
        <v>0.45454545454545453</v>
      </c>
    </row>
    <row r="448" spans="1:13" x14ac:dyDescent="0.25">
      <c r="A448">
        <v>160421</v>
      </c>
      <c r="B448" t="s">
        <v>19</v>
      </c>
      <c r="C448">
        <v>17</v>
      </c>
      <c r="D448">
        <v>2</v>
      </c>
      <c r="E448">
        <f>87-51</f>
        <v>36</v>
      </c>
      <c r="F448">
        <v>10</v>
      </c>
      <c r="G448">
        <v>2</v>
      </c>
      <c r="H448">
        <v>4</v>
      </c>
      <c r="I448">
        <v>4</v>
      </c>
      <c r="K448">
        <f>G448/I448</f>
        <v>0.5</v>
      </c>
      <c r="L448">
        <f>I448/F448</f>
        <v>0.4</v>
      </c>
    </row>
    <row r="449" spans="1:12" x14ac:dyDescent="0.25">
      <c r="A449">
        <v>160421</v>
      </c>
      <c r="B449" t="s">
        <v>19</v>
      </c>
      <c r="C449">
        <v>17</v>
      </c>
      <c r="D449">
        <v>3</v>
      </c>
      <c r="E449">
        <f>163-51</f>
        <v>112</v>
      </c>
      <c r="F449">
        <v>9</v>
      </c>
      <c r="G449">
        <v>5</v>
      </c>
      <c r="H449">
        <v>5</v>
      </c>
      <c r="I449">
        <v>4</v>
      </c>
      <c r="K449">
        <f>G449/I449</f>
        <v>1.25</v>
      </c>
      <c r="L449">
        <f>I449/F449</f>
        <v>0.44444444444444442</v>
      </c>
    </row>
    <row r="450" spans="1:12" x14ac:dyDescent="0.25">
      <c r="A450">
        <v>160421</v>
      </c>
      <c r="B450" t="s">
        <v>19</v>
      </c>
      <c r="C450">
        <v>17</v>
      </c>
      <c r="D450">
        <v>4</v>
      </c>
      <c r="E450">
        <v>195</v>
      </c>
      <c r="F450">
        <v>9</v>
      </c>
      <c r="J450" t="s">
        <v>0</v>
      </c>
    </row>
    <row r="451" spans="1:12" x14ac:dyDescent="0.25">
      <c r="A451">
        <v>120419</v>
      </c>
      <c r="B451" t="s">
        <v>18</v>
      </c>
      <c r="C451">
        <v>1</v>
      </c>
      <c r="D451">
        <v>1</v>
      </c>
      <c r="E451">
        <f>274-120</f>
        <v>154</v>
      </c>
      <c r="F451">
        <v>13</v>
      </c>
      <c r="G451">
        <v>6</v>
      </c>
      <c r="H451">
        <v>10</v>
      </c>
      <c r="I451">
        <v>10</v>
      </c>
      <c r="K451">
        <f t="shared" ref="K451:K466" si="54">G451/I451</f>
        <v>0.6</v>
      </c>
      <c r="L451">
        <f t="shared" ref="L451:L466" si="55">I451/F451</f>
        <v>0.76923076923076927</v>
      </c>
    </row>
    <row r="452" spans="1:12" x14ac:dyDescent="0.25">
      <c r="A452">
        <v>120419</v>
      </c>
      <c r="B452" t="s">
        <v>18</v>
      </c>
      <c r="C452">
        <v>1</v>
      </c>
      <c r="D452">
        <v>2</v>
      </c>
      <c r="E452">
        <f>544-120</f>
        <v>424</v>
      </c>
      <c r="F452">
        <v>16</v>
      </c>
      <c r="G452">
        <v>8</v>
      </c>
      <c r="H452">
        <v>9</v>
      </c>
      <c r="I452">
        <v>8</v>
      </c>
      <c r="K452">
        <f t="shared" si="54"/>
        <v>1</v>
      </c>
      <c r="L452">
        <f t="shared" si="55"/>
        <v>0.5</v>
      </c>
    </row>
    <row r="453" spans="1:12" x14ac:dyDescent="0.25">
      <c r="A453">
        <v>120419</v>
      </c>
      <c r="B453" t="s">
        <v>18</v>
      </c>
      <c r="C453">
        <v>1</v>
      </c>
      <c r="D453">
        <v>3</v>
      </c>
      <c r="E453">
        <f>639-120</f>
        <v>519</v>
      </c>
      <c r="F453">
        <v>11</v>
      </c>
      <c r="G453">
        <v>7</v>
      </c>
      <c r="H453">
        <v>7</v>
      </c>
      <c r="I453">
        <v>7</v>
      </c>
      <c r="K453">
        <f t="shared" si="54"/>
        <v>1</v>
      </c>
      <c r="L453">
        <f t="shared" si="55"/>
        <v>0.63636363636363635</v>
      </c>
    </row>
    <row r="454" spans="1:12" x14ac:dyDescent="0.25">
      <c r="A454">
        <v>120419</v>
      </c>
      <c r="B454" t="s">
        <v>18</v>
      </c>
      <c r="C454">
        <v>2</v>
      </c>
      <c r="D454">
        <v>1</v>
      </c>
      <c r="E454">
        <f>561-97</f>
        <v>464</v>
      </c>
      <c r="F454">
        <v>20</v>
      </c>
      <c r="G454">
        <v>7</v>
      </c>
      <c r="H454">
        <v>11</v>
      </c>
      <c r="I454">
        <v>8</v>
      </c>
      <c r="K454">
        <f t="shared" si="54"/>
        <v>0.875</v>
      </c>
      <c r="L454">
        <f t="shared" si="55"/>
        <v>0.4</v>
      </c>
    </row>
    <row r="455" spans="1:12" x14ac:dyDescent="0.25">
      <c r="A455">
        <v>120419</v>
      </c>
      <c r="B455" t="s">
        <v>18</v>
      </c>
      <c r="C455">
        <v>2</v>
      </c>
      <c r="D455">
        <v>2</v>
      </c>
      <c r="E455">
        <f>602-97</f>
        <v>505</v>
      </c>
      <c r="F455">
        <v>15</v>
      </c>
      <c r="G455">
        <v>5</v>
      </c>
      <c r="H455">
        <v>7</v>
      </c>
      <c r="I455">
        <v>5</v>
      </c>
      <c r="K455">
        <f t="shared" si="54"/>
        <v>1</v>
      </c>
      <c r="L455">
        <f t="shared" si="55"/>
        <v>0.33333333333333331</v>
      </c>
    </row>
    <row r="456" spans="1:12" x14ac:dyDescent="0.25">
      <c r="A456">
        <v>120419</v>
      </c>
      <c r="B456" t="s">
        <v>18</v>
      </c>
      <c r="C456">
        <v>3</v>
      </c>
      <c r="D456">
        <v>1</v>
      </c>
      <c r="E456">
        <f>240-69</f>
        <v>171</v>
      </c>
      <c r="F456">
        <v>18</v>
      </c>
      <c r="G456">
        <v>5</v>
      </c>
      <c r="H456">
        <v>6</v>
      </c>
      <c r="I456">
        <v>6</v>
      </c>
      <c r="K456">
        <f t="shared" si="54"/>
        <v>0.83333333333333337</v>
      </c>
      <c r="L456">
        <f t="shared" si="55"/>
        <v>0.33333333333333331</v>
      </c>
    </row>
    <row r="457" spans="1:12" x14ac:dyDescent="0.25">
      <c r="A457">
        <v>120419</v>
      </c>
      <c r="B457" t="s">
        <v>18</v>
      </c>
      <c r="C457">
        <v>3</v>
      </c>
      <c r="D457">
        <v>2</v>
      </c>
      <c r="E457">
        <f>392-69</f>
        <v>323</v>
      </c>
      <c r="F457">
        <v>20</v>
      </c>
      <c r="G457">
        <v>6</v>
      </c>
      <c r="H457">
        <v>10</v>
      </c>
      <c r="I457">
        <v>7</v>
      </c>
      <c r="K457">
        <f t="shared" si="54"/>
        <v>0.8571428571428571</v>
      </c>
      <c r="L457">
        <f t="shared" si="55"/>
        <v>0.35</v>
      </c>
    </row>
    <row r="458" spans="1:12" x14ac:dyDescent="0.25">
      <c r="A458">
        <v>120419</v>
      </c>
      <c r="B458" t="s">
        <v>18</v>
      </c>
      <c r="C458">
        <v>3</v>
      </c>
      <c r="D458">
        <v>3</v>
      </c>
      <c r="E458">
        <f>554-69</f>
        <v>485</v>
      </c>
      <c r="F458">
        <v>18</v>
      </c>
      <c r="G458">
        <v>6</v>
      </c>
      <c r="H458">
        <v>10</v>
      </c>
      <c r="I458">
        <v>8</v>
      </c>
      <c r="K458">
        <f t="shared" si="54"/>
        <v>0.75</v>
      </c>
      <c r="L458">
        <f t="shared" si="55"/>
        <v>0.44444444444444442</v>
      </c>
    </row>
    <row r="459" spans="1:12" x14ac:dyDescent="0.25">
      <c r="A459">
        <v>120419</v>
      </c>
      <c r="B459" t="s">
        <v>18</v>
      </c>
      <c r="C459">
        <v>4</v>
      </c>
      <c r="D459">
        <v>1</v>
      </c>
      <c r="E459">
        <f>329-16</f>
        <v>313</v>
      </c>
      <c r="F459">
        <v>12</v>
      </c>
      <c r="G459">
        <v>3</v>
      </c>
      <c r="H459">
        <v>5</v>
      </c>
      <c r="I459">
        <v>3</v>
      </c>
      <c r="K459">
        <f t="shared" si="54"/>
        <v>1</v>
      </c>
      <c r="L459">
        <f t="shared" si="55"/>
        <v>0.25</v>
      </c>
    </row>
    <row r="460" spans="1:12" x14ac:dyDescent="0.25">
      <c r="A460">
        <v>120419</v>
      </c>
      <c r="B460" t="s">
        <v>18</v>
      </c>
      <c r="C460">
        <v>4</v>
      </c>
      <c r="D460">
        <v>2</v>
      </c>
      <c r="E460">
        <f>398-16</f>
        <v>382</v>
      </c>
      <c r="F460">
        <v>12</v>
      </c>
      <c r="G460">
        <v>5</v>
      </c>
      <c r="H460">
        <v>7</v>
      </c>
      <c r="I460">
        <v>5</v>
      </c>
      <c r="K460">
        <f t="shared" si="54"/>
        <v>1</v>
      </c>
      <c r="L460">
        <f t="shared" si="55"/>
        <v>0.41666666666666669</v>
      </c>
    </row>
    <row r="461" spans="1:12" x14ac:dyDescent="0.25">
      <c r="A461">
        <v>120419</v>
      </c>
      <c r="B461" t="s">
        <v>18</v>
      </c>
      <c r="C461">
        <v>4</v>
      </c>
      <c r="D461">
        <v>3</v>
      </c>
      <c r="E461">
        <f>462-16</f>
        <v>446</v>
      </c>
      <c r="F461">
        <v>13</v>
      </c>
      <c r="G461">
        <v>5</v>
      </c>
      <c r="H461">
        <v>6</v>
      </c>
      <c r="I461">
        <v>6</v>
      </c>
      <c r="K461">
        <f t="shared" si="54"/>
        <v>0.83333333333333337</v>
      </c>
      <c r="L461">
        <f t="shared" si="55"/>
        <v>0.46153846153846156</v>
      </c>
    </row>
    <row r="462" spans="1:12" x14ac:dyDescent="0.25">
      <c r="A462">
        <v>120419</v>
      </c>
      <c r="B462" t="s">
        <v>18</v>
      </c>
      <c r="C462">
        <v>4</v>
      </c>
      <c r="D462">
        <v>4</v>
      </c>
      <c r="E462">
        <f>551-16</f>
        <v>535</v>
      </c>
      <c r="F462">
        <v>12</v>
      </c>
      <c r="G462">
        <v>3</v>
      </c>
      <c r="H462">
        <v>6</v>
      </c>
      <c r="I462">
        <v>4</v>
      </c>
      <c r="K462">
        <f t="shared" si="54"/>
        <v>0.75</v>
      </c>
      <c r="L462">
        <f t="shared" si="55"/>
        <v>0.33333333333333331</v>
      </c>
    </row>
    <row r="463" spans="1:12" x14ac:dyDescent="0.25">
      <c r="A463">
        <v>120419</v>
      </c>
      <c r="B463" t="s">
        <v>18</v>
      </c>
      <c r="C463">
        <v>4</v>
      </c>
      <c r="D463">
        <v>5</v>
      </c>
      <c r="E463">
        <f>561-16</f>
        <v>545</v>
      </c>
      <c r="F463">
        <v>11</v>
      </c>
      <c r="G463">
        <v>4</v>
      </c>
      <c r="H463">
        <v>7</v>
      </c>
      <c r="I463">
        <v>5</v>
      </c>
      <c r="K463">
        <f t="shared" si="54"/>
        <v>0.8</v>
      </c>
      <c r="L463">
        <f t="shared" si="55"/>
        <v>0.45454545454545453</v>
      </c>
    </row>
    <row r="464" spans="1:12" x14ac:dyDescent="0.25">
      <c r="A464">
        <v>120419</v>
      </c>
      <c r="B464" t="s">
        <v>18</v>
      </c>
      <c r="C464">
        <v>4</v>
      </c>
      <c r="D464">
        <v>6</v>
      </c>
      <c r="E464">
        <f>607-16</f>
        <v>591</v>
      </c>
      <c r="F464">
        <v>9</v>
      </c>
      <c r="G464">
        <v>5</v>
      </c>
      <c r="H464">
        <v>6</v>
      </c>
      <c r="I464">
        <v>6</v>
      </c>
      <c r="K464">
        <f t="shared" si="54"/>
        <v>0.83333333333333337</v>
      </c>
      <c r="L464">
        <f t="shared" si="55"/>
        <v>0.66666666666666663</v>
      </c>
    </row>
    <row r="465" spans="1:12" x14ac:dyDescent="0.25">
      <c r="A465">
        <v>120419</v>
      </c>
      <c r="B465" t="s">
        <v>18</v>
      </c>
      <c r="C465">
        <v>5</v>
      </c>
      <c r="D465">
        <v>1</v>
      </c>
      <c r="E465">
        <f>60-1</f>
        <v>59</v>
      </c>
      <c r="F465">
        <v>7</v>
      </c>
      <c r="G465">
        <v>2</v>
      </c>
      <c r="H465">
        <v>5</v>
      </c>
      <c r="I465">
        <v>4</v>
      </c>
      <c r="K465">
        <f t="shared" si="54"/>
        <v>0.5</v>
      </c>
      <c r="L465">
        <f t="shared" si="55"/>
        <v>0.5714285714285714</v>
      </c>
    </row>
    <row r="466" spans="1:12" x14ac:dyDescent="0.25">
      <c r="A466">
        <v>120419</v>
      </c>
      <c r="B466" t="s">
        <v>18</v>
      </c>
      <c r="C466">
        <v>5</v>
      </c>
      <c r="D466">
        <v>2</v>
      </c>
      <c r="E466">
        <f>156-1</f>
        <v>155</v>
      </c>
      <c r="F466">
        <v>9</v>
      </c>
      <c r="G466">
        <v>6</v>
      </c>
      <c r="H466">
        <v>5</v>
      </c>
      <c r="I466">
        <v>5</v>
      </c>
      <c r="K466">
        <f t="shared" si="54"/>
        <v>1.2</v>
      </c>
      <c r="L466">
        <f t="shared" si="55"/>
        <v>0.55555555555555558</v>
      </c>
    </row>
    <row r="467" spans="1:12" x14ac:dyDescent="0.25">
      <c r="A467">
        <v>120419</v>
      </c>
      <c r="B467" t="s">
        <v>18</v>
      </c>
      <c r="C467">
        <v>5</v>
      </c>
      <c r="D467">
        <v>3</v>
      </c>
      <c r="E467">
        <f>187-1</f>
        <v>186</v>
      </c>
      <c r="J467" t="s">
        <v>0</v>
      </c>
    </row>
    <row r="468" spans="1:12" x14ac:dyDescent="0.25">
      <c r="A468">
        <v>120419</v>
      </c>
      <c r="B468" t="s">
        <v>18</v>
      </c>
      <c r="C468">
        <v>5</v>
      </c>
      <c r="D468">
        <v>4</v>
      </c>
      <c r="E468">
        <f>282-1</f>
        <v>281</v>
      </c>
      <c r="F468">
        <v>8</v>
      </c>
      <c r="G468">
        <v>6</v>
      </c>
      <c r="H468">
        <v>6</v>
      </c>
      <c r="I468">
        <v>6</v>
      </c>
      <c r="K468">
        <f>G468/I468</f>
        <v>1</v>
      </c>
      <c r="L468">
        <f>I468/F468</f>
        <v>0.75</v>
      </c>
    </row>
    <row r="469" spans="1:12" x14ac:dyDescent="0.25">
      <c r="A469">
        <v>120419</v>
      </c>
      <c r="B469" t="s">
        <v>18</v>
      </c>
      <c r="C469">
        <v>5</v>
      </c>
      <c r="D469">
        <v>5</v>
      </c>
      <c r="E469">
        <f>289-1</f>
        <v>288</v>
      </c>
      <c r="F469">
        <v>9</v>
      </c>
      <c r="G469">
        <v>5</v>
      </c>
      <c r="H469">
        <v>5</v>
      </c>
      <c r="I469">
        <v>4</v>
      </c>
      <c r="K469">
        <f>G469/I469</f>
        <v>1.25</v>
      </c>
      <c r="L469">
        <f>I469/F469</f>
        <v>0.44444444444444442</v>
      </c>
    </row>
    <row r="470" spans="1:12" x14ac:dyDescent="0.25">
      <c r="A470">
        <v>120419</v>
      </c>
      <c r="B470" t="s">
        <v>18</v>
      </c>
      <c r="C470">
        <v>6</v>
      </c>
      <c r="D470">
        <v>1</v>
      </c>
      <c r="E470">
        <f>59-1</f>
        <v>58</v>
      </c>
      <c r="F470">
        <v>10</v>
      </c>
      <c r="G470">
        <v>3</v>
      </c>
      <c r="H470">
        <v>6</v>
      </c>
      <c r="I470">
        <v>5</v>
      </c>
      <c r="K470">
        <f>G470/I470</f>
        <v>0.6</v>
      </c>
      <c r="L470">
        <f>I470/F470</f>
        <v>0.5</v>
      </c>
    </row>
    <row r="471" spans="1:12" x14ac:dyDescent="0.25">
      <c r="A471">
        <v>120419</v>
      </c>
      <c r="B471" t="s">
        <v>18</v>
      </c>
      <c r="C471">
        <v>6</v>
      </c>
      <c r="D471">
        <v>2</v>
      </c>
      <c r="E471">
        <f>288-1</f>
        <v>287</v>
      </c>
      <c r="F471">
        <v>12</v>
      </c>
      <c r="G471">
        <v>4</v>
      </c>
      <c r="H471">
        <v>7</v>
      </c>
      <c r="I471">
        <v>6</v>
      </c>
      <c r="K471">
        <f>G471/I471</f>
        <v>0.66666666666666663</v>
      </c>
      <c r="L471">
        <f>I471/F471</f>
        <v>0.5</v>
      </c>
    </row>
    <row r="472" spans="1:12" x14ac:dyDescent="0.25">
      <c r="A472">
        <v>120419</v>
      </c>
      <c r="B472" t="s">
        <v>18</v>
      </c>
      <c r="C472">
        <v>6</v>
      </c>
      <c r="D472">
        <v>3</v>
      </c>
      <c r="E472">
        <f>349-1</f>
        <v>348</v>
      </c>
      <c r="F472">
        <v>10</v>
      </c>
      <c r="G472">
        <v>9</v>
      </c>
      <c r="H472">
        <v>9</v>
      </c>
      <c r="I472">
        <v>7</v>
      </c>
      <c r="K472">
        <f>G472/I472</f>
        <v>1.2857142857142858</v>
      </c>
      <c r="L472">
        <f>I472/F472</f>
        <v>0.7</v>
      </c>
    </row>
    <row r="473" spans="1:12" x14ac:dyDescent="0.25">
      <c r="A473">
        <v>120419</v>
      </c>
      <c r="B473" t="s">
        <v>18</v>
      </c>
      <c r="C473">
        <v>6</v>
      </c>
      <c r="D473">
        <v>4</v>
      </c>
      <c r="E473">
        <f>406-1</f>
        <v>405</v>
      </c>
      <c r="J473" t="s">
        <v>0</v>
      </c>
    </row>
    <row r="474" spans="1:12" x14ac:dyDescent="0.25">
      <c r="A474">
        <v>120419</v>
      </c>
      <c r="B474" t="s">
        <v>18</v>
      </c>
      <c r="C474">
        <v>6</v>
      </c>
      <c r="D474">
        <v>5</v>
      </c>
      <c r="E474">
        <f>457-1</f>
        <v>456</v>
      </c>
      <c r="F474">
        <v>8</v>
      </c>
      <c r="G474">
        <v>5</v>
      </c>
      <c r="H474">
        <v>5</v>
      </c>
      <c r="I474">
        <v>6</v>
      </c>
      <c r="K474">
        <f>G474/I474</f>
        <v>0.83333333333333337</v>
      </c>
      <c r="L474">
        <f>I474/F474</f>
        <v>0.75</v>
      </c>
    </row>
    <row r="475" spans="1:12" x14ac:dyDescent="0.25">
      <c r="A475">
        <v>120419</v>
      </c>
      <c r="B475" t="s">
        <v>18</v>
      </c>
      <c r="C475">
        <v>6</v>
      </c>
      <c r="D475">
        <v>6</v>
      </c>
      <c r="E475">
        <f>457-1</f>
        <v>456</v>
      </c>
      <c r="F475">
        <v>8</v>
      </c>
      <c r="G475">
        <v>5</v>
      </c>
      <c r="H475">
        <v>4</v>
      </c>
      <c r="I475">
        <v>4</v>
      </c>
      <c r="K475">
        <f>G475/I475</f>
        <v>1.25</v>
      </c>
      <c r="L475">
        <f>I475/F475</f>
        <v>0.5</v>
      </c>
    </row>
    <row r="476" spans="1:12" x14ac:dyDescent="0.25">
      <c r="A476">
        <v>120419</v>
      </c>
      <c r="B476" t="s">
        <v>18</v>
      </c>
      <c r="C476">
        <v>7</v>
      </c>
      <c r="D476">
        <v>1</v>
      </c>
      <c r="E476">
        <f>111-12</f>
        <v>99</v>
      </c>
      <c r="F476">
        <v>17</v>
      </c>
      <c r="G476">
        <v>4</v>
      </c>
      <c r="H476">
        <v>8</v>
      </c>
      <c r="I476">
        <v>5</v>
      </c>
      <c r="K476">
        <f>G476/I476</f>
        <v>0.8</v>
      </c>
      <c r="L476">
        <f>I476/F476</f>
        <v>0.29411764705882354</v>
      </c>
    </row>
    <row r="477" spans="1:12" x14ac:dyDescent="0.25">
      <c r="A477">
        <v>120419</v>
      </c>
      <c r="B477" t="s">
        <v>18</v>
      </c>
      <c r="C477">
        <v>7</v>
      </c>
      <c r="D477">
        <v>2</v>
      </c>
      <c r="E477">
        <f>219-12</f>
        <v>207</v>
      </c>
      <c r="F477">
        <v>11</v>
      </c>
      <c r="G477">
        <v>5</v>
      </c>
      <c r="H477">
        <v>7</v>
      </c>
      <c r="I477">
        <v>7</v>
      </c>
      <c r="K477">
        <f>G477/I477</f>
        <v>0.7142857142857143</v>
      </c>
      <c r="L477">
        <f>I477/F477</f>
        <v>0.63636363636363635</v>
      </c>
    </row>
    <row r="478" spans="1:12" x14ac:dyDescent="0.25">
      <c r="A478">
        <v>120419</v>
      </c>
      <c r="B478" t="s">
        <v>18</v>
      </c>
      <c r="C478">
        <v>7</v>
      </c>
      <c r="D478">
        <v>3</v>
      </c>
      <c r="E478">
        <f>433-12</f>
        <v>421</v>
      </c>
      <c r="F478">
        <v>16</v>
      </c>
      <c r="G478">
        <v>4</v>
      </c>
      <c r="H478">
        <v>9</v>
      </c>
      <c r="I478">
        <v>8</v>
      </c>
      <c r="K478">
        <f>G478/I478</f>
        <v>0.5</v>
      </c>
      <c r="L478">
        <f>I478/F478</f>
        <v>0.5</v>
      </c>
    </row>
    <row r="479" spans="1:12" x14ac:dyDescent="0.25">
      <c r="A479">
        <v>120419</v>
      </c>
      <c r="B479" t="s">
        <v>18</v>
      </c>
      <c r="C479">
        <v>7</v>
      </c>
      <c r="D479">
        <v>4</v>
      </c>
      <c r="E479">
        <f>438-12</f>
        <v>426</v>
      </c>
      <c r="F479">
        <v>16</v>
      </c>
      <c r="J479" t="s">
        <v>0</v>
      </c>
    </row>
    <row r="480" spans="1:12" x14ac:dyDescent="0.25">
      <c r="A480">
        <v>120419</v>
      </c>
      <c r="B480" t="s">
        <v>18</v>
      </c>
      <c r="C480">
        <v>7</v>
      </c>
      <c r="D480">
        <v>5</v>
      </c>
      <c r="E480">
        <f>519-12</f>
        <v>507</v>
      </c>
      <c r="F480">
        <v>13</v>
      </c>
      <c r="G480">
        <v>4</v>
      </c>
      <c r="H480">
        <v>7</v>
      </c>
      <c r="I480">
        <v>4</v>
      </c>
      <c r="K480">
        <f>G480/I480</f>
        <v>1</v>
      </c>
      <c r="L480">
        <f>I480/F480</f>
        <v>0.30769230769230771</v>
      </c>
    </row>
    <row r="481" spans="1:12" x14ac:dyDescent="0.25">
      <c r="A481">
        <v>120419</v>
      </c>
      <c r="B481" t="s">
        <v>18</v>
      </c>
      <c r="C481">
        <v>7</v>
      </c>
      <c r="D481">
        <v>6</v>
      </c>
      <c r="E481">
        <f>565-12</f>
        <v>553</v>
      </c>
      <c r="F481">
        <v>12</v>
      </c>
      <c r="G481">
        <v>5</v>
      </c>
      <c r="H481">
        <v>6</v>
      </c>
      <c r="I481">
        <v>5</v>
      </c>
      <c r="K481">
        <f>G481/I481</f>
        <v>1</v>
      </c>
      <c r="L481">
        <f>I481/F481</f>
        <v>0.41666666666666669</v>
      </c>
    </row>
    <row r="482" spans="1:12" x14ac:dyDescent="0.25">
      <c r="A482">
        <v>120419</v>
      </c>
      <c r="B482" t="s">
        <v>18</v>
      </c>
      <c r="C482">
        <v>7</v>
      </c>
      <c r="D482">
        <v>7</v>
      </c>
      <c r="E482">
        <f>641-12</f>
        <v>629</v>
      </c>
      <c r="F482">
        <v>12</v>
      </c>
      <c r="J482" t="s">
        <v>0</v>
      </c>
    </row>
    <row r="483" spans="1:12" x14ac:dyDescent="0.25">
      <c r="A483">
        <v>120419</v>
      </c>
      <c r="B483" t="s">
        <v>18</v>
      </c>
      <c r="C483">
        <v>8</v>
      </c>
      <c r="D483">
        <v>1</v>
      </c>
      <c r="E483">
        <f>86-31</f>
        <v>55</v>
      </c>
      <c r="F483">
        <v>7</v>
      </c>
      <c r="G483">
        <v>4</v>
      </c>
      <c r="H483">
        <v>6</v>
      </c>
      <c r="I483">
        <v>5</v>
      </c>
      <c r="K483">
        <f t="shared" ref="K483:K500" si="56">G483/I483</f>
        <v>0.8</v>
      </c>
      <c r="L483">
        <f t="shared" ref="L483:L500" si="57">I483/F483</f>
        <v>0.7142857142857143</v>
      </c>
    </row>
    <row r="484" spans="1:12" x14ac:dyDescent="0.25">
      <c r="A484">
        <v>120419</v>
      </c>
      <c r="B484" t="s">
        <v>18</v>
      </c>
      <c r="C484">
        <v>8</v>
      </c>
      <c r="D484">
        <v>2</v>
      </c>
      <c r="E484">
        <f>96-31</f>
        <v>65</v>
      </c>
      <c r="F484">
        <v>7</v>
      </c>
      <c r="G484">
        <v>3</v>
      </c>
      <c r="H484">
        <v>6</v>
      </c>
      <c r="I484">
        <v>4</v>
      </c>
      <c r="K484">
        <f t="shared" si="56"/>
        <v>0.75</v>
      </c>
      <c r="L484">
        <f t="shared" si="57"/>
        <v>0.5714285714285714</v>
      </c>
    </row>
    <row r="485" spans="1:12" x14ac:dyDescent="0.25">
      <c r="A485">
        <v>120419</v>
      </c>
      <c r="B485" t="s">
        <v>18</v>
      </c>
      <c r="C485">
        <v>8</v>
      </c>
      <c r="D485">
        <v>3</v>
      </c>
      <c r="E485">
        <f>224-31</f>
        <v>193</v>
      </c>
      <c r="F485">
        <v>9</v>
      </c>
      <c r="G485">
        <v>6</v>
      </c>
      <c r="H485">
        <v>5</v>
      </c>
      <c r="I485">
        <v>4</v>
      </c>
      <c r="K485">
        <f t="shared" si="56"/>
        <v>1.5</v>
      </c>
      <c r="L485">
        <f t="shared" si="57"/>
        <v>0.44444444444444442</v>
      </c>
    </row>
    <row r="486" spans="1:12" x14ac:dyDescent="0.25">
      <c r="A486">
        <v>120419</v>
      </c>
      <c r="B486" t="s">
        <v>18</v>
      </c>
      <c r="C486">
        <v>8</v>
      </c>
      <c r="D486">
        <v>4</v>
      </c>
      <c r="E486">
        <f>230-31</f>
        <v>199</v>
      </c>
      <c r="F486">
        <v>10</v>
      </c>
      <c r="G486">
        <v>6</v>
      </c>
      <c r="H486">
        <v>5</v>
      </c>
      <c r="I486">
        <v>5</v>
      </c>
      <c r="K486">
        <f t="shared" si="56"/>
        <v>1.2</v>
      </c>
      <c r="L486">
        <f t="shared" si="57"/>
        <v>0.5</v>
      </c>
    </row>
    <row r="487" spans="1:12" x14ac:dyDescent="0.25">
      <c r="A487">
        <v>120419</v>
      </c>
      <c r="B487" t="s">
        <v>18</v>
      </c>
      <c r="C487">
        <v>8</v>
      </c>
      <c r="D487">
        <v>5</v>
      </c>
      <c r="E487">
        <f>324-31</f>
        <v>293</v>
      </c>
      <c r="F487">
        <v>8</v>
      </c>
      <c r="G487">
        <v>4</v>
      </c>
      <c r="H487">
        <v>5</v>
      </c>
      <c r="I487">
        <v>4</v>
      </c>
      <c r="K487">
        <f t="shared" si="56"/>
        <v>1</v>
      </c>
      <c r="L487">
        <f t="shared" si="57"/>
        <v>0.5</v>
      </c>
    </row>
    <row r="488" spans="1:12" x14ac:dyDescent="0.25">
      <c r="A488">
        <v>120419</v>
      </c>
      <c r="B488" t="s">
        <v>18</v>
      </c>
      <c r="C488">
        <v>9</v>
      </c>
      <c r="D488">
        <v>1</v>
      </c>
      <c r="E488">
        <f>71-17</f>
        <v>54</v>
      </c>
      <c r="F488">
        <v>7</v>
      </c>
      <c r="G488">
        <v>8</v>
      </c>
      <c r="H488">
        <v>6</v>
      </c>
      <c r="I488">
        <v>6</v>
      </c>
      <c r="K488">
        <f t="shared" si="56"/>
        <v>1.3333333333333333</v>
      </c>
      <c r="L488">
        <f t="shared" si="57"/>
        <v>0.8571428571428571</v>
      </c>
    </row>
    <row r="489" spans="1:12" x14ac:dyDescent="0.25">
      <c r="A489">
        <v>120419</v>
      </c>
      <c r="B489" t="s">
        <v>18</v>
      </c>
      <c r="C489">
        <v>9</v>
      </c>
      <c r="D489">
        <v>2</v>
      </c>
      <c r="E489">
        <f>90-17</f>
        <v>73</v>
      </c>
      <c r="F489">
        <v>8</v>
      </c>
      <c r="G489">
        <v>3</v>
      </c>
      <c r="H489">
        <v>3</v>
      </c>
      <c r="I489">
        <v>3</v>
      </c>
      <c r="K489">
        <f t="shared" si="56"/>
        <v>1</v>
      </c>
      <c r="L489">
        <f t="shared" si="57"/>
        <v>0.375</v>
      </c>
    </row>
    <row r="490" spans="1:12" x14ac:dyDescent="0.25">
      <c r="A490">
        <v>120419</v>
      </c>
      <c r="B490" t="s">
        <v>18</v>
      </c>
      <c r="C490">
        <v>9</v>
      </c>
      <c r="D490">
        <v>3</v>
      </c>
      <c r="E490">
        <f>97-17</f>
        <v>80</v>
      </c>
      <c r="F490">
        <v>7</v>
      </c>
      <c r="G490">
        <v>4</v>
      </c>
      <c r="H490">
        <v>4</v>
      </c>
      <c r="I490">
        <v>4</v>
      </c>
      <c r="K490">
        <f t="shared" si="56"/>
        <v>1</v>
      </c>
      <c r="L490">
        <f t="shared" si="57"/>
        <v>0.5714285714285714</v>
      </c>
    </row>
    <row r="491" spans="1:12" x14ac:dyDescent="0.25">
      <c r="A491">
        <v>120419</v>
      </c>
      <c r="B491" t="s">
        <v>18</v>
      </c>
      <c r="C491">
        <v>9</v>
      </c>
      <c r="D491">
        <v>4</v>
      </c>
      <c r="E491">
        <f>100-17</f>
        <v>83</v>
      </c>
      <c r="F491">
        <v>8</v>
      </c>
      <c r="G491">
        <v>6</v>
      </c>
      <c r="H491">
        <v>6</v>
      </c>
      <c r="I491">
        <v>4</v>
      </c>
      <c r="K491">
        <f t="shared" si="56"/>
        <v>1.5</v>
      </c>
      <c r="L491">
        <f t="shared" si="57"/>
        <v>0.5</v>
      </c>
    </row>
    <row r="492" spans="1:12" x14ac:dyDescent="0.25">
      <c r="A492">
        <v>120419</v>
      </c>
      <c r="B492" t="s">
        <v>18</v>
      </c>
      <c r="C492">
        <v>10</v>
      </c>
      <c r="D492">
        <v>1</v>
      </c>
      <c r="E492">
        <f>172-58</f>
        <v>114</v>
      </c>
      <c r="F492">
        <v>12</v>
      </c>
      <c r="G492">
        <v>6</v>
      </c>
      <c r="H492">
        <v>6</v>
      </c>
      <c r="I492">
        <v>5</v>
      </c>
      <c r="K492">
        <f t="shared" si="56"/>
        <v>1.2</v>
      </c>
      <c r="L492">
        <f t="shared" si="57"/>
        <v>0.41666666666666669</v>
      </c>
    </row>
    <row r="493" spans="1:12" x14ac:dyDescent="0.25">
      <c r="A493">
        <v>120419</v>
      </c>
      <c r="B493" t="s">
        <v>18</v>
      </c>
      <c r="C493">
        <v>10</v>
      </c>
      <c r="D493">
        <v>2</v>
      </c>
      <c r="E493">
        <f>355-58</f>
        <v>297</v>
      </c>
      <c r="F493">
        <v>11</v>
      </c>
      <c r="G493">
        <v>8</v>
      </c>
      <c r="H493">
        <v>7</v>
      </c>
      <c r="I493">
        <v>5</v>
      </c>
      <c r="K493">
        <f t="shared" si="56"/>
        <v>1.6</v>
      </c>
      <c r="L493">
        <f t="shared" si="57"/>
        <v>0.45454545454545453</v>
      </c>
    </row>
    <row r="494" spans="1:12" x14ac:dyDescent="0.25">
      <c r="A494">
        <v>120419</v>
      </c>
      <c r="B494" t="s">
        <v>18</v>
      </c>
      <c r="C494">
        <v>10</v>
      </c>
      <c r="D494">
        <v>3</v>
      </c>
      <c r="E494">
        <f>494-58</f>
        <v>436</v>
      </c>
      <c r="F494">
        <v>9</v>
      </c>
      <c r="G494">
        <v>4</v>
      </c>
      <c r="H494">
        <v>4</v>
      </c>
      <c r="I494">
        <v>5</v>
      </c>
      <c r="K494">
        <f t="shared" si="56"/>
        <v>0.8</v>
      </c>
      <c r="L494">
        <f t="shared" si="57"/>
        <v>0.55555555555555558</v>
      </c>
    </row>
    <row r="495" spans="1:12" x14ac:dyDescent="0.25">
      <c r="A495">
        <v>120419</v>
      </c>
      <c r="B495" t="s">
        <v>18</v>
      </c>
      <c r="C495">
        <v>10</v>
      </c>
      <c r="D495">
        <v>4</v>
      </c>
      <c r="E495">
        <f>513-58</f>
        <v>455</v>
      </c>
      <c r="F495">
        <v>10</v>
      </c>
      <c r="G495">
        <v>6</v>
      </c>
      <c r="H495">
        <v>7</v>
      </c>
      <c r="I495">
        <v>4</v>
      </c>
      <c r="K495">
        <f t="shared" si="56"/>
        <v>1.5</v>
      </c>
      <c r="L495">
        <f t="shared" si="57"/>
        <v>0.4</v>
      </c>
    </row>
    <row r="496" spans="1:12" x14ac:dyDescent="0.25">
      <c r="A496">
        <v>120419</v>
      </c>
      <c r="B496" t="s">
        <v>18</v>
      </c>
      <c r="C496">
        <v>10</v>
      </c>
      <c r="D496">
        <v>5</v>
      </c>
      <c r="E496">
        <f>538-58</f>
        <v>480</v>
      </c>
      <c r="F496">
        <v>9</v>
      </c>
      <c r="G496">
        <v>4</v>
      </c>
      <c r="H496">
        <v>6</v>
      </c>
      <c r="I496">
        <v>6</v>
      </c>
      <c r="K496">
        <f t="shared" si="56"/>
        <v>0.66666666666666663</v>
      </c>
      <c r="L496">
        <f t="shared" si="57"/>
        <v>0.66666666666666663</v>
      </c>
    </row>
    <row r="497" spans="1:12" x14ac:dyDescent="0.25">
      <c r="A497">
        <v>120419</v>
      </c>
      <c r="B497" t="s">
        <v>18</v>
      </c>
      <c r="C497">
        <v>10</v>
      </c>
      <c r="D497">
        <v>6</v>
      </c>
      <c r="E497">
        <f>600-58</f>
        <v>542</v>
      </c>
      <c r="F497">
        <v>14</v>
      </c>
      <c r="G497">
        <v>5</v>
      </c>
      <c r="H497">
        <v>5</v>
      </c>
      <c r="I497">
        <v>5</v>
      </c>
      <c r="K497">
        <f t="shared" si="56"/>
        <v>1</v>
      </c>
      <c r="L497">
        <f t="shared" si="57"/>
        <v>0.35714285714285715</v>
      </c>
    </row>
    <row r="498" spans="1:12" x14ac:dyDescent="0.25">
      <c r="A498">
        <v>120419</v>
      </c>
      <c r="B498" t="s">
        <v>18</v>
      </c>
      <c r="C498">
        <v>11</v>
      </c>
      <c r="D498">
        <v>1</v>
      </c>
      <c r="E498">
        <f>475-54</f>
        <v>421</v>
      </c>
      <c r="F498">
        <v>9</v>
      </c>
      <c r="G498">
        <v>6</v>
      </c>
      <c r="H498">
        <v>8</v>
      </c>
      <c r="I498">
        <v>5</v>
      </c>
      <c r="K498">
        <f t="shared" si="56"/>
        <v>1.2</v>
      </c>
      <c r="L498">
        <f t="shared" si="57"/>
        <v>0.55555555555555558</v>
      </c>
    </row>
    <row r="499" spans="1:12" x14ac:dyDescent="0.25">
      <c r="A499">
        <v>120419</v>
      </c>
      <c r="B499" t="s">
        <v>18</v>
      </c>
      <c r="C499">
        <v>12</v>
      </c>
      <c r="D499">
        <v>1</v>
      </c>
      <c r="E499">
        <f>32-16</f>
        <v>16</v>
      </c>
      <c r="F499">
        <v>22</v>
      </c>
      <c r="G499">
        <v>6</v>
      </c>
      <c r="H499">
        <v>11</v>
      </c>
      <c r="I499">
        <v>8</v>
      </c>
      <c r="K499">
        <f t="shared" si="56"/>
        <v>0.75</v>
      </c>
      <c r="L499">
        <f t="shared" si="57"/>
        <v>0.36363636363636365</v>
      </c>
    </row>
    <row r="500" spans="1:12" x14ac:dyDescent="0.25">
      <c r="A500">
        <v>120419</v>
      </c>
      <c r="B500" t="s">
        <v>18</v>
      </c>
      <c r="C500">
        <v>13</v>
      </c>
      <c r="D500">
        <v>1</v>
      </c>
      <c r="E500">
        <f>399-29</f>
        <v>370</v>
      </c>
      <c r="F500">
        <v>12</v>
      </c>
      <c r="G500">
        <v>6</v>
      </c>
      <c r="H500">
        <v>7</v>
      </c>
      <c r="I500">
        <v>7</v>
      </c>
      <c r="K500">
        <f t="shared" si="56"/>
        <v>0.8571428571428571</v>
      </c>
      <c r="L500">
        <f t="shared" si="57"/>
        <v>0.58333333333333337</v>
      </c>
    </row>
    <row r="501" spans="1:12" x14ac:dyDescent="0.25">
      <c r="A501">
        <v>120419</v>
      </c>
      <c r="B501" t="s">
        <v>18</v>
      </c>
      <c r="C501">
        <v>13</v>
      </c>
      <c r="D501">
        <v>2</v>
      </c>
      <c r="E501">
        <f>501-29</f>
        <v>472</v>
      </c>
      <c r="F501">
        <v>14</v>
      </c>
      <c r="J501" t="s">
        <v>0</v>
      </c>
    </row>
    <row r="502" spans="1:12" x14ac:dyDescent="0.25">
      <c r="A502">
        <v>120419</v>
      </c>
      <c r="B502" t="s">
        <v>18</v>
      </c>
      <c r="C502">
        <v>13</v>
      </c>
      <c r="D502">
        <v>3</v>
      </c>
      <c r="E502">
        <f>609-29</f>
        <v>580</v>
      </c>
      <c r="F502">
        <v>12</v>
      </c>
      <c r="G502">
        <v>6</v>
      </c>
      <c r="H502">
        <v>8</v>
      </c>
      <c r="I502">
        <v>6</v>
      </c>
      <c r="K502">
        <f t="shared" ref="K502:K514" si="58">G502/I502</f>
        <v>1</v>
      </c>
      <c r="L502">
        <f t="shared" ref="L502:L514" si="59">I502/F502</f>
        <v>0.5</v>
      </c>
    </row>
    <row r="503" spans="1:12" x14ac:dyDescent="0.25">
      <c r="A503">
        <v>120419</v>
      </c>
      <c r="B503" t="s">
        <v>18</v>
      </c>
      <c r="C503">
        <v>14</v>
      </c>
      <c r="D503">
        <v>1</v>
      </c>
      <c r="E503">
        <f>326-69</f>
        <v>257</v>
      </c>
      <c r="F503">
        <v>14</v>
      </c>
      <c r="G503">
        <v>5</v>
      </c>
      <c r="H503">
        <v>7</v>
      </c>
      <c r="I503">
        <v>9</v>
      </c>
      <c r="K503">
        <f t="shared" si="58"/>
        <v>0.55555555555555558</v>
      </c>
      <c r="L503">
        <f t="shared" si="59"/>
        <v>0.6428571428571429</v>
      </c>
    </row>
    <row r="504" spans="1:12" x14ac:dyDescent="0.25">
      <c r="A504">
        <v>120419</v>
      </c>
      <c r="B504" t="s">
        <v>18</v>
      </c>
      <c r="C504">
        <v>14</v>
      </c>
      <c r="D504">
        <v>2</v>
      </c>
      <c r="E504">
        <f>411-69</f>
        <v>342</v>
      </c>
      <c r="F504">
        <v>12</v>
      </c>
      <c r="G504">
        <v>5</v>
      </c>
      <c r="H504">
        <v>10</v>
      </c>
      <c r="I504">
        <v>8</v>
      </c>
      <c r="K504">
        <f t="shared" si="58"/>
        <v>0.625</v>
      </c>
      <c r="L504">
        <f t="shared" si="59"/>
        <v>0.66666666666666663</v>
      </c>
    </row>
    <row r="505" spans="1:12" x14ac:dyDescent="0.25">
      <c r="A505">
        <v>120419</v>
      </c>
      <c r="B505" t="s">
        <v>18</v>
      </c>
      <c r="C505">
        <v>15</v>
      </c>
      <c r="D505">
        <v>1</v>
      </c>
      <c r="E505">
        <f>153-74</f>
        <v>79</v>
      </c>
      <c r="F505">
        <v>7</v>
      </c>
      <c r="G505">
        <v>3</v>
      </c>
      <c r="H505">
        <v>5</v>
      </c>
      <c r="I505">
        <v>3</v>
      </c>
      <c r="K505">
        <f t="shared" si="58"/>
        <v>1</v>
      </c>
      <c r="L505">
        <f t="shared" si="59"/>
        <v>0.42857142857142855</v>
      </c>
    </row>
    <row r="506" spans="1:12" x14ac:dyDescent="0.25">
      <c r="A506">
        <v>120419</v>
      </c>
      <c r="B506" t="s">
        <v>18</v>
      </c>
      <c r="C506">
        <v>15</v>
      </c>
      <c r="D506">
        <v>2</v>
      </c>
      <c r="E506">
        <f>345-74</f>
        <v>271</v>
      </c>
      <c r="F506">
        <v>10</v>
      </c>
      <c r="G506">
        <v>6</v>
      </c>
      <c r="H506">
        <v>7</v>
      </c>
      <c r="I506">
        <v>6</v>
      </c>
      <c r="K506">
        <f t="shared" si="58"/>
        <v>1</v>
      </c>
      <c r="L506">
        <f t="shared" si="59"/>
        <v>0.6</v>
      </c>
    </row>
    <row r="507" spans="1:12" x14ac:dyDescent="0.25">
      <c r="A507">
        <v>120419</v>
      </c>
      <c r="B507" t="s">
        <v>18</v>
      </c>
      <c r="C507">
        <v>15</v>
      </c>
      <c r="D507">
        <v>3</v>
      </c>
      <c r="E507">
        <f>369-74</f>
        <v>295</v>
      </c>
      <c r="F507">
        <v>8</v>
      </c>
      <c r="G507">
        <v>5</v>
      </c>
      <c r="H507">
        <v>4</v>
      </c>
      <c r="I507">
        <v>4</v>
      </c>
      <c r="K507">
        <f t="shared" si="58"/>
        <v>1.25</v>
      </c>
      <c r="L507">
        <f t="shared" si="59"/>
        <v>0.5</v>
      </c>
    </row>
    <row r="508" spans="1:12" x14ac:dyDescent="0.25">
      <c r="A508">
        <v>120419</v>
      </c>
      <c r="B508" t="s">
        <v>18</v>
      </c>
      <c r="C508">
        <v>15</v>
      </c>
      <c r="D508">
        <v>4</v>
      </c>
      <c r="E508">
        <f>364-74</f>
        <v>290</v>
      </c>
      <c r="F508">
        <v>6</v>
      </c>
      <c r="G508">
        <v>4</v>
      </c>
      <c r="H508">
        <v>5</v>
      </c>
      <c r="I508">
        <v>5</v>
      </c>
      <c r="K508">
        <f t="shared" si="58"/>
        <v>0.8</v>
      </c>
      <c r="L508">
        <f t="shared" si="59"/>
        <v>0.83333333333333337</v>
      </c>
    </row>
    <row r="509" spans="1:12" x14ac:dyDescent="0.25">
      <c r="A509">
        <v>120419</v>
      </c>
      <c r="B509" t="s">
        <v>18</v>
      </c>
      <c r="C509">
        <v>16</v>
      </c>
      <c r="D509">
        <v>1</v>
      </c>
      <c r="E509">
        <f>159-74</f>
        <v>85</v>
      </c>
      <c r="F509">
        <v>8</v>
      </c>
      <c r="G509">
        <v>3</v>
      </c>
      <c r="H509">
        <v>5</v>
      </c>
      <c r="I509">
        <v>4</v>
      </c>
      <c r="K509">
        <f t="shared" si="58"/>
        <v>0.75</v>
      </c>
      <c r="L509">
        <f t="shared" si="59"/>
        <v>0.5</v>
      </c>
    </row>
    <row r="510" spans="1:12" x14ac:dyDescent="0.25">
      <c r="A510">
        <v>120419</v>
      </c>
      <c r="B510" t="s">
        <v>18</v>
      </c>
      <c r="C510">
        <v>16</v>
      </c>
      <c r="D510">
        <v>2</v>
      </c>
      <c r="E510">
        <f>289-74</f>
        <v>215</v>
      </c>
      <c r="F510">
        <v>9</v>
      </c>
      <c r="G510">
        <v>3</v>
      </c>
      <c r="H510">
        <v>5</v>
      </c>
      <c r="I510">
        <v>4</v>
      </c>
      <c r="K510">
        <f t="shared" si="58"/>
        <v>0.75</v>
      </c>
      <c r="L510">
        <f t="shared" si="59"/>
        <v>0.44444444444444442</v>
      </c>
    </row>
    <row r="511" spans="1:12" x14ac:dyDescent="0.25">
      <c r="A511">
        <v>120419</v>
      </c>
      <c r="B511" t="s">
        <v>18</v>
      </c>
      <c r="C511">
        <v>16</v>
      </c>
      <c r="D511">
        <v>3</v>
      </c>
      <c r="E511">
        <f>324-74</f>
        <v>250</v>
      </c>
      <c r="F511">
        <v>8</v>
      </c>
      <c r="G511">
        <v>6</v>
      </c>
      <c r="H511">
        <v>6</v>
      </c>
      <c r="I511">
        <v>5</v>
      </c>
      <c r="K511">
        <f t="shared" si="58"/>
        <v>1.2</v>
      </c>
      <c r="L511">
        <f t="shared" si="59"/>
        <v>0.625</v>
      </c>
    </row>
    <row r="512" spans="1:12" x14ac:dyDescent="0.25">
      <c r="A512">
        <v>120419</v>
      </c>
      <c r="B512" t="s">
        <v>18</v>
      </c>
      <c r="C512">
        <v>17</v>
      </c>
      <c r="D512">
        <v>1</v>
      </c>
      <c r="E512">
        <f>472-87</f>
        <v>385</v>
      </c>
      <c r="F512">
        <v>13</v>
      </c>
      <c r="G512">
        <v>4</v>
      </c>
      <c r="H512">
        <v>9</v>
      </c>
      <c r="I512">
        <v>6</v>
      </c>
      <c r="K512">
        <f t="shared" si="58"/>
        <v>0.66666666666666663</v>
      </c>
      <c r="L512">
        <f t="shared" si="59"/>
        <v>0.46153846153846156</v>
      </c>
    </row>
    <row r="513" spans="1:13" x14ac:dyDescent="0.25">
      <c r="A513">
        <v>120419</v>
      </c>
      <c r="B513" t="s">
        <v>18</v>
      </c>
      <c r="C513">
        <v>17</v>
      </c>
      <c r="D513">
        <v>2</v>
      </c>
      <c r="E513">
        <f>598-87</f>
        <v>511</v>
      </c>
      <c r="F513">
        <v>11</v>
      </c>
      <c r="G513">
        <v>5</v>
      </c>
      <c r="H513">
        <v>6</v>
      </c>
      <c r="I513">
        <v>6</v>
      </c>
      <c r="K513">
        <f t="shared" si="58"/>
        <v>0.83333333333333337</v>
      </c>
      <c r="L513">
        <f t="shared" si="59"/>
        <v>0.54545454545454541</v>
      </c>
    </row>
    <row r="514" spans="1:13" x14ac:dyDescent="0.25">
      <c r="A514">
        <v>120419</v>
      </c>
      <c r="B514" t="s">
        <v>18</v>
      </c>
      <c r="C514">
        <v>17</v>
      </c>
      <c r="D514">
        <v>3</v>
      </c>
      <c r="E514">
        <f>610-87</f>
        <v>523</v>
      </c>
      <c r="F514">
        <v>10</v>
      </c>
      <c r="G514">
        <v>4</v>
      </c>
      <c r="H514">
        <v>4</v>
      </c>
      <c r="I514">
        <v>5</v>
      </c>
      <c r="K514">
        <f t="shared" si="58"/>
        <v>0.8</v>
      </c>
      <c r="L514">
        <f t="shared" si="59"/>
        <v>0.5</v>
      </c>
    </row>
    <row r="515" spans="1:13" x14ac:dyDescent="0.25">
      <c r="A515">
        <v>120419</v>
      </c>
      <c r="B515" t="s">
        <v>18</v>
      </c>
      <c r="C515">
        <v>18</v>
      </c>
      <c r="D515">
        <v>1</v>
      </c>
      <c r="E515">
        <f>171-89</f>
        <v>82</v>
      </c>
      <c r="F515">
        <v>26</v>
      </c>
      <c r="M515" t="s">
        <v>15</v>
      </c>
    </row>
    <row r="516" spans="1:13" x14ac:dyDescent="0.25">
      <c r="A516">
        <v>120419</v>
      </c>
      <c r="B516" t="s">
        <v>18</v>
      </c>
      <c r="C516">
        <v>18</v>
      </c>
      <c r="D516">
        <v>1</v>
      </c>
      <c r="E516">
        <f>520-89</f>
        <v>431</v>
      </c>
      <c r="F516">
        <v>15</v>
      </c>
      <c r="G516">
        <v>7</v>
      </c>
      <c r="H516">
        <v>9</v>
      </c>
      <c r="I516">
        <v>9</v>
      </c>
      <c r="K516">
        <f t="shared" ref="K516:K526" si="60">G516/I516</f>
        <v>0.77777777777777779</v>
      </c>
      <c r="L516">
        <f t="shared" ref="L516:L526" si="61">I516/F516</f>
        <v>0.6</v>
      </c>
    </row>
    <row r="517" spans="1:13" x14ac:dyDescent="0.25">
      <c r="A517">
        <v>40520</v>
      </c>
      <c r="B517" t="s">
        <v>18</v>
      </c>
      <c r="C517">
        <v>1</v>
      </c>
      <c r="D517">
        <v>1</v>
      </c>
      <c r="E517">
        <f>124-44</f>
        <v>80</v>
      </c>
      <c r="F517">
        <v>8</v>
      </c>
      <c r="G517">
        <v>4</v>
      </c>
      <c r="H517">
        <v>7</v>
      </c>
      <c r="I517">
        <v>5</v>
      </c>
      <c r="K517">
        <f t="shared" si="60"/>
        <v>0.8</v>
      </c>
      <c r="L517">
        <f t="shared" si="61"/>
        <v>0.625</v>
      </c>
    </row>
    <row r="518" spans="1:13" x14ac:dyDescent="0.25">
      <c r="A518">
        <v>40520</v>
      </c>
      <c r="B518" t="s">
        <v>18</v>
      </c>
      <c r="C518">
        <v>1</v>
      </c>
      <c r="D518">
        <v>2</v>
      </c>
      <c r="E518">
        <f>138-44</f>
        <v>94</v>
      </c>
      <c r="F518">
        <v>9</v>
      </c>
      <c r="G518">
        <v>3</v>
      </c>
      <c r="H518">
        <v>5</v>
      </c>
      <c r="I518">
        <v>3</v>
      </c>
      <c r="K518">
        <f t="shared" si="60"/>
        <v>1</v>
      </c>
      <c r="L518">
        <f t="shared" si="61"/>
        <v>0.33333333333333331</v>
      </c>
    </row>
    <row r="519" spans="1:13" x14ac:dyDescent="0.25">
      <c r="A519">
        <v>40520</v>
      </c>
      <c r="B519" t="s">
        <v>18</v>
      </c>
      <c r="C519">
        <v>1</v>
      </c>
      <c r="D519">
        <v>3</v>
      </c>
      <c r="E519">
        <f>280-44</f>
        <v>236</v>
      </c>
      <c r="F519">
        <v>11</v>
      </c>
      <c r="G519">
        <v>2</v>
      </c>
      <c r="H519">
        <v>7</v>
      </c>
      <c r="I519">
        <v>5</v>
      </c>
      <c r="K519">
        <f t="shared" si="60"/>
        <v>0.4</v>
      </c>
      <c r="L519">
        <f t="shared" si="61"/>
        <v>0.45454545454545453</v>
      </c>
    </row>
    <row r="520" spans="1:13" x14ac:dyDescent="0.25">
      <c r="A520">
        <v>40520</v>
      </c>
      <c r="B520" t="s">
        <v>18</v>
      </c>
      <c r="C520">
        <v>1</v>
      </c>
      <c r="D520">
        <v>4</v>
      </c>
      <c r="E520">
        <f>329-44</f>
        <v>285</v>
      </c>
      <c r="F520">
        <v>8</v>
      </c>
      <c r="G520">
        <v>5</v>
      </c>
      <c r="H520">
        <v>6</v>
      </c>
      <c r="I520">
        <v>4</v>
      </c>
      <c r="K520">
        <f t="shared" si="60"/>
        <v>1.25</v>
      </c>
      <c r="L520">
        <f t="shared" si="61"/>
        <v>0.5</v>
      </c>
    </row>
    <row r="521" spans="1:13" x14ac:dyDescent="0.25">
      <c r="A521">
        <v>40520</v>
      </c>
      <c r="B521" t="s">
        <v>18</v>
      </c>
      <c r="C521">
        <v>1</v>
      </c>
      <c r="D521">
        <v>5</v>
      </c>
      <c r="E521">
        <f>415-44</f>
        <v>371</v>
      </c>
      <c r="F521">
        <v>9</v>
      </c>
      <c r="G521">
        <v>4</v>
      </c>
      <c r="H521">
        <v>6</v>
      </c>
      <c r="I521">
        <v>5</v>
      </c>
      <c r="K521">
        <f t="shared" si="60"/>
        <v>0.8</v>
      </c>
      <c r="L521">
        <f t="shared" si="61"/>
        <v>0.55555555555555558</v>
      </c>
    </row>
    <row r="522" spans="1:13" x14ac:dyDescent="0.25">
      <c r="A522">
        <v>40520</v>
      </c>
      <c r="B522" t="s">
        <v>18</v>
      </c>
      <c r="C522">
        <v>1</v>
      </c>
      <c r="D522">
        <v>6</v>
      </c>
      <c r="E522">
        <f>507-44</f>
        <v>463</v>
      </c>
      <c r="F522">
        <v>8</v>
      </c>
      <c r="G522">
        <v>5</v>
      </c>
      <c r="H522">
        <v>6</v>
      </c>
      <c r="I522">
        <v>5</v>
      </c>
      <c r="K522">
        <f t="shared" si="60"/>
        <v>1</v>
      </c>
      <c r="L522">
        <f t="shared" si="61"/>
        <v>0.625</v>
      </c>
    </row>
    <row r="523" spans="1:13" x14ac:dyDescent="0.25">
      <c r="A523">
        <v>40520</v>
      </c>
      <c r="B523" t="s">
        <v>18</v>
      </c>
      <c r="C523">
        <v>1</v>
      </c>
      <c r="D523">
        <v>7</v>
      </c>
      <c r="E523">
        <f>551-44</f>
        <v>507</v>
      </c>
      <c r="F523">
        <v>11</v>
      </c>
      <c r="G523">
        <v>4</v>
      </c>
      <c r="H523">
        <v>6</v>
      </c>
      <c r="I523">
        <v>6</v>
      </c>
      <c r="K523">
        <f t="shared" si="60"/>
        <v>0.66666666666666663</v>
      </c>
      <c r="L523">
        <f t="shared" si="61"/>
        <v>0.54545454545454541</v>
      </c>
    </row>
    <row r="524" spans="1:13" x14ac:dyDescent="0.25">
      <c r="A524">
        <v>40520</v>
      </c>
      <c r="B524" t="s">
        <v>18</v>
      </c>
      <c r="C524">
        <v>1</v>
      </c>
      <c r="D524">
        <v>8</v>
      </c>
      <c r="E524">
        <f>565-44</f>
        <v>521</v>
      </c>
      <c r="F524">
        <v>10</v>
      </c>
      <c r="G524">
        <v>8</v>
      </c>
      <c r="H524">
        <v>11</v>
      </c>
      <c r="I524">
        <v>5</v>
      </c>
      <c r="K524">
        <f t="shared" si="60"/>
        <v>1.6</v>
      </c>
      <c r="L524">
        <f t="shared" si="61"/>
        <v>0.5</v>
      </c>
    </row>
    <row r="525" spans="1:13" x14ac:dyDescent="0.25">
      <c r="A525">
        <v>40520</v>
      </c>
      <c r="B525" t="s">
        <v>18</v>
      </c>
      <c r="C525">
        <v>2</v>
      </c>
      <c r="D525">
        <v>1</v>
      </c>
      <c r="E525">
        <f>469-63</f>
        <v>406</v>
      </c>
      <c r="F525">
        <v>14</v>
      </c>
      <c r="G525">
        <v>4</v>
      </c>
      <c r="H525">
        <v>7</v>
      </c>
      <c r="I525">
        <v>5</v>
      </c>
      <c r="K525">
        <f t="shared" si="60"/>
        <v>0.8</v>
      </c>
      <c r="L525">
        <f t="shared" si="61"/>
        <v>0.35714285714285715</v>
      </c>
    </row>
    <row r="526" spans="1:13" x14ac:dyDescent="0.25">
      <c r="A526">
        <v>40520</v>
      </c>
      <c r="B526" t="s">
        <v>18</v>
      </c>
      <c r="C526">
        <v>2</v>
      </c>
      <c r="D526">
        <v>2</v>
      </c>
      <c r="E526">
        <f>538-63</f>
        <v>475</v>
      </c>
      <c r="F526">
        <v>10</v>
      </c>
      <c r="G526">
        <v>6</v>
      </c>
      <c r="H526">
        <v>8</v>
      </c>
      <c r="I526">
        <v>7</v>
      </c>
      <c r="K526">
        <f t="shared" si="60"/>
        <v>0.8571428571428571</v>
      </c>
      <c r="L526">
        <f t="shared" si="61"/>
        <v>0.7</v>
      </c>
    </row>
    <row r="527" spans="1:13" x14ac:dyDescent="0.25">
      <c r="A527">
        <v>40520</v>
      </c>
      <c r="B527" t="s">
        <v>18</v>
      </c>
      <c r="C527">
        <v>3</v>
      </c>
      <c r="D527">
        <v>1</v>
      </c>
      <c r="E527">
        <f>475-61</f>
        <v>414</v>
      </c>
      <c r="F527">
        <v>12</v>
      </c>
      <c r="J527" t="s">
        <v>0</v>
      </c>
    </row>
    <row r="528" spans="1:13" x14ac:dyDescent="0.25">
      <c r="A528">
        <v>40520</v>
      </c>
      <c r="B528" t="s">
        <v>18</v>
      </c>
      <c r="C528">
        <v>3</v>
      </c>
      <c r="D528">
        <v>2</v>
      </c>
      <c r="E528">
        <f>588-61</f>
        <v>527</v>
      </c>
      <c r="F528">
        <v>11</v>
      </c>
      <c r="G528">
        <v>3</v>
      </c>
      <c r="H528">
        <v>7</v>
      </c>
      <c r="I528">
        <v>7</v>
      </c>
      <c r="K528">
        <f>G528/I528</f>
        <v>0.42857142857142855</v>
      </c>
      <c r="L528">
        <f>I528/F528</f>
        <v>0.63636363636363635</v>
      </c>
    </row>
    <row r="529" spans="1:13" x14ac:dyDescent="0.25">
      <c r="A529">
        <v>40520</v>
      </c>
      <c r="B529" t="s">
        <v>18</v>
      </c>
      <c r="C529">
        <v>3</v>
      </c>
      <c r="D529">
        <v>3</v>
      </c>
      <c r="E529">
        <f>686-61</f>
        <v>625</v>
      </c>
      <c r="F529">
        <v>9</v>
      </c>
      <c r="G529">
        <v>7</v>
      </c>
      <c r="H529">
        <v>6</v>
      </c>
      <c r="I529">
        <v>6</v>
      </c>
      <c r="K529">
        <f>G529/I529</f>
        <v>1.1666666666666667</v>
      </c>
      <c r="L529">
        <f>I529/F529</f>
        <v>0.66666666666666663</v>
      </c>
    </row>
    <row r="530" spans="1:13" x14ac:dyDescent="0.25">
      <c r="A530">
        <v>40520</v>
      </c>
      <c r="B530" t="s">
        <v>18</v>
      </c>
      <c r="C530">
        <v>4</v>
      </c>
      <c r="D530">
        <v>1</v>
      </c>
      <c r="E530">
        <f>256-48</f>
        <v>208</v>
      </c>
      <c r="F530">
        <v>11</v>
      </c>
      <c r="G530">
        <v>4</v>
      </c>
      <c r="H530">
        <v>7</v>
      </c>
      <c r="I530">
        <v>5</v>
      </c>
      <c r="K530">
        <f>G530/I530</f>
        <v>0.8</v>
      </c>
      <c r="L530">
        <f>I530/F530</f>
        <v>0.45454545454545453</v>
      </c>
    </row>
    <row r="531" spans="1:13" x14ac:dyDescent="0.25">
      <c r="A531">
        <v>40520</v>
      </c>
      <c r="B531" t="s">
        <v>18</v>
      </c>
      <c r="C531">
        <v>4</v>
      </c>
      <c r="D531">
        <v>2</v>
      </c>
      <c r="E531">
        <f>261-48</f>
        <v>213</v>
      </c>
      <c r="F531">
        <v>12</v>
      </c>
      <c r="G531">
        <v>4</v>
      </c>
      <c r="H531">
        <v>7</v>
      </c>
      <c r="I531">
        <v>4</v>
      </c>
      <c r="K531">
        <f>G531/I531</f>
        <v>1</v>
      </c>
      <c r="L531">
        <f>I531/F531</f>
        <v>0.33333333333333331</v>
      </c>
    </row>
    <row r="532" spans="1:13" x14ac:dyDescent="0.25">
      <c r="A532">
        <v>40520</v>
      </c>
      <c r="B532" t="s">
        <v>18</v>
      </c>
      <c r="C532">
        <v>4</v>
      </c>
      <c r="D532">
        <v>3</v>
      </c>
      <c r="E532">
        <f>281-48</f>
        <v>233</v>
      </c>
      <c r="F532">
        <v>12</v>
      </c>
      <c r="M532" t="s">
        <v>15</v>
      </c>
    </row>
    <row r="533" spans="1:13" x14ac:dyDescent="0.25">
      <c r="A533">
        <v>40520</v>
      </c>
      <c r="B533" t="s">
        <v>18</v>
      </c>
      <c r="C533">
        <v>4</v>
      </c>
      <c r="D533">
        <v>4</v>
      </c>
      <c r="E533">
        <f>432-48</f>
        <v>384</v>
      </c>
      <c r="F533">
        <v>12</v>
      </c>
      <c r="G533">
        <v>4</v>
      </c>
      <c r="H533">
        <v>8</v>
      </c>
      <c r="I533">
        <v>6</v>
      </c>
      <c r="K533">
        <f t="shared" ref="K533:K541" si="62">G533/I533</f>
        <v>0.66666666666666663</v>
      </c>
      <c r="L533">
        <f t="shared" ref="L533:L541" si="63">I533/F533</f>
        <v>0.5</v>
      </c>
    </row>
    <row r="534" spans="1:13" x14ac:dyDescent="0.25">
      <c r="A534">
        <v>40520</v>
      </c>
      <c r="B534" t="s">
        <v>18</v>
      </c>
      <c r="C534">
        <v>4</v>
      </c>
      <c r="D534">
        <v>5</v>
      </c>
      <c r="E534">
        <f>562-48</f>
        <v>514</v>
      </c>
      <c r="F534">
        <v>10</v>
      </c>
      <c r="G534">
        <v>3</v>
      </c>
      <c r="H534">
        <v>6</v>
      </c>
      <c r="I534">
        <v>5</v>
      </c>
      <c r="K534">
        <f t="shared" si="62"/>
        <v>0.6</v>
      </c>
      <c r="L534">
        <f t="shared" si="63"/>
        <v>0.5</v>
      </c>
    </row>
    <row r="535" spans="1:13" x14ac:dyDescent="0.25">
      <c r="A535">
        <v>40520</v>
      </c>
      <c r="B535" t="s">
        <v>18</v>
      </c>
      <c r="C535">
        <v>4</v>
      </c>
      <c r="D535">
        <v>6</v>
      </c>
      <c r="E535">
        <f>663-48</f>
        <v>615</v>
      </c>
      <c r="F535">
        <v>8</v>
      </c>
      <c r="G535">
        <v>6</v>
      </c>
      <c r="H535">
        <v>8</v>
      </c>
      <c r="I535">
        <v>5</v>
      </c>
      <c r="K535">
        <f t="shared" si="62"/>
        <v>1.2</v>
      </c>
      <c r="L535">
        <f t="shared" si="63"/>
        <v>0.625</v>
      </c>
    </row>
    <row r="536" spans="1:13" x14ac:dyDescent="0.25">
      <c r="A536">
        <v>40520</v>
      </c>
      <c r="B536" t="s">
        <v>18</v>
      </c>
      <c r="C536">
        <v>5</v>
      </c>
      <c r="D536">
        <v>1</v>
      </c>
      <c r="E536">
        <f>328-51</f>
        <v>277</v>
      </c>
      <c r="F536">
        <v>11</v>
      </c>
      <c r="G536">
        <v>5</v>
      </c>
      <c r="H536">
        <v>9</v>
      </c>
      <c r="I536">
        <v>6</v>
      </c>
      <c r="K536">
        <f t="shared" si="62"/>
        <v>0.83333333333333337</v>
      </c>
      <c r="L536">
        <f t="shared" si="63"/>
        <v>0.54545454545454541</v>
      </c>
    </row>
    <row r="537" spans="1:13" x14ac:dyDescent="0.25">
      <c r="A537">
        <v>40520</v>
      </c>
      <c r="B537" t="s">
        <v>18</v>
      </c>
      <c r="C537">
        <v>5</v>
      </c>
      <c r="D537">
        <v>2</v>
      </c>
      <c r="E537">
        <f>525-51</f>
        <v>474</v>
      </c>
      <c r="F537">
        <v>11</v>
      </c>
      <c r="G537">
        <v>6</v>
      </c>
      <c r="H537">
        <v>7</v>
      </c>
      <c r="I537">
        <v>7</v>
      </c>
      <c r="K537">
        <f t="shared" si="62"/>
        <v>0.8571428571428571</v>
      </c>
      <c r="L537">
        <f t="shared" si="63"/>
        <v>0.63636363636363635</v>
      </c>
    </row>
    <row r="538" spans="1:13" x14ac:dyDescent="0.25">
      <c r="A538">
        <v>40520</v>
      </c>
      <c r="B538" t="s">
        <v>18</v>
      </c>
      <c r="C538">
        <v>5</v>
      </c>
      <c r="D538">
        <v>3</v>
      </c>
      <c r="E538">
        <f>540-51</f>
        <v>489</v>
      </c>
      <c r="F538">
        <v>12</v>
      </c>
      <c r="G538">
        <v>4</v>
      </c>
      <c r="H538">
        <v>6</v>
      </c>
      <c r="I538">
        <v>4</v>
      </c>
      <c r="K538">
        <f t="shared" si="62"/>
        <v>1</v>
      </c>
      <c r="L538">
        <f t="shared" si="63"/>
        <v>0.33333333333333331</v>
      </c>
    </row>
    <row r="539" spans="1:13" x14ac:dyDescent="0.25">
      <c r="A539">
        <v>40520</v>
      </c>
      <c r="B539" t="s">
        <v>18</v>
      </c>
      <c r="C539">
        <v>5</v>
      </c>
      <c r="D539">
        <v>4</v>
      </c>
      <c r="E539">
        <f>665-51</f>
        <v>614</v>
      </c>
      <c r="F539">
        <v>10</v>
      </c>
      <c r="G539">
        <v>5</v>
      </c>
      <c r="H539">
        <v>6</v>
      </c>
      <c r="I539">
        <v>5</v>
      </c>
      <c r="K539">
        <f t="shared" si="62"/>
        <v>1</v>
      </c>
      <c r="L539">
        <f t="shared" si="63"/>
        <v>0.5</v>
      </c>
    </row>
    <row r="540" spans="1:13" x14ac:dyDescent="0.25">
      <c r="A540">
        <v>40520</v>
      </c>
      <c r="B540" t="s">
        <v>18</v>
      </c>
      <c r="C540">
        <v>6</v>
      </c>
      <c r="D540">
        <v>1</v>
      </c>
      <c r="E540">
        <f>104-40</f>
        <v>64</v>
      </c>
      <c r="F540">
        <v>10</v>
      </c>
      <c r="G540">
        <v>3</v>
      </c>
      <c r="H540">
        <v>5</v>
      </c>
      <c r="I540">
        <v>4</v>
      </c>
      <c r="K540">
        <f t="shared" si="62"/>
        <v>0.75</v>
      </c>
      <c r="L540">
        <f t="shared" si="63"/>
        <v>0.4</v>
      </c>
    </row>
    <row r="541" spans="1:13" x14ac:dyDescent="0.25">
      <c r="A541">
        <v>40520</v>
      </c>
      <c r="B541" t="s">
        <v>18</v>
      </c>
      <c r="C541">
        <v>6</v>
      </c>
      <c r="D541">
        <v>2</v>
      </c>
      <c r="E541">
        <f>393-40</f>
        <v>353</v>
      </c>
      <c r="F541">
        <v>10</v>
      </c>
      <c r="G541">
        <v>5</v>
      </c>
      <c r="H541">
        <v>5</v>
      </c>
      <c r="I541">
        <v>5</v>
      </c>
      <c r="K541">
        <f t="shared" si="62"/>
        <v>1</v>
      </c>
      <c r="L541">
        <f t="shared" si="63"/>
        <v>0.5</v>
      </c>
    </row>
    <row r="542" spans="1:13" x14ac:dyDescent="0.25">
      <c r="A542">
        <v>40520</v>
      </c>
      <c r="B542" t="s">
        <v>18</v>
      </c>
      <c r="C542">
        <v>6</v>
      </c>
      <c r="D542">
        <v>3</v>
      </c>
      <c r="E542">
        <f>446-40</f>
        <v>406</v>
      </c>
      <c r="F542">
        <v>8</v>
      </c>
      <c r="J542" t="s">
        <v>0</v>
      </c>
    </row>
    <row r="543" spans="1:13" x14ac:dyDescent="0.25">
      <c r="A543">
        <v>40520</v>
      </c>
      <c r="B543" t="s">
        <v>18</v>
      </c>
      <c r="C543">
        <v>7</v>
      </c>
      <c r="D543">
        <v>1</v>
      </c>
      <c r="E543">
        <f>360-42</f>
        <v>318</v>
      </c>
      <c r="F543">
        <v>14</v>
      </c>
      <c r="G543">
        <v>7</v>
      </c>
      <c r="H543">
        <v>9</v>
      </c>
      <c r="I543">
        <v>7</v>
      </c>
      <c r="K543">
        <f>G543/I543</f>
        <v>1</v>
      </c>
      <c r="L543">
        <f>I543/F543</f>
        <v>0.5</v>
      </c>
    </row>
    <row r="544" spans="1:13" x14ac:dyDescent="0.25">
      <c r="A544">
        <v>40520</v>
      </c>
      <c r="B544" t="s">
        <v>18</v>
      </c>
      <c r="C544">
        <v>7</v>
      </c>
      <c r="D544">
        <v>2</v>
      </c>
      <c r="E544">
        <f>485-42</f>
        <v>443</v>
      </c>
      <c r="F544">
        <v>15</v>
      </c>
      <c r="G544">
        <v>6</v>
      </c>
      <c r="H544">
        <v>9</v>
      </c>
      <c r="I544">
        <v>6</v>
      </c>
      <c r="K544">
        <f>G544/I544</f>
        <v>1</v>
      </c>
      <c r="L544">
        <f>I544/F544</f>
        <v>0.4</v>
      </c>
    </row>
    <row r="545" spans="1:13" x14ac:dyDescent="0.25">
      <c r="A545">
        <v>40520</v>
      </c>
      <c r="B545" t="s">
        <v>18</v>
      </c>
      <c r="C545">
        <v>7</v>
      </c>
      <c r="D545">
        <v>3</v>
      </c>
      <c r="E545">
        <f>531-42</f>
        <v>489</v>
      </c>
      <c r="F545">
        <v>13</v>
      </c>
      <c r="G545">
        <v>5</v>
      </c>
      <c r="H545">
        <v>9</v>
      </c>
      <c r="I545">
        <v>4</v>
      </c>
      <c r="K545">
        <f>G545/I545</f>
        <v>1.25</v>
      </c>
      <c r="L545">
        <f>I545/F545</f>
        <v>0.30769230769230771</v>
      </c>
    </row>
    <row r="546" spans="1:13" x14ac:dyDescent="0.25">
      <c r="A546">
        <v>40520</v>
      </c>
      <c r="B546" t="s">
        <v>18</v>
      </c>
      <c r="C546">
        <v>7</v>
      </c>
      <c r="D546">
        <v>4</v>
      </c>
      <c r="E546">
        <f>538-42</f>
        <v>496</v>
      </c>
      <c r="F546">
        <v>13</v>
      </c>
      <c r="M546" t="s">
        <v>15</v>
      </c>
    </row>
    <row r="547" spans="1:13" x14ac:dyDescent="0.25">
      <c r="A547">
        <v>40520</v>
      </c>
      <c r="B547" t="s">
        <v>18</v>
      </c>
      <c r="C547">
        <v>7</v>
      </c>
      <c r="D547">
        <v>5</v>
      </c>
      <c r="E547">
        <f>675-42</f>
        <v>633</v>
      </c>
      <c r="F547">
        <v>12</v>
      </c>
      <c r="G547">
        <v>5</v>
      </c>
      <c r="H547">
        <v>7</v>
      </c>
      <c r="I547">
        <v>6</v>
      </c>
      <c r="K547">
        <f>G547/I547</f>
        <v>0.83333333333333337</v>
      </c>
      <c r="L547">
        <f>I547/F547</f>
        <v>0.5</v>
      </c>
    </row>
    <row r="548" spans="1:13" x14ac:dyDescent="0.25">
      <c r="A548">
        <v>40520</v>
      </c>
      <c r="B548" t="s">
        <v>18</v>
      </c>
      <c r="C548">
        <v>8</v>
      </c>
      <c r="D548">
        <v>1</v>
      </c>
      <c r="E548">
        <f>410-38</f>
        <v>372</v>
      </c>
      <c r="F548">
        <v>16</v>
      </c>
      <c r="J548" t="s">
        <v>0</v>
      </c>
    </row>
    <row r="549" spans="1:13" x14ac:dyDescent="0.25">
      <c r="A549">
        <v>40520</v>
      </c>
      <c r="B549" t="s">
        <v>18</v>
      </c>
      <c r="C549">
        <v>8</v>
      </c>
      <c r="D549">
        <v>2</v>
      </c>
      <c r="E549">
        <f>468-38</f>
        <v>430</v>
      </c>
      <c r="F549">
        <v>11</v>
      </c>
      <c r="M549" t="s">
        <v>15</v>
      </c>
    </row>
    <row r="550" spans="1:13" x14ac:dyDescent="0.25">
      <c r="A550">
        <v>40520</v>
      </c>
      <c r="B550" t="s">
        <v>18</v>
      </c>
      <c r="C550">
        <v>8</v>
      </c>
      <c r="D550">
        <v>3</v>
      </c>
      <c r="E550">
        <f>509-38</f>
        <v>471</v>
      </c>
      <c r="F550">
        <v>13</v>
      </c>
      <c r="G550">
        <v>4</v>
      </c>
      <c r="H550">
        <v>5</v>
      </c>
      <c r="I550">
        <v>4</v>
      </c>
      <c r="K550">
        <f t="shared" ref="K550:K559" si="64">G550/I550</f>
        <v>1</v>
      </c>
      <c r="L550">
        <f t="shared" ref="L550:L559" si="65">I550/F550</f>
        <v>0.30769230769230771</v>
      </c>
    </row>
    <row r="551" spans="1:13" x14ac:dyDescent="0.25">
      <c r="A551">
        <v>40520</v>
      </c>
      <c r="B551" t="s">
        <v>18</v>
      </c>
      <c r="C551">
        <v>8</v>
      </c>
      <c r="D551">
        <v>4</v>
      </c>
      <c r="E551">
        <f>525-38</f>
        <v>487</v>
      </c>
      <c r="F551">
        <v>12</v>
      </c>
      <c r="G551">
        <v>9</v>
      </c>
      <c r="H551">
        <v>9</v>
      </c>
      <c r="I551">
        <v>8</v>
      </c>
      <c r="K551">
        <f t="shared" si="64"/>
        <v>1.125</v>
      </c>
      <c r="L551">
        <f t="shared" si="65"/>
        <v>0.66666666666666663</v>
      </c>
    </row>
    <row r="552" spans="1:13" x14ac:dyDescent="0.25">
      <c r="A552">
        <v>40520</v>
      </c>
      <c r="B552" t="s">
        <v>18</v>
      </c>
      <c r="C552">
        <v>8</v>
      </c>
      <c r="D552">
        <v>5</v>
      </c>
      <c r="E552">
        <f>584-38</f>
        <v>546</v>
      </c>
      <c r="F552">
        <v>10</v>
      </c>
      <c r="G552">
        <v>5</v>
      </c>
      <c r="H552">
        <v>6</v>
      </c>
      <c r="I552">
        <v>5</v>
      </c>
      <c r="K552">
        <f t="shared" si="64"/>
        <v>1</v>
      </c>
      <c r="L552">
        <f t="shared" si="65"/>
        <v>0.5</v>
      </c>
    </row>
    <row r="553" spans="1:13" x14ac:dyDescent="0.25">
      <c r="A553">
        <v>40520</v>
      </c>
      <c r="B553" t="s">
        <v>18</v>
      </c>
      <c r="C553">
        <v>8</v>
      </c>
      <c r="D553">
        <v>6</v>
      </c>
      <c r="E553">
        <f>600-38</f>
        <v>562</v>
      </c>
      <c r="F553">
        <v>8</v>
      </c>
      <c r="G553">
        <v>5</v>
      </c>
      <c r="H553">
        <v>9</v>
      </c>
      <c r="I553">
        <v>8</v>
      </c>
      <c r="K553">
        <f t="shared" si="64"/>
        <v>0.625</v>
      </c>
      <c r="L553">
        <f t="shared" si="65"/>
        <v>1</v>
      </c>
    </row>
    <row r="554" spans="1:13" x14ac:dyDescent="0.25">
      <c r="A554">
        <v>40520</v>
      </c>
      <c r="B554" t="s">
        <v>18</v>
      </c>
      <c r="C554">
        <v>9</v>
      </c>
      <c r="D554">
        <v>1</v>
      </c>
      <c r="E554">
        <f>103-36</f>
        <v>67</v>
      </c>
      <c r="F554">
        <v>9</v>
      </c>
      <c r="G554">
        <v>3</v>
      </c>
      <c r="H554">
        <v>8</v>
      </c>
      <c r="I554">
        <v>6</v>
      </c>
      <c r="K554">
        <f t="shared" si="64"/>
        <v>0.5</v>
      </c>
      <c r="L554">
        <f t="shared" si="65"/>
        <v>0.66666666666666663</v>
      </c>
    </row>
    <row r="555" spans="1:13" x14ac:dyDescent="0.25">
      <c r="A555">
        <v>40520</v>
      </c>
      <c r="B555" t="s">
        <v>18</v>
      </c>
      <c r="C555">
        <v>9</v>
      </c>
      <c r="D555">
        <v>2</v>
      </c>
      <c r="E555">
        <f>350-36</f>
        <v>314</v>
      </c>
      <c r="F555">
        <v>11</v>
      </c>
      <c r="G555">
        <v>4</v>
      </c>
      <c r="H555">
        <v>5</v>
      </c>
      <c r="I555">
        <v>5</v>
      </c>
      <c r="K555">
        <f t="shared" si="64"/>
        <v>0.8</v>
      </c>
      <c r="L555">
        <f t="shared" si="65"/>
        <v>0.45454545454545453</v>
      </c>
    </row>
    <row r="556" spans="1:13" x14ac:dyDescent="0.25">
      <c r="A556">
        <v>40520</v>
      </c>
      <c r="B556" t="s">
        <v>18</v>
      </c>
      <c r="C556">
        <v>9</v>
      </c>
      <c r="D556">
        <v>3</v>
      </c>
      <c r="E556">
        <f>408-36</f>
        <v>372</v>
      </c>
      <c r="F556">
        <v>12</v>
      </c>
      <c r="G556">
        <v>6</v>
      </c>
      <c r="H556">
        <v>5</v>
      </c>
      <c r="I556">
        <v>7</v>
      </c>
      <c r="K556">
        <f t="shared" si="64"/>
        <v>0.8571428571428571</v>
      </c>
      <c r="L556">
        <f t="shared" si="65"/>
        <v>0.58333333333333337</v>
      </c>
    </row>
    <row r="557" spans="1:13" x14ac:dyDescent="0.25">
      <c r="A557">
        <v>40520</v>
      </c>
      <c r="B557" t="s">
        <v>18</v>
      </c>
      <c r="C557">
        <v>9</v>
      </c>
      <c r="D557">
        <v>4</v>
      </c>
      <c r="E557">
        <f>413-36</f>
        <v>377</v>
      </c>
      <c r="F557">
        <v>12</v>
      </c>
      <c r="G557">
        <v>7</v>
      </c>
      <c r="H557">
        <v>6</v>
      </c>
      <c r="I557">
        <v>5</v>
      </c>
      <c r="K557">
        <f t="shared" si="64"/>
        <v>1.4</v>
      </c>
      <c r="L557">
        <f t="shared" si="65"/>
        <v>0.41666666666666669</v>
      </c>
    </row>
    <row r="558" spans="1:13" x14ac:dyDescent="0.25">
      <c r="A558">
        <v>40520</v>
      </c>
      <c r="B558" t="s">
        <v>18</v>
      </c>
      <c r="C558">
        <v>9</v>
      </c>
      <c r="D558">
        <v>5</v>
      </c>
      <c r="E558">
        <f>455-36</f>
        <v>419</v>
      </c>
      <c r="F558">
        <v>10</v>
      </c>
      <c r="G558">
        <v>6</v>
      </c>
      <c r="H558">
        <v>5</v>
      </c>
      <c r="I558">
        <v>5</v>
      </c>
      <c r="K558">
        <f t="shared" si="64"/>
        <v>1.2</v>
      </c>
      <c r="L558">
        <f t="shared" si="65"/>
        <v>0.5</v>
      </c>
    </row>
    <row r="559" spans="1:13" x14ac:dyDescent="0.25">
      <c r="A559">
        <v>40520</v>
      </c>
      <c r="B559" t="s">
        <v>18</v>
      </c>
      <c r="C559">
        <v>9</v>
      </c>
      <c r="D559">
        <v>6</v>
      </c>
      <c r="E559">
        <f>493-36</f>
        <v>457</v>
      </c>
      <c r="F559">
        <v>8</v>
      </c>
      <c r="G559">
        <v>6</v>
      </c>
      <c r="H559">
        <v>5</v>
      </c>
      <c r="I559">
        <v>5</v>
      </c>
      <c r="K559">
        <f t="shared" si="64"/>
        <v>1.2</v>
      </c>
      <c r="L559">
        <f t="shared" si="65"/>
        <v>0.625</v>
      </c>
    </row>
    <row r="560" spans="1:13" x14ac:dyDescent="0.25">
      <c r="A560">
        <v>40520</v>
      </c>
      <c r="B560" t="s">
        <v>18</v>
      </c>
      <c r="C560">
        <v>9</v>
      </c>
      <c r="D560">
        <v>7</v>
      </c>
      <c r="E560">
        <f>494-36</f>
        <v>458</v>
      </c>
      <c r="F560">
        <v>7</v>
      </c>
      <c r="J560" t="s">
        <v>0</v>
      </c>
    </row>
    <row r="561" spans="1:12" x14ac:dyDescent="0.25">
      <c r="A561">
        <v>40520</v>
      </c>
      <c r="B561" t="s">
        <v>18</v>
      </c>
      <c r="C561">
        <v>9</v>
      </c>
      <c r="D561">
        <v>8</v>
      </c>
      <c r="E561">
        <f>420-36</f>
        <v>384</v>
      </c>
      <c r="F561">
        <v>8</v>
      </c>
      <c r="G561">
        <v>6</v>
      </c>
      <c r="H561">
        <v>5</v>
      </c>
      <c r="I561">
        <v>5</v>
      </c>
      <c r="K561">
        <f t="shared" ref="K561:K567" si="66">G561/I561</f>
        <v>1.2</v>
      </c>
      <c r="L561">
        <f t="shared" ref="L561:L567" si="67">I561/F561</f>
        <v>0.625</v>
      </c>
    </row>
    <row r="562" spans="1:12" x14ac:dyDescent="0.25">
      <c r="A562">
        <v>40520</v>
      </c>
      <c r="B562" t="s">
        <v>18</v>
      </c>
      <c r="C562">
        <v>10</v>
      </c>
      <c r="D562">
        <v>1</v>
      </c>
      <c r="E562">
        <f>362-23</f>
        <v>339</v>
      </c>
      <c r="F562">
        <v>11</v>
      </c>
      <c r="G562">
        <v>5</v>
      </c>
      <c r="H562">
        <v>6</v>
      </c>
      <c r="I562">
        <v>5</v>
      </c>
      <c r="K562">
        <f t="shared" si="66"/>
        <v>1</v>
      </c>
      <c r="L562">
        <f t="shared" si="67"/>
        <v>0.45454545454545453</v>
      </c>
    </row>
    <row r="563" spans="1:12" x14ac:dyDescent="0.25">
      <c r="A563">
        <v>40520</v>
      </c>
      <c r="B563" t="s">
        <v>18</v>
      </c>
      <c r="C563">
        <v>10</v>
      </c>
      <c r="D563">
        <v>2</v>
      </c>
      <c r="E563">
        <f>397-23</f>
        <v>374</v>
      </c>
      <c r="F563">
        <v>10</v>
      </c>
      <c r="G563">
        <v>5</v>
      </c>
      <c r="H563">
        <v>5</v>
      </c>
      <c r="I563">
        <v>4</v>
      </c>
      <c r="K563">
        <f t="shared" si="66"/>
        <v>1.25</v>
      </c>
      <c r="L563">
        <f t="shared" si="67"/>
        <v>0.4</v>
      </c>
    </row>
    <row r="564" spans="1:12" x14ac:dyDescent="0.25">
      <c r="A564">
        <v>40520</v>
      </c>
      <c r="B564" t="s">
        <v>18</v>
      </c>
      <c r="C564">
        <v>10</v>
      </c>
      <c r="D564">
        <v>3</v>
      </c>
      <c r="E564">
        <f>449-23</f>
        <v>426</v>
      </c>
      <c r="F564">
        <v>8</v>
      </c>
      <c r="G564">
        <v>4</v>
      </c>
      <c r="H564">
        <v>7</v>
      </c>
      <c r="I564">
        <v>5</v>
      </c>
      <c r="K564">
        <f t="shared" si="66"/>
        <v>0.8</v>
      </c>
      <c r="L564">
        <f t="shared" si="67"/>
        <v>0.625</v>
      </c>
    </row>
    <row r="565" spans="1:12" x14ac:dyDescent="0.25">
      <c r="A565">
        <v>40520</v>
      </c>
      <c r="B565" t="s">
        <v>18</v>
      </c>
      <c r="C565">
        <v>10</v>
      </c>
      <c r="D565">
        <v>4</v>
      </c>
      <c r="E565">
        <f>468-23</f>
        <v>445</v>
      </c>
      <c r="F565">
        <v>8</v>
      </c>
      <c r="G565">
        <v>4</v>
      </c>
      <c r="H565">
        <v>8</v>
      </c>
      <c r="I565">
        <v>5</v>
      </c>
      <c r="K565">
        <f t="shared" si="66"/>
        <v>0.8</v>
      </c>
      <c r="L565">
        <f t="shared" si="67"/>
        <v>0.625</v>
      </c>
    </row>
    <row r="566" spans="1:12" x14ac:dyDescent="0.25">
      <c r="A566">
        <v>40520</v>
      </c>
      <c r="B566" t="s">
        <v>18</v>
      </c>
      <c r="C566">
        <v>10</v>
      </c>
      <c r="D566">
        <v>5</v>
      </c>
      <c r="E566">
        <f>488-23</f>
        <v>465</v>
      </c>
      <c r="F566">
        <v>8</v>
      </c>
      <c r="G566">
        <v>4</v>
      </c>
      <c r="H566">
        <v>5</v>
      </c>
      <c r="I566">
        <v>3</v>
      </c>
      <c r="K566">
        <f t="shared" si="66"/>
        <v>1.3333333333333333</v>
      </c>
      <c r="L566">
        <f t="shared" si="67"/>
        <v>0.375</v>
      </c>
    </row>
    <row r="567" spans="1:12" x14ac:dyDescent="0.25">
      <c r="A567">
        <v>40520</v>
      </c>
      <c r="B567" t="s">
        <v>18</v>
      </c>
      <c r="C567">
        <v>10</v>
      </c>
      <c r="D567">
        <v>6</v>
      </c>
      <c r="E567">
        <f>539-23</f>
        <v>516</v>
      </c>
      <c r="F567">
        <v>7</v>
      </c>
      <c r="G567">
        <v>4</v>
      </c>
      <c r="H567">
        <v>3</v>
      </c>
      <c r="I567">
        <v>3</v>
      </c>
      <c r="K567">
        <f t="shared" si="66"/>
        <v>1.3333333333333333</v>
      </c>
      <c r="L567">
        <f t="shared" si="67"/>
        <v>0.42857142857142855</v>
      </c>
    </row>
    <row r="568" spans="1:12" x14ac:dyDescent="0.25">
      <c r="A568">
        <v>40520</v>
      </c>
      <c r="B568" t="s">
        <v>18</v>
      </c>
      <c r="C568">
        <v>10</v>
      </c>
      <c r="D568">
        <v>7</v>
      </c>
      <c r="E568">
        <f>564-23</f>
        <v>541</v>
      </c>
      <c r="F568">
        <v>8</v>
      </c>
      <c r="J568" t="s">
        <v>0</v>
      </c>
    </row>
    <row r="569" spans="1:12" x14ac:dyDescent="0.25">
      <c r="A569">
        <v>40520</v>
      </c>
      <c r="B569" t="s">
        <v>18</v>
      </c>
      <c r="C569">
        <v>11</v>
      </c>
      <c r="D569">
        <v>1</v>
      </c>
      <c r="E569">
        <f>228-38</f>
        <v>190</v>
      </c>
      <c r="F569">
        <v>8</v>
      </c>
      <c r="G569">
        <v>9</v>
      </c>
      <c r="H569">
        <v>8</v>
      </c>
      <c r="I569">
        <v>6</v>
      </c>
      <c r="K569">
        <f t="shared" ref="K569:K576" si="68">G569/I569</f>
        <v>1.5</v>
      </c>
      <c r="L569">
        <f t="shared" ref="L569:L576" si="69">I569/F569</f>
        <v>0.75</v>
      </c>
    </row>
    <row r="570" spans="1:12" x14ac:dyDescent="0.25">
      <c r="A570">
        <v>40520</v>
      </c>
      <c r="B570" t="s">
        <v>18</v>
      </c>
      <c r="C570">
        <v>11</v>
      </c>
      <c r="D570">
        <v>2</v>
      </c>
      <c r="E570">
        <f>228-38</f>
        <v>190</v>
      </c>
      <c r="F570">
        <v>9</v>
      </c>
      <c r="G570">
        <v>4</v>
      </c>
      <c r="H570">
        <v>6</v>
      </c>
      <c r="I570">
        <v>5</v>
      </c>
      <c r="K570">
        <f t="shared" si="68"/>
        <v>0.8</v>
      </c>
      <c r="L570">
        <f t="shared" si="69"/>
        <v>0.55555555555555558</v>
      </c>
    </row>
    <row r="571" spans="1:12" x14ac:dyDescent="0.25">
      <c r="A571">
        <v>40520</v>
      </c>
      <c r="B571" t="s">
        <v>18</v>
      </c>
      <c r="C571">
        <v>11</v>
      </c>
      <c r="D571">
        <v>3</v>
      </c>
      <c r="E571">
        <f>358-38</f>
        <v>320</v>
      </c>
      <c r="F571">
        <v>7</v>
      </c>
      <c r="G571">
        <v>4</v>
      </c>
      <c r="H571">
        <v>4</v>
      </c>
      <c r="I571">
        <v>5</v>
      </c>
      <c r="K571">
        <f t="shared" si="68"/>
        <v>0.8</v>
      </c>
      <c r="L571">
        <f t="shared" si="69"/>
        <v>0.7142857142857143</v>
      </c>
    </row>
    <row r="572" spans="1:12" x14ac:dyDescent="0.25">
      <c r="A572">
        <v>40520</v>
      </c>
      <c r="B572" t="s">
        <v>18</v>
      </c>
      <c r="C572">
        <v>11</v>
      </c>
      <c r="D572">
        <v>4</v>
      </c>
      <c r="E572">
        <f>379-38</f>
        <v>341</v>
      </c>
      <c r="F572">
        <v>9</v>
      </c>
      <c r="G572">
        <v>7</v>
      </c>
      <c r="H572">
        <v>8</v>
      </c>
      <c r="I572">
        <v>7</v>
      </c>
      <c r="K572">
        <f t="shared" si="68"/>
        <v>1</v>
      </c>
      <c r="L572">
        <f t="shared" si="69"/>
        <v>0.77777777777777779</v>
      </c>
    </row>
    <row r="573" spans="1:12" x14ac:dyDescent="0.25">
      <c r="A573">
        <v>40520</v>
      </c>
      <c r="B573" t="s">
        <v>18</v>
      </c>
      <c r="C573">
        <v>12</v>
      </c>
      <c r="D573">
        <v>1</v>
      </c>
      <c r="E573">
        <f>631-32</f>
        <v>599</v>
      </c>
      <c r="F573">
        <v>16</v>
      </c>
      <c r="G573">
        <v>8</v>
      </c>
      <c r="H573">
        <v>7</v>
      </c>
      <c r="I573">
        <v>5</v>
      </c>
      <c r="K573">
        <f t="shared" si="68"/>
        <v>1.6</v>
      </c>
      <c r="L573">
        <f t="shared" si="69"/>
        <v>0.3125</v>
      </c>
    </row>
    <row r="574" spans="1:12" x14ac:dyDescent="0.25">
      <c r="A574">
        <v>40520</v>
      </c>
      <c r="B574" t="s">
        <v>18</v>
      </c>
      <c r="C574">
        <v>12</v>
      </c>
      <c r="D574">
        <v>2</v>
      </c>
      <c r="E574">
        <f>661-32</f>
        <v>629</v>
      </c>
      <c r="F574">
        <v>11</v>
      </c>
      <c r="G574">
        <v>8</v>
      </c>
      <c r="H574">
        <v>9</v>
      </c>
      <c r="I574">
        <v>7</v>
      </c>
      <c r="K574">
        <f t="shared" si="68"/>
        <v>1.1428571428571428</v>
      </c>
      <c r="L574">
        <f t="shared" si="69"/>
        <v>0.63636363636363635</v>
      </c>
    </row>
    <row r="575" spans="1:12" x14ac:dyDescent="0.25">
      <c r="A575">
        <v>40520</v>
      </c>
      <c r="B575" t="s">
        <v>18</v>
      </c>
      <c r="C575">
        <v>13</v>
      </c>
      <c r="D575">
        <v>1</v>
      </c>
      <c r="E575">
        <f>74-47</f>
        <v>27</v>
      </c>
      <c r="F575">
        <v>15</v>
      </c>
      <c r="G575">
        <v>9</v>
      </c>
      <c r="H575">
        <v>7</v>
      </c>
      <c r="I575">
        <v>9</v>
      </c>
      <c r="K575">
        <f t="shared" si="68"/>
        <v>1</v>
      </c>
      <c r="L575">
        <f t="shared" si="69"/>
        <v>0.6</v>
      </c>
    </row>
    <row r="576" spans="1:12" x14ac:dyDescent="0.25">
      <c r="A576">
        <v>40520</v>
      </c>
      <c r="B576" t="s">
        <v>18</v>
      </c>
      <c r="C576">
        <v>13</v>
      </c>
      <c r="D576">
        <v>2</v>
      </c>
      <c r="E576">
        <f>160-47</f>
        <v>113</v>
      </c>
      <c r="F576">
        <v>10</v>
      </c>
      <c r="G576">
        <v>3</v>
      </c>
      <c r="H576">
        <v>7</v>
      </c>
      <c r="I576">
        <v>5</v>
      </c>
      <c r="K576">
        <f t="shared" si="68"/>
        <v>0.6</v>
      </c>
      <c r="L576">
        <f t="shared" si="69"/>
        <v>0.5</v>
      </c>
    </row>
    <row r="577" spans="1:13" x14ac:dyDescent="0.25">
      <c r="A577">
        <v>40520</v>
      </c>
      <c r="B577" t="s">
        <v>18</v>
      </c>
      <c r="C577">
        <v>13</v>
      </c>
      <c r="D577">
        <v>3</v>
      </c>
      <c r="E577">
        <f>256-47</f>
        <v>209</v>
      </c>
      <c r="F577">
        <v>11</v>
      </c>
      <c r="M577" t="s">
        <v>15</v>
      </c>
    </row>
    <row r="578" spans="1:13" x14ac:dyDescent="0.25">
      <c r="A578">
        <v>40520</v>
      </c>
      <c r="B578" t="s">
        <v>18</v>
      </c>
      <c r="C578">
        <v>13</v>
      </c>
      <c r="D578">
        <v>4</v>
      </c>
      <c r="E578">
        <f>325-47</f>
        <v>278</v>
      </c>
      <c r="F578">
        <v>9</v>
      </c>
      <c r="G578">
        <v>3</v>
      </c>
      <c r="H578">
        <v>4</v>
      </c>
      <c r="I578">
        <v>4</v>
      </c>
      <c r="K578">
        <f t="shared" ref="K578:K591" si="70">G578/I578</f>
        <v>0.75</v>
      </c>
      <c r="L578">
        <f t="shared" ref="L578:L591" si="71">I578/F578</f>
        <v>0.44444444444444442</v>
      </c>
    </row>
    <row r="579" spans="1:13" x14ac:dyDescent="0.25">
      <c r="A579">
        <v>40520</v>
      </c>
      <c r="B579" t="s">
        <v>18</v>
      </c>
      <c r="C579">
        <v>13</v>
      </c>
      <c r="D579">
        <v>5</v>
      </c>
      <c r="E579">
        <f>333-47</f>
        <v>286</v>
      </c>
      <c r="F579">
        <v>7</v>
      </c>
      <c r="G579">
        <v>6</v>
      </c>
      <c r="H579">
        <v>6</v>
      </c>
      <c r="I579">
        <v>6</v>
      </c>
      <c r="K579">
        <f t="shared" si="70"/>
        <v>1</v>
      </c>
      <c r="L579">
        <f t="shared" si="71"/>
        <v>0.8571428571428571</v>
      </c>
    </row>
    <row r="580" spans="1:13" x14ac:dyDescent="0.25">
      <c r="A580">
        <v>40520</v>
      </c>
      <c r="B580" t="s">
        <v>18</v>
      </c>
      <c r="C580">
        <v>14</v>
      </c>
      <c r="D580">
        <v>1</v>
      </c>
      <c r="E580">
        <f>170-77</f>
        <v>93</v>
      </c>
      <c r="F580">
        <v>16</v>
      </c>
      <c r="G580">
        <v>5</v>
      </c>
      <c r="H580">
        <v>6</v>
      </c>
      <c r="I580">
        <v>6</v>
      </c>
      <c r="K580">
        <f t="shared" si="70"/>
        <v>0.83333333333333337</v>
      </c>
      <c r="L580">
        <f t="shared" si="71"/>
        <v>0.375</v>
      </c>
    </row>
    <row r="581" spans="1:13" x14ac:dyDescent="0.25">
      <c r="A581">
        <v>40520</v>
      </c>
      <c r="B581" t="s">
        <v>18</v>
      </c>
      <c r="C581">
        <v>14</v>
      </c>
      <c r="D581">
        <v>2</v>
      </c>
      <c r="E581">
        <f>399-77</f>
        <v>322</v>
      </c>
      <c r="F581">
        <v>11</v>
      </c>
      <c r="G581">
        <v>5</v>
      </c>
      <c r="H581">
        <v>6</v>
      </c>
      <c r="I581">
        <v>7</v>
      </c>
      <c r="K581">
        <f t="shared" si="70"/>
        <v>0.7142857142857143</v>
      </c>
      <c r="L581">
        <f t="shared" si="71"/>
        <v>0.63636363636363635</v>
      </c>
    </row>
    <row r="582" spans="1:13" x14ac:dyDescent="0.25">
      <c r="A582">
        <v>40520</v>
      </c>
      <c r="B582" t="s">
        <v>18</v>
      </c>
      <c r="C582">
        <v>14</v>
      </c>
      <c r="D582">
        <v>3</v>
      </c>
      <c r="E582">
        <f>521-77</f>
        <v>444</v>
      </c>
      <c r="F582">
        <v>12</v>
      </c>
      <c r="G582">
        <v>4</v>
      </c>
      <c r="H582">
        <v>7</v>
      </c>
      <c r="I582">
        <v>5</v>
      </c>
      <c r="K582">
        <f t="shared" si="70"/>
        <v>0.8</v>
      </c>
      <c r="L582">
        <f t="shared" si="71"/>
        <v>0.41666666666666669</v>
      </c>
    </row>
    <row r="583" spans="1:13" x14ac:dyDescent="0.25">
      <c r="A583">
        <v>40520</v>
      </c>
      <c r="B583" t="s">
        <v>18</v>
      </c>
      <c r="C583">
        <v>14</v>
      </c>
      <c r="D583">
        <v>4</v>
      </c>
      <c r="E583">
        <f>530-77</f>
        <v>453</v>
      </c>
      <c r="F583">
        <v>13</v>
      </c>
      <c r="G583">
        <v>5</v>
      </c>
      <c r="H583">
        <v>6</v>
      </c>
      <c r="I583">
        <v>5</v>
      </c>
      <c r="K583">
        <f t="shared" si="70"/>
        <v>1</v>
      </c>
      <c r="L583">
        <f t="shared" si="71"/>
        <v>0.38461538461538464</v>
      </c>
    </row>
    <row r="584" spans="1:13" x14ac:dyDescent="0.25">
      <c r="A584">
        <v>40520</v>
      </c>
      <c r="B584" t="s">
        <v>18</v>
      </c>
      <c r="C584">
        <v>15</v>
      </c>
      <c r="D584">
        <v>1</v>
      </c>
      <c r="E584">
        <f>163-85</f>
        <v>78</v>
      </c>
      <c r="F584">
        <v>12</v>
      </c>
      <c r="G584">
        <v>4</v>
      </c>
      <c r="H584">
        <v>8</v>
      </c>
      <c r="I584">
        <v>6</v>
      </c>
      <c r="K584">
        <f t="shared" si="70"/>
        <v>0.66666666666666663</v>
      </c>
      <c r="L584">
        <f t="shared" si="71"/>
        <v>0.5</v>
      </c>
    </row>
    <row r="585" spans="1:13" x14ac:dyDescent="0.25">
      <c r="A585">
        <v>40520</v>
      </c>
      <c r="B585" t="s">
        <v>18</v>
      </c>
      <c r="C585">
        <v>15</v>
      </c>
      <c r="D585">
        <v>2</v>
      </c>
      <c r="E585">
        <f>367-85</f>
        <v>282</v>
      </c>
      <c r="F585">
        <v>9</v>
      </c>
      <c r="G585">
        <v>6</v>
      </c>
      <c r="H585">
        <v>7</v>
      </c>
      <c r="I585">
        <v>7</v>
      </c>
      <c r="K585">
        <f t="shared" si="70"/>
        <v>0.8571428571428571</v>
      </c>
      <c r="L585">
        <f t="shared" si="71"/>
        <v>0.77777777777777779</v>
      </c>
    </row>
    <row r="586" spans="1:13" x14ac:dyDescent="0.25">
      <c r="A586">
        <v>40520</v>
      </c>
      <c r="B586" t="s">
        <v>18</v>
      </c>
      <c r="C586">
        <v>15</v>
      </c>
      <c r="D586">
        <v>3</v>
      </c>
      <c r="E586">
        <f>383-85</f>
        <v>298</v>
      </c>
      <c r="F586">
        <v>10</v>
      </c>
      <c r="G586">
        <v>3</v>
      </c>
      <c r="H586">
        <v>6</v>
      </c>
      <c r="I586">
        <v>5</v>
      </c>
      <c r="K586">
        <f t="shared" si="70"/>
        <v>0.6</v>
      </c>
      <c r="L586">
        <f t="shared" si="71"/>
        <v>0.5</v>
      </c>
    </row>
    <row r="587" spans="1:13" x14ac:dyDescent="0.25">
      <c r="A587">
        <v>40520</v>
      </c>
      <c r="B587" t="s">
        <v>18</v>
      </c>
      <c r="C587">
        <v>15</v>
      </c>
      <c r="D587">
        <v>4</v>
      </c>
      <c r="E587">
        <f>469-85</f>
        <v>384</v>
      </c>
      <c r="F587">
        <v>7</v>
      </c>
      <c r="G587">
        <v>3</v>
      </c>
      <c r="H587">
        <v>3</v>
      </c>
      <c r="I587">
        <v>3</v>
      </c>
      <c r="K587">
        <f t="shared" si="70"/>
        <v>1</v>
      </c>
      <c r="L587">
        <f t="shared" si="71"/>
        <v>0.42857142857142855</v>
      </c>
    </row>
    <row r="588" spans="1:13" x14ac:dyDescent="0.25">
      <c r="A588">
        <v>40520</v>
      </c>
      <c r="B588" t="s">
        <v>18</v>
      </c>
      <c r="C588">
        <v>15</v>
      </c>
      <c r="D588">
        <v>5</v>
      </c>
      <c r="E588">
        <f>469-85</f>
        <v>384</v>
      </c>
      <c r="F588">
        <v>7</v>
      </c>
      <c r="G588">
        <v>3</v>
      </c>
      <c r="H588">
        <v>4</v>
      </c>
      <c r="I588">
        <v>4</v>
      </c>
      <c r="K588">
        <f t="shared" si="70"/>
        <v>0.75</v>
      </c>
      <c r="L588">
        <f t="shared" si="71"/>
        <v>0.5714285714285714</v>
      </c>
    </row>
    <row r="589" spans="1:13" x14ac:dyDescent="0.25">
      <c r="A589">
        <v>40520</v>
      </c>
      <c r="B589" t="s">
        <v>18</v>
      </c>
      <c r="C589">
        <v>15</v>
      </c>
      <c r="D589">
        <v>6</v>
      </c>
      <c r="E589">
        <f>482-85</f>
        <v>397</v>
      </c>
      <c r="F589">
        <v>9</v>
      </c>
      <c r="G589">
        <v>3</v>
      </c>
      <c r="H589">
        <v>3</v>
      </c>
      <c r="I589">
        <v>2</v>
      </c>
      <c r="K589">
        <f t="shared" si="70"/>
        <v>1.5</v>
      </c>
      <c r="L589">
        <f t="shared" si="71"/>
        <v>0.22222222222222221</v>
      </c>
    </row>
    <row r="590" spans="1:13" x14ac:dyDescent="0.25">
      <c r="A590">
        <v>40520</v>
      </c>
      <c r="B590" t="s">
        <v>18</v>
      </c>
      <c r="C590">
        <v>15</v>
      </c>
      <c r="D590">
        <v>7</v>
      </c>
      <c r="E590">
        <f>483-85</f>
        <v>398</v>
      </c>
      <c r="F590">
        <v>8</v>
      </c>
      <c r="G590">
        <v>4</v>
      </c>
      <c r="H590">
        <v>4</v>
      </c>
      <c r="I590">
        <v>3</v>
      </c>
      <c r="K590">
        <f t="shared" si="70"/>
        <v>1.3333333333333333</v>
      </c>
      <c r="L590">
        <f t="shared" si="71"/>
        <v>0.375</v>
      </c>
    </row>
    <row r="591" spans="1:13" x14ac:dyDescent="0.25">
      <c r="A591">
        <v>40520</v>
      </c>
      <c r="B591" t="s">
        <v>18</v>
      </c>
      <c r="C591">
        <v>15</v>
      </c>
      <c r="D591">
        <v>8</v>
      </c>
      <c r="E591">
        <f>578-85</f>
        <v>493</v>
      </c>
      <c r="F591">
        <v>7</v>
      </c>
      <c r="G591">
        <v>3</v>
      </c>
      <c r="H591">
        <v>4</v>
      </c>
      <c r="I591">
        <v>3</v>
      </c>
      <c r="K591">
        <f t="shared" si="70"/>
        <v>1</v>
      </c>
      <c r="L591">
        <f t="shared" si="71"/>
        <v>0.42857142857142855</v>
      </c>
    </row>
    <row r="592" spans="1:13" x14ac:dyDescent="0.25">
      <c r="A592">
        <v>40520</v>
      </c>
      <c r="B592" t="s">
        <v>18</v>
      </c>
      <c r="C592">
        <v>15</v>
      </c>
      <c r="D592">
        <v>9</v>
      </c>
      <c r="E592">
        <f>611-85</f>
        <v>526</v>
      </c>
      <c r="F592">
        <v>11</v>
      </c>
      <c r="J592" t="s">
        <v>0</v>
      </c>
    </row>
    <row r="593" spans="1:13" x14ac:dyDescent="0.25">
      <c r="A593">
        <v>40520</v>
      </c>
      <c r="B593" t="s">
        <v>18</v>
      </c>
      <c r="C593">
        <v>16</v>
      </c>
      <c r="D593">
        <v>1</v>
      </c>
      <c r="E593">
        <f>175-90</f>
        <v>85</v>
      </c>
      <c r="F593">
        <v>13</v>
      </c>
      <c r="G593">
        <v>5</v>
      </c>
      <c r="H593">
        <v>10</v>
      </c>
      <c r="I593">
        <v>6</v>
      </c>
      <c r="K593">
        <f t="shared" ref="K593:K603" si="72">G593/I593</f>
        <v>0.83333333333333337</v>
      </c>
      <c r="L593">
        <f t="shared" ref="L593:L603" si="73">I593/F593</f>
        <v>0.46153846153846156</v>
      </c>
    </row>
    <row r="594" spans="1:13" x14ac:dyDescent="0.25">
      <c r="A594">
        <v>40520</v>
      </c>
      <c r="B594" t="s">
        <v>18</v>
      </c>
      <c r="C594">
        <v>16</v>
      </c>
      <c r="D594">
        <v>2</v>
      </c>
      <c r="E594">
        <f>346-90</f>
        <v>256</v>
      </c>
      <c r="F594">
        <v>11</v>
      </c>
      <c r="G594">
        <v>5</v>
      </c>
      <c r="H594">
        <v>6</v>
      </c>
      <c r="I594">
        <v>6</v>
      </c>
      <c r="K594">
        <f t="shared" si="72"/>
        <v>0.83333333333333337</v>
      </c>
      <c r="L594">
        <f t="shared" si="73"/>
        <v>0.54545454545454541</v>
      </c>
    </row>
    <row r="595" spans="1:13" x14ac:dyDescent="0.25">
      <c r="A595">
        <v>40520</v>
      </c>
      <c r="B595" t="s">
        <v>18</v>
      </c>
      <c r="C595">
        <v>16</v>
      </c>
      <c r="D595">
        <v>3</v>
      </c>
      <c r="E595">
        <f>427-90</f>
        <v>337</v>
      </c>
      <c r="F595">
        <v>13</v>
      </c>
      <c r="G595">
        <v>4</v>
      </c>
      <c r="H595">
        <v>6</v>
      </c>
      <c r="I595">
        <v>5</v>
      </c>
      <c r="K595">
        <f t="shared" si="72"/>
        <v>0.8</v>
      </c>
      <c r="L595">
        <f t="shared" si="73"/>
        <v>0.38461538461538464</v>
      </c>
    </row>
    <row r="596" spans="1:13" x14ac:dyDescent="0.25">
      <c r="A596">
        <v>40520</v>
      </c>
      <c r="B596" t="s">
        <v>18</v>
      </c>
      <c r="C596">
        <v>16</v>
      </c>
      <c r="D596">
        <v>4</v>
      </c>
      <c r="E596">
        <f>506-90</f>
        <v>416</v>
      </c>
      <c r="F596">
        <v>11</v>
      </c>
      <c r="G596">
        <v>4</v>
      </c>
      <c r="H596">
        <v>6</v>
      </c>
      <c r="I596">
        <v>5</v>
      </c>
      <c r="K596">
        <f t="shared" si="72"/>
        <v>0.8</v>
      </c>
      <c r="L596">
        <f t="shared" si="73"/>
        <v>0.45454545454545453</v>
      </c>
    </row>
    <row r="597" spans="1:13" x14ac:dyDescent="0.25">
      <c r="A597">
        <v>40520</v>
      </c>
      <c r="B597" t="s">
        <v>18</v>
      </c>
      <c r="C597">
        <v>16</v>
      </c>
      <c r="D597">
        <v>5</v>
      </c>
      <c r="E597">
        <f>531-90</f>
        <v>441</v>
      </c>
      <c r="F597">
        <v>11</v>
      </c>
      <c r="G597">
        <v>4</v>
      </c>
      <c r="H597">
        <v>5</v>
      </c>
      <c r="I597">
        <v>5</v>
      </c>
      <c r="K597">
        <f t="shared" si="72"/>
        <v>0.8</v>
      </c>
      <c r="L597">
        <f t="shared" si="73"/>
        <v>0.45454545454545453</v>
      </c>
    </row>
    <row r="598" spans="1:13" x14ac:dyDescent="0.25">
      <c r="A598">
        <v>40520</v>
      </c>
      <c r="B598" t="s">
        <v>18</v>
      </c>
      <c r="C598">
        <v>16</v>
      </c>
      <c r="D598">
        <v>6</v>
      </c>
      <c r="E598">
        <f>545-90</f>
        <v>455</v>
      </c>
      <c r="F598">
        <v>11</v>
      </c>
      <c r="G598">
        <v>7</v>
      </c>
      <c r="H598">
        <v>7</v>
      </c>
      <c r="I598">
        <v>7</v>
      </c>
      <c r="K598">
        <f t="shared" si="72"/>
        <v>1</v>
      </c>
      <c r="L598">
        <f t="shared" si="73"/>
        <v>0.63636363636363635</v>
      </c>
    </row>
    <row r="599" spans="1:13" x14ac:dyDescent="0.25">
      <c r="A599">
        <v>40520</v>
      </c>
      <c r="B599" t="s">
        <v>18</v>
      </c>
      <c r="C599">
        <v>16</v>
      </c>
      <c r="D599">
        <v>7</v>
      </c>
      <c r="E599">
        <f>677-90</f>
        <v>587</v>
      </c>
      <c r="F599">
        <v>10</v>
      </c>
      <c r="G599">
        <v>6</v>
      </c>
      <c r="H599">
        <v>5</v>
      </c>
      <c r="I599">
        <v>5</v>
      </c>
      <c r="K599">
        <f t="shared" si="72"/>
        <v>1.2</v>
      </c>
      <c r="L599">
        <f t="shared" si="73"/>
        <v>0.5</v>
      </c>
    </row>
    <row r="600" spans="1:13" x14ac:dyDescent="0.25">
      <c r="A600">
        <v>60520</v>
      </c>
      <c r="B600" t="s">
        <v>18</v>
      </c>
      <c r="C600">
        <v>1</v>
      </c>
      <c r="D600">
        <v>1</v>
      </c>
      <c r="E600">
        <f>497-62</f>
        <v>435</v>
      </c>
      <c r="F600">
        <v>16</v>
      </c>
      <c r="G600">
        <v>7</v>
      </c>
      <c r="H600">
        <v>7</v>
      </c>
      <c r="I600">
        <v>8</v>
      </c>
      <c r="K600">
        <f t="shared" si="72"/>
        <v>0.875</v>
      </c>
      <c r="L600">
        <f t="shared" si="73"/>
        <v>0.5</v>
      </c>
    </row>
    <row r="601" spans="1:13" x14ac:dyDescent="0.25">
      <c r="A601">
        <v>60520</v>
      </c>
      <c r="B601" t="s">
        <v>18</v>
      </c>
      <c r="C601">
        <v>1</v>
      </c>
      <c r="D601">
        <v>2</v>
      </c>
      <c r="E601">
        <f>541-62</f>
        <v>479</v>
      </c>
      <c r="F601">
        <v>15</v>
      </c>
      <c r="G601">
        <v>3</v>
      </c>
      <c r="H601">
        <v>7</v>
      </c>
      <c r="I601">
        <v>5</v>
      </c>
      <c r="K601">
        <f t="shared" si="72"/>
        <v>0.6</v>
      </c>
      <c r="L601">
        <f t="shared" si="73"/>
        <v>0.33333333333333331</v>
      </c>
    </row>
    <row r="602" spans="1:13" x14ac:dyDescent="0.25">
      <c r="A602">
        <v>60520</v>
      </c>
      <c r="B602" t="s">
        <v>18</v>
      </c>
      <c r="C602">
        <v>2</v>
      </c>
      <c r="D602">
        <v>1</v>
      </c>
      <c r="E602">
        <f>147-97</f>
        <v>50</v>
      </c>
      <c r="F602">
        <v>8</v>
      </c>
      <c r="G602">
        <v>3</v>
      </c>
      <c r="H602">
        <v>6</v>
      </c>
      <c r="I602">
        <v>5</v>
      </c>
      <c r="K602">
        <f t="shared" si="72"/>
        <v>0.6</v>
      </c>
      <c r="L602">
        <f t="shared" si="73"/>
        <v>0.625</v>
      </c>
    </row>
    <row r="603" spans="1:13" x14ac:dyDescent="0.25">
      <c r="A603">
        <v>60520</v>
      </c>
      <c r="B603" t="s">
        <v>18</v>
      </c>
      <c r="C603">
        <v>2</v>
      </c>
      <c r="D603">
        <v>2</v>
      </c>
      <c r="E603">
        <f>267-97</f>
        <v>170</v>
      </c>
      <c r="F603">
        <v>12</v>
      </c>
      <c r="G603">
        <v>2</v>
      </c>
      <c r="H603">
        <v>5</v>
      </c>
      <c r="I603">
        <v>3</v>
      </c>
      <c r="K603">
        <f t="shared" si="72"/>
        <v>0.66666666666666663</v>
      </c>
      <c r="L603">
        <f t="shared" si="73"/>
        <v>0.25</v>
      </c>
    </row>
    <row r="604" spans="1:13" x14ac:dyDescent="0.25">
      <c r="A604">
        <v>60520</v>
      </c>
      <c r="B604" t="s">
        <v>18</v>
      </c>
      <c r="C604">
        <v>2</v>
      </c>
      <c r="D604">
        <v>3</v>
      </c>
      <c r="E604">
        <f>410-97</f>
        <v>313</v>
      </c>
      <c r="F604">
        <v>11</v>
      </c>
      <c r="M604" t="s">
        <v>15</v>
      </c>
    </row>
    <row r="605" spans="1:13" x14ac:dyDescent="0.25">
      <c r="A605">
        <v>60520</v>
      </c>
      <c r="B605" t="s">
        <v>18</v>
      </c>
      <c r="C605">
        <v>2</v>
      </c>
      <c r="D605">
        <v>4</v>
      </c>
      <c r="E605">
        <f>465-97</f>
        <v>368</v>
      </c>
      <c r="F605">
        <v>9</v>
      </c>
      <c r="G605">
        <v>5</v>
      </c>
      <c r="H605">
        <v>7</v>
      </c>
      <c r="I605">
        <v>6</v>
      </c>
      <c r="K605">
        <f t="shared" ref="K605:K610" si="74">G605/I605</f>
        <v>0.83333333333333337</v>
      </c>
      <c r="L605">
        <f t="shared" ref="L605:L610" si="75">I605/F605</f>
        <v>0.66666666666666663</v>
      </c>
    </row>
    <row r="606" spans="1:13" x14ac:dyDescent="0.25">
      <c r="A606">
        <v>60520</v>
      </c>
      <c r="B606" t="s">
        <v>18</v>
      </c>
      <c r="C606">
        <v>2</v>
      </c>
      <c r="D606">
        <v>5</v>
      </c>
      <c r="E606">
        <f>489-97</f>
        <v>392</v>
      </c>
      <c r="F606">
        <v>10</v>
      </c>
      <c r="G606">
        <v>6</v>
      </c>
      <c r="H606">
        <v>6</v>
      </c>
      <c r="I606">
        <v>6</v>
      </c>
      <c r="K606">
        <f t="shared" si="74"/>
        <v>1</v>
      </c>
      <c r="L606">
        <f t="shared" si="75"/>
        <v>0.6</v>
      </c>
    </row>
    <row r="607" spans="1:13" x14ac:dyDescent="0.25">
      <c r="A607">
        <v>60520</v>
      </c>
      <c r="B607" t="s">
        <v>18</v>
      </c>
      <c r="C607">
        <v>2</v>
      </c>
      <c r="D607">
        <v>6</v>
      </c>
      <c r="E607">
        <f>557-97</f>
        <v>460</v>
      </c>
      <c r="F607">
        <v>7</v>
      </c>
      <c r="G607">
        <v>4</v>
      </c>
      <c r="H607">
        <v>5</v>
      </c>
      <c r="I607">
        <v>5</v>
      </c>
      <c r="K607">
        <f t="shared" si="74"/>
        <v>0.8</v>
      </c>
      <c r="L607">
        <f t="shared" si="75"/>
        <v>0.7142857142857143</v>
      </c>
    </row>
    <row r="608" spans="1:13" x14ac:dyDescent="0.25">
      <c r="A608">
        <v>60520</v>
      </c>
      <c r="B608" t="s">
        <v>18</v>
      </c>
      <c r="C608">
        <v>3</v>
      </c>
      <c r="D608">
        <v>1</v>
      </c>
      <c r="E608">
        <f>163-45</f>
        <v>118</v>
      </c>
      <c r="F608">
        <v>8</v>
      </c>
      <c r="G608">
        <v>2</v>
      </c>
      <c r="H608">
        <v>6</v>
      </c>
      <c r="I608">
        <v>4</v>
      </c>
      <c r="K608">
        <f t="shared" si="74"/>
        <v>0.5</v>
      </c>
      <c r="L608">
        <f t="shared" si="75"/>
        <v>0.5</v>
      </c>
    </row>
    <row r="609" spans="1:12" x14ac:dyDescent="0.25">
      <c r="A609">
        <v>60520</v>
      </c>
      <c r="B609" t="s">
        <v>18</v>
      </c>
      <c r="C609">
        <v>3</v>
      </c>
      <c r="D609">
        <v>2</v>
      </c>
      <c r="E609">
        <f>244-45</f>
        <v>199</v>
      </c>
      <c r="F609">
        <v>9</v>
      </c>
      <c r="G609">
        <v>5</v>
      </c>
      <c r="H609">
        <v>4</v>
      </c>
      <c r="I609">
        <v>5</v>
      </c>
      <c r="K609">
        <f t="shared" si="74"/>
        <v>1</v>
      </c>
      <c r="L609">
        <f t="shared" si="75"/>
        <v>0.55555555555555558</v>
      </c>
    </row>
    <row r="610" spans="1:12" x14ac:dyDescent="0.25">
      <c r="A610">
        <v>60520</v>
      </c>
      <c r="B610" t="s">
        <v>18</v>
      </c>
      <c r="C610">
        <v>3</v>
      </c>
      <c r="D610">
        <v>3</v>
      </c>
      <c r="E610">
        <f>337-45</f>
        <v>292</v>
      </c>
      <c r="F610">
        <v>8</v>
      </c>
      <c r="G610">
        <v>5</v>
      </c>
      <c r="H610">
        <v>5</v>
      </c>
      <c r="I610">
        <v>5</v>
      </c>
      <c r="K610">
        <f t="shared" si="74"/>
        <v>1</v>
      </c>
      <c r="L610">
        <f t="shared" si="75"/>
        <v>0.625</v>
      </c>
    </row>
    <row r="611" spans="1:12" x14ac:dyDescent="0.25">
      <c r="A611">
        <v>60520</v>
      </c>
      <c r="B611" t="s">
        <v>18</v>
      </c>
      <c r="C611">
        <v>3</v>
      </c>
      <c r="D611">
        <v>4</v>
      </c>
      <c r="E611">
        <f>375-45</f>
        <v>330</v>
      </c>
      <c r="F611">
        <v>8</v>
      </c>
      <c r="J611" t="s">
        <v>0</v>
      </c>
    </row>
    <row r="612" spans="1:12" x14ac:dyDescent="0.25">
      <c r="A612">
        <v>60520</v>
      </c>
      <c r="B612" t="s">
        <v>18</v>
      </c>
      <c r="C612">
        <v>3</v>
      </c>
      <c r="D612">
        <v>5</v>
      </c>
      <c r="E612">
        <f>460-45</f>
        <v>415</v>
      </c>
      <c r="F612">
        <v>7</v>
      </c>
      <c r="G612">
        <v>6</v>
      </c>
      <c r="H612">
        <v>5</v>
      </c>
      <c r="I612">
        <v>5</v>
      </c>
      <c r="K612">
        <f t="shared" ref="K612:K632" si="76">G612/I612</f>
        <v>1.2</v>
      </c>
      <c r="L612">
        <f t="shared" ref="L612:L632" si="77">I612/F612</f>
        <v>0.7142857142857143</v>
      </c>
    </row>
    <row r="613" spans="1:12" x14ac:dyDescent="0.25">
      <c r="A613">
        <v>60520</v>
      </c>
      <c r="B613" t="s">
        <v>18</v>
      </c>
      <c r="C613">
        <v>4</v>
      </c>
      <c r="D613">
        <v>1</v>
      </c>
      <c r="E613">
        <f>31-28</f>
        <v>3</v>
      </c>
      <c r="F613">
        <v>14</v>
      </c>
      <c r="G613">
        <v>5</v>
      </c>
      <c r="H613">
        <v>9</v>
      </c>
      <c r="I613">
        <v>5</v>
      </c>
      <c r="K613">
        <f t="shared" si="76"/>
        <v>1</v>
      </c>
      <c r="L613">
        <f t="shared" si="77"/>
        <v>0.35714285714285715</v>
      </c>
    </row>
    <row r="614" spans="1:12" x14ac:dyDescent="0.25">
      <c r="A614">
        <v>60520</v>
      </c>
      <c r="B614" t="s">
        <v>18</v>
      </c>
      <c r="C614">
        <v>4</v>
      </c>
      <c r="D614">
        <v>2</v>
      </c>
      <c r="E614">
        <f>151-28</f>
        <v>123</v>
      </c>
      <c r="F614">
        <v>8</v>
      </c>
      <c r="G614">
        <v>5</v>
      </c>
      <c r="H614">
        <v>6</v>
      </c>
      <c r="I614">
        <v>6</v>
      </c>
      <c r="K614">
        <f t="shared" si="76"/>
        <v>0.83333333333333337</v>
      </c>
      <c r="L614">
        <f t="shared" si="77"/>
        <v>0.75</v>
      </c>
    </row>
    <row r="615" spans="1:12" x14ac:dyDescent="0.25">
      <c r="A615">
        <v>60520</v>
      </c>
      <c r="B615" t="s">
        <v>18</v>
      </c>
      <c r="C615">
        <v>4</v>
      </c>
      <c r="D615">
        <v>3</v>
      </c>
      <c r="E615">
        <f>254-28</f>
        <v>226</v>
      </c>
      <c r="F615">
        <v>9</v>
      </c>
      <c r="G615">
        <v>3</v>
      </c>
      <c r="H615">
        <v>4</v>
      </c>
      <c r="I615">
        <v>4</v>
      </c>
      <c r="K615">
        <f t="shared" si="76"/>
        <v>0.75</v>
      </c>
      <c r="L615">
        <f t="shared" si="77"/>
        <v>0.44444444444444442</v>
      </c>
    </row>
    <row r="616" spans="1:12" x14ac:dyDescent="0.25">
      <c r="A616">
        <v>60520</v>
      </c>
      <c r="B616" t="s">
        <v>18</v>
      </c>
      <c r="C616">
        <v>4</v>
      </c>
      <c r="D616">
        <v>4</v>
      </c>
      <c r="E616">
        <f>327-28</f>
        <v>299</v>
      </c>
      <c r="F616">
        <v>10</v>
      </c>
      <c r="G616">
        <v>9</v>
      </c>
      <c r="H616">
        <v>8</v>
      </c>
      <c r="I616">
        <v>8</v>
      </c>
      <c r="K616">
        <f t="shared" si="76"/>
        <v>1.125</v>
      </c>
      <c r="L616">
        <f t="shared" si="77"/>
        <v>0.8</v>
      </c>
    </row>
    <row r="617" spans="1:12" x14ac:dyDescent="0.25">
      <c r="A617">
        <v>60520</v>
      </c>
      <c r="B617" t="s">
        <v>18</v>
      </c>
      <c r="C617">
        <v>4</v>
      </c>
      <c r="D617">
        <v>5</v>
      </c>
      <c r="E617">
        <f>394-28</f>
        <v>366</v>
      </c>
      <c r="F617">
        <v>8</v>
      </c>
      <c r="G617">
        <v>4</v>
      </c>
      <c r="H617">
        <v>4</v>
      </c>
      <c r="I617">
        <v>4</v>
      </c>
      <c r="K617">
        <f t="shared" si="76"/>
        <v>1</v>
      </c>
      <c r="L617">
        <f t="shared" si="77"/>
        <v>0.5</v>
      </c>
    </row>
    <row r="618" spans="1:12" x14ac:dyDescent="0.25">
      <c r="A618">
        <v>60520</v>
      </c>
      <c r="B618" t="s">
        <v>18</v>
      </c>
      <c r="C618">
        <v>4</v>
      </c>
      <c r="D618">
        <v>6</v>
      </c>
      <c r="E618">
        <f>460-28</f>
        <v>432</v>
      </c>
      <c r="F618">
        <v>9</v>
      </c>
      <c r="G618">
        <v>3</v>
      </c>
      <c r="H618">
        <v>3</v>
      </c>
      <c r="I618">
        <v>3</v>
      </c>
      <c r="K618">
        <f t="shared" si="76"/>
        <v>1</v>
      </c>
      <c r="L618">
        <f t="shared" si="77"/>
        <v>0.33333333333333331</v>
      </c>
    </row>
    <row r="619" spans="1:12" x14ac:dyDescent="0.25">
      <c r="A619">
        <v>60520</v>
      </c>
      <c r="B619" t="s">
        <v>18</v>
      </c>
      <c r="C619">
        <v>4</v>
      </c>
      <c r="D619">
        <v>7</v>
      </c>
      <c r="E619">
        <f>478-28</f>
        <v>450</v>
      </c>
      <c r="F619">
        <v>8</v>
      </c>
      <c r="G619">
        <v>7</v>
      </c>
      <c r="H619">
        <v>7</v>
      </c>
      <c r="I619">
        <v>6</v>
      </c>
      <c r="K619">
        <f t="shared" si="76"/>
        <v>1.1666666666666667</v>
      </c>
      <c r="L619">
        <f t="shared" si="77"/>
        <v>0.75</v>
      </c>
    </row>
    <row r="620" spans="1:12" x14ac:dyDescent="0.25">
      <c r="A620">
        <v>60520</v>
      </c>
      <c r="B620" t="s">
        <v>18</v>
      </c>
      <c r="C620">
        <v>5</v>
      </c>
      <c r="D620">
        <v>1</v>
      </c>
      <c r="E620">
        <f>516-66</f>
        <v>450</v>
      </c>
      <c r="F620">
        <v>16</v>
      </c>
      <c r="G620">
        <v>3</v>
      </c>
      <c r="H620">
        <v>7</v>
      </c>
      <c r="I620">
        <v>5</v>
      </c>
      <c r="K620">
        <f t="shared" si="76"/>
        <v>0.6</v>
      </c>
      <c r="L620">
        <f t="shared" si="77"/>
        <v>0.3125</v>
      </c>
    </row>
    <row r="621" spans="1:12" x14ac:dyDescent="0.25">
      <c r="A621">
        <v>60520</v>
      </c>
      <c r="B621" t="s">
        <v>18</v>
      </c>
      <c r="C621">
        <v>5</v>
      </c>
      <c r="D621">
        <v>2</v>
      </c>
      <c r="E621">
        <f>598-66</f>
        <v>532</v>
      </c>
      <c r="F621">
        <v>16</v>
      </c>
      <c r="G621">
        <v>4</v>
      </c>
      <c r="H621">
        <v>6</v>
      </c>
      <c r="I621">
        <v>5</v>
      </c>
      <c r="K621">
        <f t="shared" si="76"/>
        <v>0.8</v>
      </c>
      <c r="L621">
        <f t="shared" si="77"/>
        <v>0.3125</v>
      </c>
    </row>
    <row r="622" spans="1:12" x14ac:dyDescent="0.25">
      <c r="A622">
        <v>60520</v>
      </c>
      <c r="B622" t="s">
        <v>18</v>
      </c>
      <c r="C622">
        <v>5</v>
      </c>
      <c r="D622">
        <v>3</v>
      </c>
      <c r="E622">
        <f>599-66</f>
        <v>533</v>
      </c>
      <c r="F622">
        <v>16</v>
      </c>
      <c r="G622">
        <v>4</v>
      </c>
      <c r="H622">
        <v>6</v>
      </c>
      <c r="I622">
        <v>6</v>
      </c>
      <c r="K622">
        <f t="shared" si="76"/>
        <v>0.66666666666666663</v>
      </c>
      <c r="L622">
        <f t="shared" si="77"/>
        <v>0.375</v>
      </c>
    </row>
    <row r="623" spans="1:12" x14ac:dyDescent="0.25">
      <c r="A623">
        <v>60520</v>
      </c>
      <c r="B623" t="s">
        <v>18</v>
      </c>
      <c r="C623">
        <v>6</v>
      </c>
      <c r="D623">
        <v>1</v>
      </c>
      <c r="E623">
        <f>302-103</f>
        <v>199</v>
      </c>
      <c r="F623">
        <v>14</v>
      </c>
      <c r="G623">
        <v>5</v>
      </c>
      <c r="H623">
        <v>8</v>
      </c>
      <c r="I623">
        <v>5</v>
      </c>
      <c r="K623">
        <f t="shared" si="76"/>
        <v>1</v>
      </c>
      <c r="L623">
        <f t="shared" si="77"/>
        <v>0.35714285714285715</v>
      </c>
    </row>
    <row r="624" spans="1:12" x14ac:dyDescent="0.25">
      <c r="A624">
        <v>60520</v>
      </c>
      <c r="B624" t="s">
        <v>18</v>
      </c>
      <c r="C624">
        <v>6</v>
      </c>
      <c r="D624">
        <v>2</v>
      </c>
      <c r="E624">
        <f>427-103</f>
        <v>324</v>
      </c>
      <c r="F624">
        <v>11</v>
      </c>
      <c r="G624">
        <v>6</v>
      </c>
      <c r="H624">
        <v>6</v>
      </c>
      <c r="I624">
        <v>6</v>
      </c>
      <c r="K624">
        <f t="shared" si="76"/>
        <v>1</v>
      </c>
      <c r="L624">
        <f t="shared" si="77"/>
        <v>0.54545454545454541</v>
      </c>
    </row>
    <row r="625" spans="1:13" x14ac:dyDescent="0.25">
      <c r="A625">
        <v>60520</v>
      </c>
      <c r="B625" t="s">
        <v>18</v>
      </c>
      <c r="C625">
        <v>6</v>
      </c>
      <c r="D625">
        <v>3</v>
      </c>
      <c r="E625">
        <f>479-103</f>
        <v>376</v>
      </c>
      <c r="F625">
        <v>10</v>
      </c>
      <c r="G625">
        <v>4</v>
      </c>
      <c r="H625">
        <v>7</v>
      </c>
      <c r="I625">
        <v>5</v>
      </c>
      <c r="K625">
        <f t="shared" si="76"/>
        <v>0.8</v>
      </c>
      <c r="L625">
        <f t="shared" si="77"/>
        <v>0.5</v>
      </c>
    </row>
    <row r="626" spans="1:13" x14ac:dyDescent="0.25">
      <c r="A626">
        <v>60520</v>
      </c>
      <c r="B626" t="s">
        <v>18</v>
      </c>
      <c r="C626">
        <v>6</v>
      </c>
      <c r="D626">
        <v>4</v>
      </c>
      <c r="E626">
        <f>530-103</f>
        <v>427</v>
      </c>
      <c r="F626">
        <v>11</v>
      </c>
      <c r="G626">
        <v>6</v>
      </c>
      <c r="H626">
        <v>5</v>
      </c>
      <c r="I626">
        <v>4</v>
      </c>
      <c r="K626">
        <f t="shared" si="76"/>
        <v>1.5</v>
      </c>
      <c r="L626">
        <f t="shared" si="77"/>
        <v>0.36363636363636365</v>
      </c>
    </row>
    <row r="627" spans="1:13" x14ac:dyDescent="0.25">
      <c r="A627">
        <v>60520</v>
      </c>
      <c r="B627" t="s">
        <v>18</v>
      </c>
      <c r="C627">
        <v>6</v>
      </c>
      <c r="D627">
        <v>5</v>
      </c>
      <c r="E627">
        <f>558-103</f>
        <v>455</v>
      </c>
      <c r="F627">
        <v>8</v>
      </c>
      <c r="G627">
        <v>4</v>
      </c>
      <c r="H627">
        <v>4</v>
      </c>
      <c r="I627">
        <v>3</v>
      </c>
      <c r="K627">
        <f t="shared" si="76"/>
        <v>1.3333333333333333</v>
      </c>
      <c r="L627">
        <f t="shared" si="77"/>
        <v>0.375</v>
      </c>
    </row>
    <row r="628" spans="1:13" x14ac:dyDescent="0.25">
      <c r="A628">
        <v>60520</v>
      </c>
      <c r="B628" t="s">
        <v>18</v>
      </c>
      <c r="C628">
        <v>6</v>
      </c>
      <c r="D628">
        <v>6</v>
      </c>
      <c r="E628">
        <f>581-103</f>
        <v>478</v>
      </c>
      <c r="F628">
        <v>8</v>
      </c>
      <c r="G628">
        <v>6</v>
      </c>
      <c r="H628">
        <v>5</v>
      </c>
      <c r="I628">
        <v>5</v>
      </c>
      <c r="K628">
        <f t="shared" si="76"/>
        <v>1.2</v>
      </c>
      <c r="L628">
        <f t="shared" si="77"/>
        <v>0.625</v>
      </c>
    </row>
    <row r="629" spans="1:13" x14ac:dyDescent="0.25">
      <c r="A629">
        <v>60520</v>
      </c>
      <c r="B629" t="s">
        <v>18</v>
      </c>
      <c r="C629">
        <v>6</v>
      </c>
      <c r="D629">
        <v>7</v>
      </c>
      <c r="E629">
        <f>598-103</f>
        <v>495</v>
      </c>
      <c r="F629">
        <v>8</v>
      </c>
      <c r="G629">
        <v>4</v>
      </c>
      <c r="H629">
        <v>5</v>
      </c>
      <c r="I629">
        <v>4</v>
      </c>
      <c r="K629">
        <f t="shared" si="76"/>
        <v>1</v>
      </c>
      <c r="L629">
        <f t="shared" si="77"/>
        <v>0.5</v>
      </c>
    </row>
    <row r="630" spans="1:13" x14ac:dyDescent="0.25">
      <c r="A630">
        <v>60520</v>
      </c>
      <c r="B630" t="s">
        <v>18</v>
      </c>
      <c r="C630">
        <v>7</v>
      </c>
      <c r="D630">
        <v>1</v>
      </c>
      <c r="E630">
        <f>183-48</f>
        <v>135</v>
      </c>
      <c r="F630">
        <v>11</v>
      </c>
      <c r="G630">
        <v>3</v>
      </c>
      <c r="H630">
        <v>6</v>
      </c>
      <c r="I630">
        <v>5</v>
      </c>
      <c r="K630">
        <f t="shared" si="76"/>
        <v>0.6</v>
      </c>
      <c r="L630">
        <f t="shared" si="77"/>
        <v>0.45454545454545453</v>
      </c>
    </row>
    <row r="631" spans="1:13" x14ac:dyDescent="0.25">
      <c r="A631">
        <v>60520</v>
      </c>
      <c r="B631" t="s">
        <v>18</v>
      </c>
      <c r="C631">
        <v>7</v>
      </c>
      <c r="D631">
        <v>2</v>
      </c>
      <c r="E631">
        <f>423-48</f>
        <v>375</v>
      </c>
      <c r="F631">
        <v>13</v>
      </c>
      <c r="G631">
        <v>5</v>
      </c>
      <c r="H631">
        <v>8</v>
      </c>
      <c r="I631">
        <v>6</v>
      </c>
      <c r="K631">
        <f t="shared" si="76"/>
        <v>0.83333333333333337</v>
      </c>
      <c r="L631">
        <f t="shared" si="77"/>
        <v>0.46153846153846156</v>
      </c>
    </row>
    <row r="632" spans="1:13" x14ac:dyDescent="0.25">
      <c r="A632">
        <v>60520</v>
      </c>
      <c r="B632" t="s">
        <v>18</v>
      </c>
      <c r="C632">
        <v>7</v>
      </c>
      <c r="D632">
        <v>3</v>
      </c>
      <c r="E632">
        <f>440-48</f>
        <v>392</v>
      </c>
      <c r="F632">
        <v>11</v>
      </c>
      <c r="G632">
        <v>7</v>
      </c>
      <c r="H632">
        <v>6</v>
      </c>
      <c r="I632">
        <v>8</v>
      </c>
      <c r="K632">
        <f t="shared" si="76"/>
        <v>0.875</v>
      </c>
      <c r="L632">
        <f t="shared" si="77"/>
        <v>0.72727272727272729</v>
      </c>
    </row>
    <row r="633" spans="1:13" x14ac:dyDescent="0.25">
      <c r="A633">
        <v>60520</v>
      </c>
      <c r="B633" t="s">
        <v>18</v>
      </c>
      <c r="C633">
        <v>7</v>
      </c>
      <c r="D633">
        <v>4</v>
      </c>
      <c r="E633">
        <f>449-48</f>
        <v>401</v>
      </c>
      <c r="F633">
        <v>12</v>
      </c>
      <c r="M633" t="s">
        <v>15</v>
      </c>
    </row>
    <row r="634" spans="1:13" x14ac:dyDescent="0.25">
      <c r="A634">
        <v>60520</v>
      </c>
      <c r="B634" t="s">
        <v>18</v>
      </c>
      <c r="C634">
        <v>7</v>
      </c>
      <c r="D634">
        <v>5</v>
      </c>
      <c r="E634">
        <f>494-48</f>
        <v>446</v>
      </c>
      <c r="F634">
        <v>8</v>
      </c>
      <c r="G634">
        <v>6</v>
      </c>
      <c r="H634">
        <v>5</v>
      </c>
      <c r="I634">
        <v>4</v>
      </c>
      <c r="K634">
        <f>G634/I634</f>
        <v>1.5</v>
      </c>
      <c r="L634">
        <f>I634/F634</f>
        <v>0.5</v>
      </c>
    </row>
    <row r="635" spans="1:13" x14ac:dyDescent="0.25">
      <c r="A635">
        <v>60520</v>
      </c>
      <c r="B635" t="s">
        <v>18</v>
      </c>
      <c r="C635">
        <v>8</v>
      </c>
      <c r="D635">
        <v>1</v>
      </c>
      <c r="E635">
        <f>409-52</f>
        <v>357</v>
      </c>
      <c r="F635">
        <v>20</v>
      </c>
      <c r="G635">
        <v>5</v>
      </c>
      <c r="H635">
        <v>6</v>
      </c>
      <c r="I635">
        <v>5</v>
      </c>
      <c r="K635">
        <f>G635/I635</f>
        <v>1</v>
      </c>
      <c r="L635">
        <f>I635/F635</f>
        <v>0.25</v>
      </c>
    </row>
    <row r="636" spans="1:13" x14ac:dyDescent="0.25">
      <c r="A636">
        <v>60520</v>
      </c>
      <c r="B636" t="s">
        <v>18</v>
      </c>
      <c r="C636">
        <v>9</v>
      </c>
      <c r="D636">
        <v>1</v>
      </c>
      <c r="E636">
        <f>275-76</f>
        <v>199</v>
      </c>
      <c r="F636">
        <v>11</v>
      </c>
      <c r="J636" t="s">
        <v>0</v>
      </c>
    </row>
    <row r="637" spans="1:13" x14ac:dyDescent="0.25">
      <c r="A637">
        <v>60520</v>
      </c>
      <c r="B637" t="s">
        <v>18</v>
      </c>
      <c r="C637">
        <v>9</v>
      </c>
      <c r="D637">
        <v>2</v>
      </c>
      <c r="E637">
        <f>407-76</f>
        <v>331</v>
      </c>
      <c r="F637">
        <v>10</v>
      </c>
      <c r="G637">
        <v>5</v>
      </c>
      <c r="H637">
        <v>7</v>
      </c>
      <c r="I637">
        <v>6</v>
      </c>
      <c r="K637">
        <f t="shared" ref="K637:K657" si="78">G637/I637</f>
        <v>0.83333333333333337</v>
      </c>
      <c r="L637">
        <f t="shared" ref="L637:L657" si="79">I637/F637</f>
        <v>0.6</v>
      </c>
    </row>
    <row r="638" spans="1:13" x14ac:dyDescent="0.25">
      <c r="A638">
        <v>60520</v>
      </c>
      <c r="B638" t="s">
        <v>18</v>
      </c>
      <c r="C638">
        <v>9</v>
      </c>
      <c r="D638">
        <v>3</v>
      </c>
      <c r="E638">
        <f>426-76</f>
        <v>350</v>
      </c>
      <c r="F638">
        <v>11</v>
      </c>
      <c r="G638">
        <v>2</v>
      </c>
      <c r="H638">
        <v>6</v>
      </c>
      <c r="I638">
        <v>3</v>
      </c>
      <c r="K638">
        <f t="shared" si="78"/>
        <v>0.66666666666666663</v>
      </c>
      <c r="L638">
        <f t="shared" si="79"/>
        <v>0.27272727272727271</v>
      </c>
    </row>
    <row r="639" spans="1:13" x14ac:dyDescent="0.25">
      <c r="A639">
        <v>60520</v>
      </c>
      <c r="B639" t="s">
        <v>18</v>
      </c>
      <c r="C639">
        <v>9</v>
      </c>
      <c r="D639">
        <v>4</v>
      </c>
      <c r="E639">
        <f>482-76</f>
        <v>406</v>
      </c>
      <c r="F639">
        <v>11</v>
      </c>
      <c r="G639">
        <v>5</v>
      </c>
      <c r="H639">
        <v>5</v>
      </c>
      <c r="I639">
        <v>5</v>
      </c>
      <c r="K639">
        <f t="shared" si="78"/>
        <v>1</v>
      </c>
      <c r="L639">
        <f t="shared" si="79"/>
        <v>0.45454545454545453</v>
      </c>
    </row>
    <row r="640" spans="1:13" x14ac:dyDescent="0.25">
      <c r="A640">
        <v>60520</v>
      </c>
      <c r="B640" t="s">
        <v>18</v>
      </c>
      <c r="C640">
        <v>9</v>
      </c>
      <c r="D640">
        <v>5</v>
      </c>
      <c r="E640">
        <f>480-76</f>
        <v>404</v>
      </c>
      <c r="F640">
        <v>12</v>
      </c>
      <c r="G640">
        <v>4</v>
      </c>
      <c r="H640">
        <v>6</v>
      </c>
      <c r="I640">
        <v>5</v>
      </c>
      <c r="K640">
        <f t="shared" si="78"/>
        <v>0.8</v>
      </c>
      <c r="L640">
        <f t="shared" si="79"/>
        <v>0.41666666666666669</v>
      </c>
    </row>
    <row r="641" spans="1:12" x14ac:dyDescent="0.25">
      <c r="A641">
        <v>60520</v>
      </c>
      <c r="B641" t="s">
        <v>18</v>
      </c>
      <c r="C641">
        <v>9</v>
      </c>
      <c r="D641">
        <v>6</v>
      </c>
      <c r="E641">
        <f>586-76</f>
        <v>510</v>
      </c>
      <c r="F641">
        <v>9</v>
      </c>
      <c r="G641">
        <v>4</v>
      </c>
      <c r="H641">
        <v>4</v>
      </c>
      <c r="I641">
        <v>4</v>
      </c>
      <c r="K641">
        <f t="shared" si="78"/>
        <v>1</v>
      </c>
      <c r="L641">
        <f t="shared" si="79"/>
        <v>0.44444444444444442</v>
      </c>
    </row>
    <row r="642" spans="1:12" x14ac:dyDescent="0.25">
      <c r="A642">
        <v>60520</v>
      </c>
      <c r="B642" t="s">
        <v>18</v>
      </c>
      <c r="C642">
        <v>10</v>
      </c>
      <c r="D642">
        <v>1</v>
      </c>
      <c r="E642">
        <f>293-63</f>
        <v>230</v>
      </c>
      <c r="F642">
        <v>11</v>
      </c>
      <c r="G642">
        <v>3</v>
      </c>
      <c r="H642">
        <v>7</v>
      </c>
      <c r="I642">
        <v>5</v>
      </c>
      <c r="K642">
        <f t="shared" si="78"/>
        <v>0.6</v>
      </c>
      <c r="L642">
        <f t="shared" si="79"/>
        <v>0.45454545454545453</v>
      </c>
    </row>
    <row r="643" spans="1:12" x14ac:dyDescent="0.25">
      <c r="A643">
        <v>60520</v>
      </c>
      <c r="B643" t="s">
        <v>18</v>
      </c>
      <c r="C643">
        <v>10</v>
      </c>
      <c r="D643">
        <v>2</v>
      </c>
      <c r="E643">
        <f>407-63</f>
        <v>344</v>
      </c>
      <c r="F643">
        <v>13</v>
      </c>
      <c r="G643">
        <v>3</v>
      </c>
      <c r="H643">
        <v>8</v>
      </c>
      <c r="I643">
        <v>4</v>
      </c>
      <c r="K643">
        <f t="shared" si="78"/>
        <v>0.75</v>
      </c>
      <c r="L643">
        <f t="shared" si="79"/>
        <v>0.30769230769230771</v>
      </c>
    </row>
    <row r="644" spans="1:12" x14ac:dyDescent="0.25">
      <c r="A644">
        <v>60520</v>
      </c>
      <c r="B644" t="s">
        <v>18</v>
      </c>
      <c r="C644">
        <v>10</v>
      </c>
      <c r="D644">
        <v>3</v>
      </c>
      <c r="E644">
        <f>507-63</f>
        <v>444</v>
      </c>
      <c r="F644">
        <v>14</v>
      </c>
      <c r="G644">
        <v>4</v>
      </c>
      <c r="H644">
        <v>7</v>
      </c>
      <c r="I644">
        <v>7</v>
      </c>
      <c r="K644">
        <f t="shared" si="78"/>
        <v>0.5714285714285714</v>
      </c>
      <c r="L644">
        <f t="shared" si="79"/>
        <v>0.5</v>
      </c>
    </row>
    <row r="645" spans="1:12" x14ac:dyDescent="0.25">
      <c r="A645">
        <v>60520</v>
      </c>
      <c r="B645" t="s">
        <v>18</v>
      </c>
      <c r="C645">
        <v>10</v>
      </c>
      <c r="D645">
        <v>4</v>
      </c>
      <c r="E645">
        <f>577-63</f>
        <v>514</v>
      </c>
      <c r="F645">
        <v>14</v>
      </c>
      <c r="G645">
        <v>6</v>
      </c>
      <c r="H645">
        <v>6</v>
      </c>
      <c r="I645">
        <v>6</v>
      </c>
      <c r="K645">
        <f t="shared" si="78"/>
        <v>1</v>
      </c>
      <c r="L645">
        <f t="shared" si="79"/>
        <v>0.42857142857142855</v>
      </c>
    </row>
    <row r="646" spans="1:12" x14ac:dyDescent="0.25">
      <c r="A646">
        <v>60520</v>
      </c>
      <c r="B646" t="s">
        <v>18</v>
      </c>
      <c r="C646">
        <v>10</v>
      </c>
      <c r="D646">
        <v>5</v>
      </c>
      <c r="E646">
        <f>590-63</f>
        <v>527</v>
      </c>
      <c r="F646">
        <v>14</v>
      </c>
      <c r="G646">
        <v>6</v>
      </c>
      <c r="H646">
        <v>7</v>
      </c>
      <c r="I646">
        <v>6</v>
      </c>
      <c r="K646">
        <f t="shared" si="78"/>
        <v>1</v>
      </c>
      <c r="L646">
        <f t="shared" si="79"/>
        <v>0.42857142857142855</v>
      </c>
    </row>
    <row r="647" spans="1:12" x14ac:dyDescent="0.25">
      <c r="A647">
        <v>60520</v>
      </c>
      <c r="B647" t="s">
        <v>18</v>
      </c>
      <c r="C647">
        <v>11</v>
      </c>
      <c r="D647">
        <v>1</v>
      </c>
      <c r="E647">
        <f>192-66</f>
        <v>126</v>
      </c>
      <c r="F647">
        <v>16</v>
      </c>
      <c r="G647">
        <v>5</v>
      </c>
      <c r="H647">
        <v>6</v>
      </c>
      <c r="I647">
        <v>5</v>
      </c>
      <c r="K647">
        <f t="shared" si="78"/>
        <v>1</v>
      </c>
      <c r="L647">
        <f t="shared" si="79"/>
        <v>0.3125</v>
      </c>
    </row>
    <row r="648" spans="1:12" x14ac:dyDescent="0.25">
      <c r="A648">
        <v>60520</v>
      </c>
      <c r="B648" t="s">
        <v>18</v>
      </c>
      <c r="C648">
        <v>11</v>
      </c>
      <c r="D648">
        <v>2</v>
      </c>
      <c r="E648">
        <f>561-66</f>
        <v>495</v>
      </c>
      <c r="F648">
        <v>15</v>
      </c>
      <c r="G648">
        <v>6</v>
      </c>
      <c r="H648">
        <v>8</v>
      </c>
      <c r="I648">
        <v>8</v>
      </c>
      <c r="K648">
        <f t="shared" si="78"/>
        <v>0.75</v>
      </c>
      <c r="L648">
        <f t="shared" si="79"/>
        <v>0.53333333333333333</v>
      </c>
    </row>
    <row r="649" spans="1:12" x14ac:dyDescent="0.25">
      <c r="A649">
        <v>60520</v>
      </c>
      <c r="B649" t="s">
        <v>18</v>
      </c>
      <c r="C649">
        <v>11</v>
      </c>
      <c r="D649">
        <v>3</v>
      </c>
      <c r="E649">
        <f>611-66</f>
        <v>545</v>
      </c>
      <c r="F649">
        <v>17</v>
      </c>
      <c r="G649">
        <v>7</v>
      </c>
      <c r="H649">
        <v>7</v>
      </c>
      <c r="I649">
        <v>7</v>
      </c>
      <c r="K649">
        <f t="shared" si="78"/>
        <v>1</v>
      </c>
      <c r="L649">
        <f t="shared" si="79"/>
        <v>0.41176470588235292</v>
      </c>
    </row>
    <row r="650" spans="1:12" x14ac:dyDescent="0.25">
      <c r="A650">
        <v>60520</v>
      </c>
      <c r="B650" t="s">
        <v>18</v>
      </c>
      <c r="C650">
        <v>11</v>
      </c>
      <c r="D650">
        <v>4</v>
      </c>
      <c r="E650">
        <f>631-66</f>
        <v>565</v>
      </c>
      <c r="F650">
        <v>18</v>
      </c>
      <c r="G650">
        <v>6</v>
      </c>
      <c r="H650">
        <v>7</v>
      </c>
      <c r="I650">
        <v>6</v>
      </c>
      <c r="K650">
        <f t="shared" si="78"/>
        <v>1</v>
      </c>
      <c r="L650">
        <f t="shared" si="79"/>
        <v>0.33333333333333331</v>
      </c>
    </row>
    <row r="651" spans="1:12" x14ac:dyDescent="0.25">
      <c r="A651">
        <v>60520</v>
      </c>
      <c r="B651" t="s">
        <v>18</v>
      </c>
      <c r="C651">
        <v>12</v>
      </c>
      <c r="D651">
        <v>1</v>
      </c>
      <c r="E651">
        <f>496-131</f>
        <v>365</v>
      </c>
      <c r="F651">
        <v>17</v>
      </c>
      <c r="G651">
        <v>8</v>
      </c>
      <c r="H651">
        <v>9</v>
      </c>
      <c r="I651">
        <v>7</v>
      </c>
      <c r="K651">
        <f t="shared" si="78"/>
        <v>1.1428571428571428</v>
      </c>
      <c r="L651">
        <f t="shared" si="79"/>
        <v>0.41176470588235292</v>
      </c>
    </row>
    <row r="652" spans="1:12" x14ac:dyDescent="0.25">
      <c r="A652">
        <v>60520</v>
      </c>
      <c r="B652" t="s">
        <v>18</v>
      </c>
      <c r="C652">
        <v>13</v>
      </c>
      <c r="D652">
        <v>1</v>
      </c>
      <c r="E652">
        <f>366-70</f>
        <v>296</v>
      </c>
      <c r="F652">
        <v>11</v>
      </c>
      <c r="G652">
        <v>3</v>
      </c>
      <c r="H652">
        <v>6</v>
      </c>
      <c r="I652">
        <v>6</v>
      </c>
      <c r="K652">
        <f t="shared" si="78"/>
        <v>0.5</v>
      </c>
      <c r="L652">
        <f t="shared" si="79"/>
        <v>0.54545454545454541</v>
      </c>
    </row>
    <row r="653" spans="1:12" x14ac:dyDescent="0.25">
      <c r="A653">
        <v>60520</v>
      </c>
      <c r="B653" t="s">
        <v>18</v>
      </c>
      <c r="C653">
        <v>13</v>
      </c>
      <c r="D653">
        <v>2</v>
      </c>
      <c r="E653">
        <f>535-70</f>
        <v>465</v>
      </c>
      <c r="F653">
        <v>12</v>
      </c>
      <c r="G653">
        <v>3</v>
      </c>
      <c r="H653">
        <v>7</v>
      </c>
      <c r="I653">
        <v>4</v>
      </c>
      <c r="K653">
        <f t="shared" si="78"/>
        <v>0.75</v>
      </c>
      <c r="L653">
        <f t="shared" si="79"/>
        <v>0.33333333333333331</v>
      </c>
    </row>
    <row r="654" spans="1:12" x14ac:dyDescent="0.25">
      <c r="A654">
        <v>60520</v>
      </c>
      <c r="B654" t="s">
        <v>18</v>
      </c>
      <c r="C654">
        <v>13</v>
      </c>
      <c r="D654">
        <v>3</v>
      </c>
      <c r="E654">
        <f>539-70</f>
        <v>469</v>
      </c>
      <c r="F654">
        <v>11</v>
      </c>
      <c r="G654">
        <v>1</v>
      </c>
      <c r="H654">
        <v>6</v>
      </c>
      <c r="I654">
        <v>3</v>
      </c>
      <c r="K654">
        <f t="shared" si="78"/>
        <v>0.33333333333333331</v>
      </c>
      <c r="L654">
        <f t="shared" si="79"/>
        <v>0.27272727272727271</v>
      </c>
    </row>
    <row r="655" spans="1:12" x14ac:dyDescent="0.25">
      <c r="A655">
        <v>60520</v>
      </c>
      <c r="B655" t="s">
        <v>18</v>
      </c>
      <c r="C655">
        <v>13</v>
      </c>
      <c r="D655">
        <v>4</v>
      </c>
      <c r="E655">
        <f>602-70</f>
        <v>532</v>
      </c>
      <c r="F655">
        <v>13</v>
      </c>
      <c r="G655">
        <v>5</v>
      </c>
      <c r="H655">
        <v>6</v>
      </c>
      <c r="I655">
        <v>5</v>
      </c>
      <c r="K655">
        <f t="shared" si="78"/>
        <v>1</v>
      </c>
      <c r="L655">
        <f t="shared" si="79"/>
        <v>0.38461538461538464</v>
      </c>
    </row>
    <row r="656" spans="1:12" x14ac:dyDescent="0.25">
      <c r="A656">
        <v>60520</v>
      </c>
      <c r="B656" t="s">
        <v>18</v>
      </c>
      <c r="C656">
        <v>13</v>
      </c>
      <c r="D656">
        <v>5</v>
      </c>
      <c r="E656">
        <f>625-70</f>
        <v>555</v>
      </c>
      <c r="F656">
        <v>13</v>
      </c>
      <c r="G656">
        <v>4</v>
      </c>
      <c r="H656">
        <v>7</v>
      </c>
      <c r="I656">
        <v>4</v>
      </c>
      <c r="K656">
        <f t="shared" si="78"/>
        <v>1</v>
      </c>
      <c r="L656">
        <f t="shared" si="79"/>
        <v>0.30769230769230771</v>
      </c>
    </row>
    <row r="657" spans="1:13" x14ac:dyDescent="0.25">
      <c r="A657">
        <v>60520</v>
      </c>
      <c r="B657" t="s">
        <v>18</v>
      </c>
      <c r="C657">
        <v>14</v>
      </c>
      <c r="D657">
        <v>1</v>
      </c>
      <c r="E657">
        <f>147-69</f>
        <v>78</v>
      </c>
      <c r="F657">
        <v>11</v>
      </c>
      <c r="G657">
        <v>2</v>
      </c>
      <c r="H657">
        <v>5</v>
      </c>
      <c r="I657">
        <v>3</v>
      </c>
      <c r="K657">
        <f t="shared" si="78"/>
        <v>0.66666666666666663</v>
      </c>
      <c r="L657">
        <f t="shared" si="79"/>
        <v>0.27272727272727271</v>
      </c>
    </row>
    <row r="658" spans="1:13" x14ac:dyDescent="0.25">
      <c r="A658">
        <v>60520</v>
      </c>
      <c r="B658" t="s">
        <v>18</v>
      </c>
      <c r="C658">
        <v>14</v>
      </c>
      <c r="D658">
        <v>2</v>
      </c>
      <c r="E658">
        <f>377-69</f>
        <v>308</v>
      </c>
      <c r="F658">
        <v>11</v>
      </c>
      <c r="J658" t="s">
        <v>0</v>
      </c>
    </row>
    <row r="659" spans="1:13" x14ac:dyDescent="0.25">
      <c r="A659">
        <v>60520</v>
      </c>
      <c r="B659" t="s">
        <v>18</v>
      </c>
      <c r="C659">
        <v>14</v>
      </c>
      <c r="D659">
        <v>3</v>
      </c>
      <c r="E659">
        <f>420-69</f>
        <v>351</v>
      </c>
      <c r="F659">
        <v>12</v>
      </c>
      <c r="G659">
        <v>5</v>
      </c>
      <c r="H659">
        <v>8</v>
      </c>
      <c r="I659">
        <v>6</v>
      </c>
      <c r="K659">
        <f t="shared" ref="K659:K666" si="80">G659/I659</f>
        <v>0.83333333333333337</v>
      </c>
      <c r="L659">
        <f t="shared" ref="L659:L666" si="81">I659/F659</f>
        <v>0.5</v>
      </c>
    </row>
    <row r="660" spans="1:13" x14ac:dyDescent="0.25">
      <c r="A660">
        <v>60520</v>
      </c>
      <c r="B660" t="s">
        <v>18</v>
      </c>
      <c r="C660">
        <v>14</v>
      </c>
      <c r="D660">
        <v>4</v>
      </c>
      <c r="E660">
        <f>425-69</f>
        <v>356</v>
      </c>
      <c r="F660">
        <v>13</v>
      </c>
      <c r="G660">
        <v>7</v>
      </c>
      <c r="H660">
        <v>7</v>
      </c>
      <c r="I660">
        <v>7</v>
      </c>
      <c r="K660">
        <f t="shared" si="80"/>
        <v>1</v>
      </c>
      <c r="L660">
        <f t="shared" si="81"/>
        <v>0.53846153846153844</v>
      </c>
    </row>
    <row r="661" spans="1:13" x14ac:dyDescent="0.25">
      <c r="A661">
        <v>60520</v>
      </c>
      <c r="B661" t="s">
        <v>18</v>
      </c>
      <c r="C661">
        <v>14</v>
      </c>
      <c r="D661">
        <v>5</v>
      </c>
      <c r="E661">
        <f>507-69</f>
        <v>438</v>
      </c>
      <c r="F661">
        <v>9</v>
      </c>
      <c r="G661">
        <v>4</v>
      </c>
      <c r="H661">
        <v>5</v>
      </c>
      <c r="I661">
        <v>4</v>
      </c>
      <c r="K661">
        <f t="shared" si="80"/>
        <v>1</v>
      </c>
      <c r="L661">
        <f t="shared" si="81"/>
        <v>0.44444444444444442</v>
      </c>
    </row>
    <row r="662" spans="1:13" x14ac:dyDescent="0.25">
      <c r="A662">
        <v>60520</v>
      </c>
      <c r="B662" t="s">
        <v>18</v>
      </c>
      <c r="C662">
        <v>14</v>
      </c>
      <c r="D662">
        <v>6</v>
      </c>
      <c r="E662">
        <f>510-69</f>
        <v>441</v>
      </c>
      <c r="F662">
        <v>9</v>
      </c>
      <c r="G662">
        <v>2</v>
      </c>
      <c r="H662">
        <v>3</v>
      </c>
      <c r="I662">
        <v>2</v>
      </c>
      <c r="K662">
        <f t="shared" si="80"/>
        <v>1</v>
      </c>
      <c r="L662">
        <f t="shared" si="81"/>
        <v>0.22222222222222221</v>
      </c>
    </row>
    <row r="663" spans="1:13" x14ac:dyDescent="0.25">
      <c r="A663">
        <v>60520</v>
      </c>
      <c r="B663" t="s">
        <v>18</v>
      </c>
      <c r="C663">
        <v>14</v>
      </c>
      <c r="D663">
        <v>7</v>
      </c>
      <c r="E663">
        <f>551-69</f>
        <v>482</v>
      </c>
      <c r="F663">
        <v>9</v>
      </c>
      <c r="G663">
        <v>4</v>
      </c>
      <c r="H663">
        <v>4</v>
      </c>
      <c r="I663">
        <v>4</v>
      </c>
      <c r="K663">
        <f t="shared" si="80"/>
        <v>1</v>
      </c>
      <c r="L663">
        <f t="shared" si="81"/>
        <v>0.44444444444444442</v>
      </c>
    </row>
    <row r="664" spans="1:13" x14ac:dyDescent="0.25">
      <c r="A664">
        <v>60520</v>
      </c>
      <c r="B664" t="s">
        <v>18</v>
      </c>
      <c r="C664">
        <v>14</v>
      </c>
      <c r="D664">
        <v>8</v>
      </c>
      <c r="E664">
        <f>567-69</f>
        <v>498</v>
      </c>
      <c r="F664">
        <v>9</v>
      </c>
      <c r="G664">
        <v>3</v>
      </c>
      <c r="H664">
        <v>3</v>
      </c>
      <c r="I664">
        <v>4</v>
      </c>
      <c r="K664">
        <f t="shared" si="80"/>
        <v>0.75</v>
      </c>
      <c r="L664">
        <f t="shared" si="81"/>
        <v>0.44444444444444442</v>
      </c>
    </row>
    <row r="665" spans="1:13" x14ac:dyDescent="0.25">
      <c r="A665">
        <v>60520</v>
      </c>
      <c r="B665" t="s">
        <v>18</v>
      </c>
      <c r="C665">
        <v>14</v>
      </c>
      <c r="D665">
        <v>9</v>
      </c>
      <c r="E665">
        <f>582-69</f>
        <v>513</v>
      </c>
      <c r="F665">
        <v>7</v>
      </c>
      <c r="G665">
        <v>4</v>
      </c>
      <c r="H665">
        <v>4</v>
      </c>
      <c r="I665">
        <v>3</v>
      </c>
      <c r="K665">
        <f t="shared" si="80"/>
        <v>1.3333333333333333</v>
      </c>
      <c r="L665">
        <f t="shared" si="81"/>
        <v>0.42857142857142855</v>
      </c>
    </row>
    <row r="666" spans="1:13" x14ac:dyDescent="0.25">
      <c r="A666">
        <v>60520</v>
      </c>
      <c r="B666" t="s">
        <v>18</v>
      </c>
      <c r="C666">
        <v>15</v>
      </c>
      <c r="D666">
        <v>1</v>
      </c>
      <c r="E666">
        <f>280-90</f>
        <v>190</v>
      </c>
      <c r="F666">
        <v>11</v>
      </c>
      <c r="G666">
        <v>3</v>
      </c>
      <c r="H666">
        <v>9</v>
      </c>
      <c r="I666">
        <v>6</v>
      </c>
      <c r="K666">
        <f t="shared" si="80"/>
        <v>0.5</v>
      </c>
      <c r="L666">
        <f t="shared" si="81"/>
        <v>0.54545454545454541</v>
      </c>
    </row>
    <row r="667" spans="1:13" x14ac:dyDescent="0.25">
      <c r="A667">
        <v>60520</v>
      </c>
      <c r="B667" t="s">
        <v>18</v>
      </c>
      <c r="C667">
        <v>15</v>
      </c>
      <c r="D667">
        <v>2</v>
      </c>
      <c r="E667">
        <f>396-90</f>
        <v>306</v>
      </c>
      <c r="F667">
        <v>13</v>
      </c>
      <c r="J667" t="s">
        <v>0</v>
      </c>
    </row>
    <row r="668" spans="1:13" x14ac:dyDescent="0.25">
      <c r="A668">
        <v>60520</v>
      </c>
      <c r="B668" t="s">
        <v>18</v>
      </c>
      <c r="C668">
        <v>15</v>
      </c>
      <c r="D668">
        <v>3</v>
      </c>
      <c r="E668">
        <f>464-90</f>
        <v>374</v>
      </c>
      <c r="F668">
        <v>13</v>
      </c>
      <c r="M668" t="s">
        <v>15</v>
      </c>
    </row>
    <row r="669" spans="1:13" x14ac:dyDescent="0.25">
      <c r="A669">
        <v>60520</v>
      </c>
      <c r="B669" t="s">
        <v>18</v>
      </c>
      <c r="C669">
        <v>15</v>
      </c>
      <c r="D669">
        <v>4</v>
      </c>
      <c r="E669">
        <f>526-90</f>
        <v>436</v>
      </c>
      <c r="F669">
        <v>11</v>
      </c>
      <c r="G669">
        <v>8</v>
      </c>
      <c r="H669">
        <v>6</v>
      </c>
      <c r="I669">
        <v>6</v>
      </c>
      <c r="K669">
        <f>G669/I669</f>
        <v>1.3333333333333333</v>
      </c>
      <c r="L669">
        <f>I669/F669</f>
        <v>0.54545454545454541</v>
      </c>
    </row>
    <row r="670" spans="1:13" x14ac:dyDescent="0.25">
      <c r="A670">
        <v>60520</v>
      </c>
      <c r="B670" t="s">
        <v>18</v>
      </c>
      <c r="C670">
        <v>15</v>
      </c>
      <c r="D670">
        <v>5</v>
      </c>
      <c r="E670">
        <f>581-90</f>
        <v>491</v>
      </c>
      <c r="F670">
        <v>11</v>
      </c>
      <c r="J670" t="s">
        <v>0</v>
      </c>
    </row>
    <row r="671" spans="1:13" x14ac:dyDescent="0.25">
      <c r="A671">
        <v>180520</v>
      </c>
      <c r="B671" t="s">
        <v>18</v>
      </c>
      <c r="C671">
        <v>1</v>
      </c>
      <c r="D671">
        <v>1</v>
      </c>
      <c r="E671">
        <f>468-39</f>
        <v>429</v>
      </c>
      <c r="F671">
        <v>16</v>
      </c>
      <c r="G671">
        <v>6</v>
      </c>
      <c r="H671">
        <v>11</v>
      </c>
      <c r="I671">
        <v>8</v>
      </c>
      <c r="K671">
        <f>G671/I671</f>
        <v>0.75</v>
      </c>
      <c r="L671">
        <f>I671/F671</f>
        <v>0.5</v>
      </c>
    </row>
    <row r="672" spans="1:13" x14ac:dyDescent="0.25">
      <c r="A672">
        <v>180520</v>
      </c>
      <c r="B672" t="s">
        <v>18</v>
      </c>
      <c r="C672">
        <v>1</v>
      </c>
      <c r="D672">
        <v>2</v>
      </c>
      <c r="E672">
        <f>681-39</f>
        <v>642</v>
      </c>
      <c r="F672">
        <v>15</v>
      </c>
      <c r="G672">
        <v>7</v>
      </c>
      <c r="H672">
        <v>10</v>
      </c>
      <c r="I672">
        <v>7</v>
      </c>
      <c r="K672">
        <f>G672/I672</f>
        <v>1</v>
      </c>
      <c r="L672">
        <f>I672/F672</f>
        <v>0.46666666666666667</v>
      </c>
    </row>
    <row r="673" spans="1:12" x14ac:dyDescent="0.25">
      <c r="A673">
        <v>180520</v>
      </c>
      <c r="B673" t="s">
        <v>18</v>
      </c>
      <c r="C673">
        <v>1</v>
      </c>
      <c r="D673">
        <v>3</v>
      </c>
      <c r="E673">
        <f>714-39</f>
        <v>675</v>
      </c>
      <c r="F673">
        <v>13</v>
      </c>
      <c r="G673">
        <v>6</v>
      </c>
      <c r="H673">
        <v>8</v>
      </c>
      <c r="I673">
        <v>5</v>
      </c>
      <c r="K673">
        <f>G673/I673</f>
        <v>1.2</v>
      </c>
      <c r="L673">
        <f>I673/F673</f>
        <v>0.38461538461538464</v>
      </c>
    </row>
    <row r="674" spans="1:12" x14ac:dyDescent="0.25">
      <c r="A674">
        <v>180520</v>
      </c>
      <c r="B674" t="s">
        <v>18</v>
      </c>
      <c r="C674">
        <v>2</v>
      </c>
      <c r="D674">
        <v>1</v>
      </c>
      <c r="E674">
        <f>242-136</f>
        <v>106</v>
      </c>
      <c r="F674">
        <v>15</v>
      </c>
      <c r="G674">
        <v>6</v>
      </c>
      <c r="H674">
        <v>9</v>
      </c>
      <c r="I674">
        <v>7</v>
      </c>
      <c r="K674">
        <f>G674/I674</f>
        <v>0.8571428571428571</v>
      </c>
      <c r="L674">
        <f>I674/F674</f>
        <v>0.46666666666666667</v>
      </c>
    </row>
    <row r="675" spans="1:12" x14ac:dyDescent="0.25">
      <c r="A675">
        <v>180520</v>
      </c>
      <c r="B675" t="s">
        <v>18</v>
      </c>
      <c r="C675">
        <v>2</v>
      </c>
      <c r="D675">
        <v>2</v>
      </c>
      <c r="E675">
        <f>467-136</f>
        <v>331</v>
      </c>
      <c r="F675">
        <v>11</v>
      </c>
      <c r="J675" t="s">
        <v>0</v>
      </c>
    </row>
    <row r="676" spans="1:12" x14ac:dyDescent="0.25">
      <c r="A676">
        <v>180520</v>
      </c>
      <c r="B676" t="s">
        <v>18</v>
      </c>
      <c r="C676">
        <v>2</v>
      </c>
      <c r="D676">
        <v>3</v>
      </c>
      <c r="E676">
        <f>594-136</f>
        <v>458</v>
      </c>
      <c r="F676">
        <v>12</v>
      </c>
      <c r="G676">
        <v>7</v>
      </c>
      <c r="H676">
        <v>6</v>
      </c>
      <c r="I676">
        <v>6</v>
      </c>
      <c r="K676">
        <f t="shared" ref="K676:K696" si="82">G676/I676</f>
        <v>1.1666666666666667</v>
      </c>
      <c r="L676">
        <f t="shared" ref="L676:L696" si="83">I676/F676</f>
        <v>0.5</v>
      </c>
    </row>
    <row r="677" spans="1:12" x14ac:dyDescent="0.25">
      <c r="A677">
        <v>180520</v>
      </c>
      <c r="B677" t="s">
        <v>18</v>
      </c>
      <c r="C677">
        <v>2</v>
      </c>
      <c r="D677">
        <v>4</v>
      </c>
      <c r="E677">
        <f>638-136</f>
        <v>502</v>
      </c>
      <c r="F677">
        <v>11</v>
      </c>
      <c r="G677">
        <v>8</v>
      </c>
      <c r="H677">
        <v>6</v>
      </c>
      <c r="I677">
        <v>5</v>
      </c>
      <c r="K677">
        <f t="shared" si="82"/>
        <v>1.6</v>
      </c>
      <c r="L677">
        <f t="shared" si="83"/>
        <v>0.45454545454545453</v>
      </c>
    </row>
    <row r="678" spans="1:12" x14ac:dyDescent="0.25">
      <c r="A678">
        <v>180520</v>
      </c>
      <c r="B678" t="s">
        <v>18</v>
      </c>
      <c r="C678">
        <v>2</v>
      </c>
      <c r="D678">
        <v>5</v>
      </c>
      <c r="E678">
        <f>639-136</f>
        <v>503</v>
      </c>
      <c r="F678">
        <v>9</v>
      </c>
      <c r="G678">
        <v>4</v>
      </c>
      <c r="H678">
        <v>6</v>
      </c>
      <c r="I678">
        <v>5</v>
      </c>
      <c r="K678">
        <f t="shared" si="82"/>
        <v>0.8</v>
      </c>
      <c r="L678">
        <f t="shared" si="83"/>
        <v>0.55555555555555558</v>
      </c>
    </row>
    <row r="679" spans="1:12" x14ac:dyDescent="0.25">
      <c r="A679">
        <v>180520</v>
      </c>
      <c r="B679" t="s">
        <v>18</v>
      </c>
      <c r="C679">
        <v>3</v>
      </c>
      <c r="D679">
        <v>1</v>
      </c>
      <c r="E679">
        <f>231-150</f>
        <v>81</v>
      </c>
      <c r="F679">
        <v>11</v>
      </c>
      <c r="G679">
        <v>4</v>
      </c>
      <c r="H679">
        <v>6</v>
      </c>
      <c r="I679">
        <v>7</v>
      </c>
      <c r="K679">
        <f t="shared" si="82"/>
        <v>0.5714285714285714</v>
      </c>
      <c r="L679">
        <f t="shared" si="83"/>
        <v>0.63636363636363635</v>
      </c>
    </row>
    <row r="680" spans="1:12" x14ac:dyDescent="0.25">
      <c r="A680">
        <v>180520</v>
      </c>
      <c r="B680" t="s">
        <v>18</v>
      </c>
      <c r="C680">
        <v>3</v>
      </c>
      <c r="D680">
        <v>2</v>
      </c>
      <c r="E680">
        <f>258-150</f>
        <v>108</v>
      </c>
      <c r="F680">
        <v>9</v>
      </c>
      <c r="G680">
        <v>4</v>
      </c>
      <c r="H680">
        <v>7</v>
      </c>
      <c r="I680">
        <v>5</v>
      </c>
      <c r="K680">
        <f t="shared" si="82"/>
        <v>0.8</v>
      </c>
      <c r="L680">
        <f t="shared" si="83"/>
        <v>0.55555555555555558</v>
      </c>
    </row>
    <row r="681" spans="1:12" x14ac:dyDescent="0.25">
      <c r="A681">
        <v>180520</v>
      </c>
      <c r="B681" t="s">
        <v>18</v>
      </c>
      <c r="C681">
        <v>3</v>
      </c>
      <c r="D681">
        <v>3</v>
      </c>
      <c r="E681">
        <f>370-150</f>
        <v>220</v>
      </c>
      <c r="F681">
        <v>10</v>
      </c>
      <c r="G681">
        <v>4</v>
      </c>
      <c r="H681">
        <v>5</v>
      </c>
      <c r="I681">
        <v>4</v>
      </c>
      <c r="K681">
        <f t="shared" si="82"/>
        <v>1</v>
      </c>
      <c r="L681">
        <f t="shared" si="83"/>
        <v>0.4</v>
      </c>
    </row>
    <row r="682" spans="1:12" x14ac:dyDescent="0.25">
      <c r="A682">
        <v>180520</v>
      </c>
      <c r="B682" t="s">
        <v>18</v>
      </c>
      <c r="C682">
        <v>3</v>
      </c>
      <c r="D682">
        <v>4</v>
      </c>
      <c r="E682">
        <f>371-150</f>
        <v>221</v>
      </c>
      <c r="F682">
        <v>9</v>
      </c>
      <c r="G682">
        <v>3</v>
      </c>
      <c r="H682">
        <v>4</v>
      </c>
      <c r="I682">
        <v>4</v>
      </c>
      <c r="K682">
        <f t="shared" si="82"/>
        <v>0.75</v>
      </c>
      <c r="L682">
        <f t="shared" si="83"/>
        <v>0.44444444444444442</v>
      </c>
    </row>
    <row r="683" spans="1:12" x14ac:dyDescent="0.25">
      <c r="A683">
        <v>180520</v>
      </c>
      <c r="B683" t="s">
        <v>18</v>
      </c>
      <c r="C683">
        <v>3</v>
      </c>
      <c r="D683">
        <v>5</v>
      </c>
      <c r="E683">
        <f>482-150</f>
        <v>332</v>
      </c>
      <c r="F683">
        <v>8</v>
      </c>
      <c r="G683">
        <v>4</v>
      </c>
      <c r="H683">
        <v>5</v>
      </c>
      <c r="I683">
        <v>4</v>
      </c>
      <c r="K683">
        <f t="shared" si="82"/>
        <v>1</v>
      </c>
      <c r="L683">
        <f t="shared" si="83"/>
        <v>0.5</v>
      </c>
    </row>
    <row r="684" spans="1:12" x14ac:dyDescent="0.25">
      <c r="A684">
        <v>180520</v>
      </c>
      <c r="B684" t="s">
        <v>18</v>
      </c>
      <c r="C684">
        <v>3</v>
      </c>
      <c r="D684">
        <v>6</v>
      </c>
      <c r="E684">
        <f>516-150</f>
        <v>366</v>
      </c>
      <c r="F684">
        <v>10</v>
      </c>
      <c r="G684">
        <v>7</v>
      </c>
      <c r="H684">
        <v>6</v>
      </c>
      <c r="I684">
        <v>6</v>
      </c>
      <c r="K684">
        <f t="shared" si="82"/>
        <v>1.1666666666666667</v>
      </c>
      <c r="L684">
        <f t="shared" si="83"/>
        <v>0.6</v>
      </c>
    </row>
    <row r="685" spans="1:12" x14ac:dyDescent="0.25">
      <c r="A685">
        <v>180520</v>
      </c>
      <c r="B685" t="s">
        <v>18</v>
      </c>
      <c r="C685">
        <v>3</v>
      </c>
      <c r="D685">
        <v>7</v>
      </c>
      <c r="E685">
        <f>535-150</f>
        <v>385</v>
      </c>
      <c r="F685">
        <v>8</v>
      </c>
      <c r="G685">
        <v>7</v>
      </c>
      <c r="H685">
        <v>5</v>
      </c>
      <c r="I685">
        <v>5</v>
      </c>
      <c r="K685">
        <f t="shared" si="82"/>
        <v>1.4</v>
      </c>
      <c r="L685">
        <f t="shared" si="83"/>
        <v>0.625</v>
      </c>
    </row>
    <row r="686" spans="1:12" x14ac:dyDescent="0.25">
      <c r="A686">
        <v>180520</v>
      </c>
      <c r="B686" t="s">
        <v>18</v>
      </c>
      <c r="C686">
        <v>4</v>
      </c>
      <c r="D686">
        <v>1</v>
      </c>
      <c r="E686">
        <f>190-180</f>
        <v>10</v>
      </c>
      <c r="F686">
        <v>20</v>
      </c>
      <c r="G686">
        <v>7</v>
      </c>
      <c r="H686">
        <v>15</v>
      </c>
      <c r="I686">
        <v>8</v>
      </c>
      <c r="K686">
        <f t="shared" si="82"/>
        <v>0.875</v>
      </c>
      <c r="L686">
        <f t="shared" si="83"/>
        <v>0.4</v>
      </c>
    </row>
    <row r="687" spans="1:12" x14ac:dyDescent="0.25">
      <c r="A687">
        <v>180520</v>
      </c>
      <c r="B687" t="s">
        <v>18</v>
      </c>
      <c r="C687">
        <v>4</v>
      </c>
      <c r="D687">
        <v>2</v>
      </c>
      <c r="E687">
        <f>431-180</f>
        <v>251</v>
      </c>
      <c r="F687">
        <v>11</v>
      </c>
      <c r="G687">
        <v>7</v>
      </c>
      <c r="H687">
        <v>6</v>
      </c>
      <c r="I687">
        <v>6</v>
      </c>
      <c r="K687">
        <f t="shared" si="82"/>
        <v>1.1666666666666667</v>
      </c>
      <c r="L687">
        <f t="shared" si="83"/>
        <v>0.54545454545454541</v>
      </c>
    </row>
    <row r="688" spans="1:12" x14ac:dyDescent="0.25">
      <c r="A688">
        <v>180520</v>
      </c>
      <c r="B688" t="s">
        <v>18</v>
      </c>
      <c r="C688">
        <v>4</v>
      </c>
      <c r="D688">
        <v>3</v>
      </c>
      <c r="E688">
        <f>560-180</f>
        <v>380</v>
      </c>
      <c r="F688">
        <v>11</v>
      </c>
      <c r="G688">
        <v>5</v>
      </c>
      <c r="H688">
        <v>8</v>
      </c>
      <c r="I688">
        <v>5</v>
      </c>
      <c r="K688">
        <f t="shared" si="82"/>
        <v>1</v>
      </c>
      <c r="L688">
        <f t="shared" si="83"/>
        <v>0.45454545454545453</v>
      </c>
    </row>
    <row r="689" spans="1:12" x14ac:dyDescent="0.25">
      <c r="A689">
        <v>180520</v>
      </c>
      <c r="B689" t="s">
        <v>18</v>
      </c>
      <c r="C689">
        <v>4</v>
      </c>
      <c r="D689">
        <v>4</v>
      </c>
      <c r="E689">
        <f>631-180</f>
        <v>451</v>
      </c>
      <c r="F689">
        <v>13</v>
      </c>
      <c r="G689">
        <v>6</v>
      </c>
      <c r="H689">
        <v>6</v>
      </c>
      <c r="I689">
        <v>5</v>
      </c>
      <c r="K689">
        <f t="shared" si="82"/>
        <v>1.2</v>
      </c>
      <c r="L689">
        <f t="shared" si="83"/>
        <v>0.38461538461538464</v>
      </c>
    </row>
    <row r="690" spans="1:12" x14ac:dyDescent="0.25">
      <c r="A690">
        <v>180520</v>
      </c>
      <c r="B690" t="s">
        <v>18</v>
      </c>
      <c r="C690">
        <v>4</v>
      </c>
      <c r="D690">
        <v>5</v>
      </c>
      <c r="E690">
        <f>666-180</f>
        <v>486</v>
      </c>
      <c r="F690">
        <v>10</v>
      </c>
      <c r="G690">
        <v>6</v>
      </c>
      <c r="H690">
        <v>7</v>
      </c>
      <c r="I690">
        <v>6</v>
      </c>
      <c r="K690">
        <f t="shared" si="82"/>
        <v>1</v>
      </c>
      <c r="L690">
        <f t="shared" si="83"/>
        <v>0.6</v>
      </c>
    </row>
    <row r="691" spans="1:12" x14ac:dyDescent="0.25">
      <c r="A691">
        <v>180520</v>
      </c>
      <c r="B691" t="s">
        <v>18</v>
      </c>
      <c r="C691">
        <v>4</v>
      </c>
      <c r="D691">
        <v>6</v>
      </c>
      <c r="E691">
        <f>687-180</f>
        <v>507</v>
      </c>
      <c r="F691">
        <v>11</v>
      </c>
      <c r="G691">
        <v>5</v>
      </c>
      <c r="H691">
        <v>6</v>
      </c>
      <c r="I691">
        <v>6</v>
      </c>
      <c r="K691">
        <f t="shared" si="82"/>
        <v>0.83333333333333337</v>
      </c>
      <c r="L691">
        <f t="shared" si="83"/>
        <v>0.54545454545454541</v>
      </c>
    </row>
    <row r="692" spans="1:12" x14ac:dyDescent="0.25">
      <c r="A692">
        <v>180520</v>
      </c>
      <c r="B692" t="s">
        <v>18</v>
      </c>
      <c r="C692">
        <v>5</v>
      </c>
      <c r="D692">
        <v>1</v>
      </c>
      <c r="E692">
        <f>397-190</f>
        <v>207</v>
      </c>
      <c r="F692">
        <v>10</v>
      </c>
      <c r="G692">
        <v>4</v>
      </c>
      <c r="H692">
        <v>3</v>
      </c>
      <c r="I692">
        <v>4</v>
      </c>
      <c r="K692">
        <f t="shared" si="82"/>
        <v>1</v>
      </c>
      <c r="L692">
        <f t="shared" si="83"/>
        <v>0.4</v>
      </c>
    </row>
    <row r="693" spans="1:12" x14ac:dyDescent="0.25">
      <c r="A693">
        <v>180520</v>
      </c>
      <c r="B693" t="s">
        <v>18</v>
      </c>
      <c r="C693">
        <v>5</v>
      </c>
      <c r="D693">
        <v>2</v>
      </c>
      <c r="E693">
        <f>481-190</f>
        <v>291</v>
      </c>
      <c r="F693">
        <v>12</v>
      </c>
      <c r="G693">
        <v>6</v>
      </c>
      <c r="H693">
        <v>7</v>
      </c>
      <c r="I693">
        <v>7</v>
      </c>
      <c r="K693">
        <f t="shared" si="82"/>
        <v>0.8571428571428571</v>
      </c>
      <c r="L693">
        <f t="shared" si="83"/>
        <v>0.58333333333333337</v>
      </c>
    </row>
    <row r="694" spans="1:12" x14ac:dyDescent="0.25">
      <c r="A694">
        <v>180520</v>
      </c>
      <c r="B694" t="s">
        <v>18</v>
      </c>
      <c r="C694">
        <v>5</v>
      </c>
      <c r="D694">
        <v>3</v>
      </c>
      <c r="E694">
        <f>561-190</f>
        <v>371</v>
      </c>
      <c r="F694">
        <v>12</v>
      </c>
      <c r="G694">
        <v>6</v>
      </c>
      <c r="H694">
        <v>8</v>
      </c>
      <c r="I694">
        <v>5</v>
      </c>
      <c r="K694">
        <f t="shared" si="82"/>
        <v>1.2</v>
      </c>
      <c r="L694">
        <f t="shared" si="83"/>
        <v>0.41666666666666669</v>
      </c>
    </row>
    <row r="695" spans="1:12" x14ac:dyDescent="0.25">
      <c r="A695">
        <v>180520</v>
      </c>
      <c r="B695" t="s">
        <v>18</v>
      </c>
      <c r="C695">
        <v>5</v>
      </c>
      <c r="D695">
        <v>4</v>
      </c>
      <c r="E695">
        <f>621-190</f>
        <v>431</v>
      </c>
      <c r="F695">
        <v>12</v>
      </c>
      <c r="G695">
        <v>5</v>
      </c>
      <c r="H695">
        <v>6</v>
      </c>
      <c r="I695">
        <v>5</v>
      </c>
      <c r="K695">
        <f t="shared" si="82"/>
        <v>1</v>
      </c>
      <c r="L695">
        <f t="shared" si="83"/>
        <v>0.41666666666666669</v>
      </c>
    </row>
    <row r="696" spans="1:12" x14ac:dyDescent="0.25">
      <c r="A696">
        <v>180520</v>
      </c>
      <c r="B696" t="s">
        <v>18</v>
      </c>
      <c r="C696">
        <v>5</v>
      </c>
      <c r="D696">
        <v>5</v>
      </c>
      <c r="E696">
        <f>657-190</f>
        <v>467</v>
      </c>
      <c r="F696">
        <v>11</v>
      </c>
      <c r="G696">
        <v>4</v>
      </c>
      <c r="H696">
        <v>5</v>
      </c>
      <c r="I696">
        <v>5</v>
      </c>
      <c r="K696">
        <f t="shared" si="82"/>
        <v>0.8</v>
      </c>
      <c r="L696">
        <f t="shared" si="83"/>
        <v>0.45454545454545453</v>
      </c>
    </row>
    <row r="697" spans="1:12" x14ac:dyDescent="0.25">
      <c r="A697">
        <v>180520</v>
      </c>
      <c r="B697" t="s">
        <v>18</v>
      </c>
      <c r="C697">
        <v>5</v>
      </c>
      <c r="D697">
        <v>6</v>
      </c>
      <c r="E697">
        <f>697-190</f>
        <v>507</v>
      </c>
      <c r="F697">
        <v>10</v>
      </c>
      <c r="J697" t="s">
        <v>0</v>
      </c>
    </row>
    <row r="698" spans="1:12" x14ac:dyDescent="0.25">
      <c r="A698">
        <v>180520</v>
      </c>
      <c r="B698" t="s">
        <v>18</v>
      </c>
      <c r="C698">
        <v>5</v>
      </c>
      <c r="D698">
        <v>7</v>
      </c>
      <c r="E698">
        <f>700-190</f>
        <v>510</v>
      </c>
      <c r="F698">
        <v>9</v>
      </c>
      <c r="G698">
        <v>6</v>
      </c>
      <c r="H698">
        <v>7</v>
      </c>
      <c r="I698">
        <v>4</v>
      </c>
      <c r="K698">
        <f>G698/I698</f>
        <v>1.5</v>
      </c>
      <c r="L698">
        <f>I698/F698</f>
        <v>0.44444444444444442</v>
      </c>
    </row>
    <row r="699" spans="1:12" x14ac:dyDescent="0.25">
      <c r="A699">
        <v>180520</v>
      </c>
      <c r="B699" t="s">
        <v>18</v>
      </c>
      <c r="C699">
        <v>5</v>
      </c>
      <c r="D699">
        <v>8</v>
      </c>
      <c r="E699">
        <f>747-190</f>
        <v>557</v>
      </c>
      <c r="F699">
        <v>8</v>
      </c>
      <c r="J699" t="s">
        <v>0</v>
      </c>
    </row>
    <row r="700" spans="1:12" x14ac:dyDescent="0.25">
      <c r="A700">
        <v>180520</v>
      </c>
      <c r="B700" t="s">
        <v>18</v>
      </c>
      <c r="C700">
        <v>6</v>
      </c>
      <c r="D700">
        <v>1</v>
      </c>
      <c r="E700">
        <f>461-186</f>
        <v>275</v>
      </c>
      <c r="F700">
        <v>12</v>
      </c>
      <c r="J700" t="s">
        <v>0</v>
      </c>
    </row>
    <row r="701" spans="1:12" x14ac:dyDescent="0.25">
      <c r="A701">
        <v>180520</v>
      </c>
      <c r="B701" t="s">
        <v>18</v>
      </c>
      <c r="C701">
        <v>6</v>
      </c>
      <c r="D701">
        <v>2</v>
      </c>
      <c r="E701">
        <f>528-186</f>
        <v>342</v>
      </c>
      <c r="F701">
        <v>11</v>
      </c>
      <c r="J701" t="s">
        <v>0</v>
      </c>
    </row>
    <row r="702" spans="1:12" x14ac:dyDescent="0.25">
      <c r="A702">
        <v>180520</v>
      </c>
      <c r="B702" t="s">
        <v>18</v>
      </c>
      <c r="C702">
        <v>6</v>
      </c>
      <c r="D702">
        <v>3</v>
      </c>
      <c r="E702">
        <f>576-186</f>
        <v>390</v>
      </c>
      <c r="F702">
        <v>13</v>
      </c>
      <c r="G702">
        <v>6</v>
      </c>
      <c r="H702">
        <v>6</v>
      </c>
      <c r="I702">
        <v>5</v>
      </c>
      <c r="K702">
        <f t="shared" ref="K702:K707" si="84">G702/I702</f>
        <v>1.2</v>
      </c>
      <c r="L702">
        <f t="shared" ref="L702:L707" si="85">I702/F702</f>
        <v>0.38461538461538464</v>
      </c>
    </row>
    <row r="703" spans="1:12" x14ac:dyDescent="0.25">
      <c r="A703">
        <v>180520</v>
      </c>
      <c r="B703" t="s">
        <v>18</v>
      </c>
      <c r="C703">
        <v>6</v>
      </c>
      <c r="D703">
        <v>4</v>
      </c>
      <c r="E703">
        <f>636-186</f>
        <v>450</v>
      </c>
      <c r="F703">
        <v>12</v>
      </c>
      <c r="G703">
        <v>6</v>
      </c>
      <c r="H703">
        <v>6</v>
      </c>
      <c r="I703">
        <v>6</v>
      </c>
      <c r="K703">
        <f t="shared" si="84"/>
        <v>1</v>
      </c>
      <c r="L703">
        <f t="shared" si="85"/>
        <v>0.5</v>
      </c>
    </row>
    <row r="704" spans="1:12" x14ac:dyDescent="0.25">
      <c r="A704">
        <v>180520</v>
      </c>
      <c r="B704" t="s">
        <v>18</v>
      </c>
      <c r="C704">
        <v>6</v>
      </c>
      <c r="D704">
        <v>5</v>
      </c>
      <c r="E704">
        <f>686-186</f>
        <v>500</v>
      </c>
      <c r="F704">
        <v>9</v>
      </c>
      <c r="G704">
        <v>5</v>
      </c>
      <c r="H704">
        <v>4</v>
      </c>
      <c r="I704">
        <v>5</v>
      </c>
      <c r="K704">
        <f t="shared" si="84"/>
        <v>1</v>
      </c>
      <c r="L704">
        <f t="shared" si="85"/>
        <v>0.55555555555555558</v>
      </c>
    </row>
    <row r="705" spans="1:13" x14ac:dyDescent="0.25">
      <c r="A705">
        <v>180520</v>
      </c>
      <c r="B705" t="s">
        <v>18</v>
      </c>
      <c r="C705">
        <v>7</v>
      </c>
      <c r="D705">
        <v>1</v>
      </c>
      <c r="E705">
        <f>182-164</f>
        <v>18</v>
      </c>
      <c r="F705">
        <v>16</v>
      </c>
      <c r="G705">
        <v>8</v>
      </c>
      <c r="H705">
        <v>6</v>
      </c>
      <c r="I705">
        <v>7</v>
      </c>
      <c r="K705">
        <f t="shared" si="84"/>
        <v>1.1428571428571428</v>
      </c>
      <c r="L705">
        <f t="shared" si="85"/>
        <v>0.4375</v>
      </c>
    </row>
    <row r="706" spans="1:13" x14ac:dyDescent="0.25">
      <c r="A706">
        <v>180520</v>
      </c>
      <c r="B706" t="s">
        <v>18</v>
      </c>
      <c r="C706">
        <v>7</v>
      </c>
      <c r="D706">
        <v>2</v>
      </c>
      <c r="E706">
        <f>303-164</f>
        <v>139</v>
      </c>
      <c r="F706">
        <v>7</v>
      </c>
      <c r="G706">
        <v>4</v>
      </c>
      <c r="H706">
        <v>3</v>
      </c>
      <c r="I706">
        <v>4</v>
      </c>
      <c r="K706">
        <f t="shared" si="84"/>
        <v>1</v>
      </c>
      <c r="L706">
        <f t="shared" si="85"/>
        <v>0.5714285714285714</v>
      </c>
    </row>
    <row r="707" spans="1:13" x14ac:dyDescent="0.25">
      <c r="A707">
        <v>180520</v>
      </c>
      <c r="B707" t="s">
        <v>18</v>
      </c>
      <c r="C707">
        <v>7</v>
      </c>
      <c r="D707">
        <v>3</v>
      </c>
      <c r="E707">
        <f>370-164</f>
        <v>206</v>
      </c>
      <c r="F707">
        <v>7</v>
      </c>
      <c r="G707">
        <v>3</v>
      </c>
      <c r="H707">
        <v>3</v>
      </c>
      <c r="I707">
        <v>3</v>
      </c>
      <c r="K707">
        <f t="shared" si="84"/>
        <v>1</v>
      </c>
      <c r="L707">
        <f t="shared" si="85"/>
        <v>0.42857142857142855</v>
      </c>
    </row>
    <row r="708" spans="1:13" x14ac:dyDescent="0.25">
      <c r="A708">
        <v>180520</v>
      </c>
      <c r="B708" t="s">
        <v>18</v>
      </c>
      <c r="C708">
        <v>7</v>
      </c>
      <c r="D708">
        <v>4</v>
      </c>
      <c r="E708">
        <f>482-164</f>
        <v>318</v>
      </c>
      <c r="F708">
        <v>8</v>
      </c>
      <c r="M708" t="s">
        <v>15</v>
      </c>
    </row>
    <row r="709" spans="1:13" x14ac:dyDescent="0.25">
      <c r="A709">
        <v>180520</v>
      </c>
      <c r="B709" t="s">
        <v>18</v>
      </c>
      <c r="C709">
        <v>7</v>
      </c>
      <c r="D709">
        <v>5</v>
      </c>
      <c r="E709">
        <f>492-164</f>
        <v>328</v>
      </c>
      <c r="F709">
        <v>8</v>
      </c>
      <c r="G709">
        <v>6</v>
      </c>
      <c r="H709">
        <v>4</v>
      </c>
      <c r="I709">
        <v>5</v>
      </c>
      <c r="K709">
        <f>G709/I709</f>
        <v>1.2</v>
      </c>
      <c r="L709">
        <f>I709/F709</f>
        <v>0.625</v>
      </c>
    </row>
    <row r="710" spans="1:13" x14ac:dyDescent="0.25">
      <c r="A710">
        <v>180520</v>
      </c>
      <c r="B710" t="s">
        <v>18</v>
      </c>
      <c r="C710">
        <v>8</v>
      </c>
      <c r="D710">
        <v>1</v>
      </c>
      <c r="E710">
        <f>176-176</f>
        <v>0</v>
      </c>
      <c r="F710">
        <v>17</v>
      </c>
      <c r="G710">
        <v>7</v>
      </c>
      <c r="H710">
        <v>10</v>
      </c>
      <c r="I710">
        <v>8</v>
      </c>
      <c r="K710">
        <f>G710/I710</f>
        <v>0.875</v>
      </c>
      <c r="L710">
        <f>I710/F710</f>
        <v>0.47058823529411764</v>
      </c>
    </row>
    <row r="711" spans="1:13" x14ac:dyDescent="0.25">
      <c r="A711">
        <v>180520</v>
      </c>
      <c r="B711" t="s">
        <v>18</v>
      </c>
      <c r="C711">
        <v>8</v>
      </c>
      <c r="D711">
        <v>2</v>
      </c>
      <c r="E711">
        <f>550-176</f>
        <v>374</v>
      </c>
      <c r="F711">
        <v>20</v>
      </c>
      <c r="J711" t="s">
        <v>0</v>
      </c>
    </row>
    <row r="712" spans="1:13" x14ac:dyDescent="0.25">
      <c r="A712">
        <v>180520</v>
      </c>
      <c r="B712" t="s">
        <v>18</v>
      </c>
      <c r="C712">
        <v>8</v>
      </c>
      <c r="D712">
        <v>3</v>
      </c>
      <c r="E712">
        <f>569-176</f>
        <v>393</v>
      </c>
      <c r="F712">
        <v>18</v>
      </c>
      <c r="G712">
        <v>6</v>
      </c>
      <c r="H712">
        <v>10</v>
      </c>
      <c r="I712">
        <v>6</v>
      </c>
      <c r="K712">
        <f>G712/I712</f>
        <v>1</v>
      </c>
      <c r="L712">
        <f>I712/F712</f>
        <v>0.33333333333333331</v>
      </c>
    </row>
    <row r="713" spans="1:13" x14ac:dyDescent="0.25">
      <c r="A713">
        <v>180520</v>
      </c>
      <c r="B713" t="s">
        <v>18</v>
      </c>
      <c r="C713">
        <v>8</v>
      </c>
      <c r="D713">
        <v>4</v>
      </c>
      <c r="E713">
        <f>625-176</f>
        <v>449</v>
      </c>
      <c r="F713">
        <v>17</v>
      </c>
      <c r="G713">
        <v>8</v>
      </c>
      <c r="H713">
        <v>7</v>
      </c>
      <c r="I713">
        <v>8</v>
      </c>
      <c r="K713">
        <f>G713/I713</f>
        <v>1</v>
      </c>
      <c r="L713">
        <f>I713/F713</f>
        <v>0.47058823529411764</v>
      </c>
    </row>
    <row r="714" spans="1:13" x14ac:dyDescent="0.25">
      <c r="A714">
        <v>180520</v>
      </c>
      <c r="B714" t="s">
        <v>18</v>
      </c>
      <c r="C714">
        <v>8</v>
      </c>
      <c r="D714">
        <v>5</v>
      </c>
      <c r="E714">
        <f>649-176</f>
        <v>473</v>
      </c>
      <c r="F714">
        <v>16</v>
      </c>
      <c r="J714" t="s">
        <v>0</v>
      </c>
    </row>
    <row r="715" spans="1:13" x14ac:dyDescent="0.25">
      <c r="A715">
        <v>180520</v>
      </c>
      <c r="B715" t="s">
        <v>18</v>
      </c>
      <c r="C715">
        <v>8</v>
      </c>
      <c r="D715">
        <v>6</v>
      </c>
      <c r="E715">
        <f>726-176</f>
        <v>550</v>
      </c>
      <c r="F715">
        <v>13</v>
      </c>
      <c r="G715">
        <v>8</v>
      </c>
      <c r="H715">
        <v>8</v>
      </c>
      <c r="I715">
        <v>9</v>
      </c>
      <c r="K715">
        <f>G715/I715</f>
        <v>0.88888888888888884</v>
      </c>
      <c r="L715">
        <f>I715/F715</f>
        <v>0.69230769230769229</v>
      </c>
    </row>
    <row r="716" spans="1:13" x14ac:dyDescent="0.25">
      <c r="A716">
        <v>180520</v>
      </c>
      <c r="B716" t="s">
        <v>18</v>
      </c>
      <c r="C716">
        <v>8</v>
      </c>
      <c r="D716">
        <v>7</v>
      </c>
      <c r="E716">
        <f>751-176</f>
        <v>575</v>
      </c>
      <c r="F716">
        <v>11</v>
      </c>
      <c r="G716">
        <v>6</v>
      </c>
      <c r="H716">
        <v>7</v>
      </c>
      <c r="I716">
        <v>4</v>
      </c>
      <c r="K716">
        <f>G716/I716</f>
        <v>1.5</v>
      </c>
      <c r="L716">
        <f>I716/F716</f>
        <v>0.36363636363636365</v>
      </c>
    </row>
    <row r="717" spans="1:13" x14ac:dyDescent="0.25">
      <c r="A717">
        <v>180520</v>
      </c>
      <c r="B717" t="s">
        <v>18</v>
      </c>
      <c r="C717">
        <v>9</v>
      </c>
      <c r="D717">
        <v>1</v>
      </c>
      <c r="E717">
        <f>422-206</f>
        <v>216</v>
      </c>
      <c r="F717">
        <v>14</v>
      </c>
      <c r="G717">
        <v>5</v>
      </c>
      <c r="H717">
        <v>10</v>
      </c>
      <c r="I717">
        <v>6</v>
      </c>
      <c r="K717">
        <f>G717/I717</f>
        <v>0.83333333333333337</v>
      </c>
      <c r="L717">
        <f>I717/F717</f>
        <v>0.42857142857142855</v>
      </c>
    </row>
    <row r="718" spans="1:13" x14ac:dyDescent="0.25">
      <c r="A718">
        <v>180520</v>
      </c>
      <c r="B718" t="s">
        <v>18</v>
      </c>
      <c r="C718">
        <v>9</v>
      </c>
      <c r="D718">
        <v>2</v>
      </c>
      <c r="E718">
        <f>460-206</f>
        <v>254</v>
      </c>
      <c r="F718">
        <v>16</v>
      </c>
      <c r="G718">
        <v>5</v>
      </c>
      <c r="H718">
        <v>6</v>
      </c>
      <c r="I718">
        <v>6</v>
      </c>
      <c r="K718">
        <f>G718/I718</f>
        <v>0.83333333333333337</v>
      </c>
      <c r="L718">
        <f>I718/F718</f>
        <v>0.375</v>
      </c>
    </row>
    <row r="719" spans="1:13" x14ac:dyDescent="0.25">
      <c r="A719">
        <v>180520</v>
      </c>
      <c r="B719" t="s">
        <v>18</v>
      </c>
      <c r="C719">
        <v>9</v>
      </c>
      <c r="D719">
        <v>3</v>
      </c>
      <c r="E719">
        <f>534-206</f>
        <v>328</v>
      </c>
      <c r="F719">
        <v>14</v>
      </c>
      <c r="J719" t="s">
        <v>0</v>
      </c>
    </row>
    <row r="720" spans="1:13" x14ac:dyDescent="0.25">
      <c r="A720">
        <v>180520</v>
      </c>
      <c r="B720" t="s">
        <v>18</v>
      </c>
      <c r="C720">
        <v>9</v>
      </c>
      <c r="D720">
        <v>4</v>
      </c>
      <c r="E720">
        <f>603-206</f>
        <v>397</v>
      </c>
      <c r="F720">
        <v>10</v>
      </c>
      <c r="G720">
        <v>4</v>
      </c>
      <c r="H720">
        <v>4</v>
      </c>
      <c r="I720">
        <v>4</v>
      </c>
      <c r="K720">
        <f>G720/I720</f>
        <v>1</v>
      </c>
      <c r="L720">
        <f>I720/F720</f>
        <v>0.4</v>
      </c>
    </row>
    <row r="721" spans="1:12" x14ac:dyDescent="0.25">
      <c r="A721">
        <v>180520</v>
      </c>
      <c r="B721" t="s">
        <v>18</v>
      </c>
      <c r="C721">
        <v>9</v>
      </c>
      <c r="D721">
        <v>5</v>
      </c>
      <c r="E721">
        <f>631-206</f>
        <v>425</v>
      </c>
      <c r="F721">
        <v>10</v>
      </c>
      <c r="G721">
        <v>3</v>
      </c>
      <c r="H721">
        <v>3</v>
      </c>
      <c r="I721">
        <v>4</v>
      </c>
      <c r="K721">
        <f>G721/I721</f>
        <v>0.75</v>
      </c>
      <c r="L721">
        <f>I721/F721</f>
        <v>0.4</v>
      </c>
    </row>
    <row r="722" spans="1:12" x14ac:dyDescent="0.25">
      <c r="A722">
        <v>180520</v>
      </c>
      <c r="B722" t="s">
        <v>18</v>
      </c>
      <c r="C722">
        <v>9</v>
      </c>
      <c r="D722">
        <v>6</v>
      </c>
      <c r="E722">
        <f>634-206</f>
        <v>428</v>
      </c>
      <c r="F722">
        <v>11</v>
      </c>
      <c r="G722">
        <v>4</v>
      </c>
      <c r="H722">
        <v>5</v>
      </c>
      <c r="I722">
        <v>4</v>
      </c>
      <c r="K722">
        <f>G722/I722</f>
        <v>1</v>
      </c>
      <c r="L722">
        <f>I722/F722</f>
        <v>0.36363636363636365</v>
      </c>
    </row>
    <row r="723" spans="1:12" x14ac:dyDescent="0.25">
      <c r="A723">
        <v>180520</v>
      </c>
      <c r="B723" t="s">
        <v>18</v>
      </c>
      <c r="C723">
        <v>9</v>
      </c>
      <c r="D723">
        <v>7</v>
      </c>
      <c r="E723">
        <f>678-206</f>
        <v>472</v>
      </c>
      <c r="F723">
        <v>9</v>
      </c>
      <c r="G723">
        <v>5</v>
      </c>
      <c r="H723">
        <v>4</v>
      </c>
      <c r="I723">
        <v>4</v>
      </c>
      <c r="K723">
        <f>G723/I723</f>
        <v>1.25</v>
      </c>
      <c r="L723">
        <f>I723/F723</f>
        <v>0.44444444444444442</v>
      </c>
    </row>
    <row r="724" spans="1:12" x14ac:dyDescent="0.25">
      <c r="A724">
        <v>180520</v>
      </c>
      <c r="B724" t="s">
        <v>18</v>
      </c>
      <c r="C724">
        <v>10</v>
      </c>
      <c r="D724">
        <v>1</v>
      </c>
      <c r="E724">
        <f>250-188</f>
        <v>62</v>
      </c>
      <c r="F724">
        <v>11</v>
      </c>
      <c r="J724" t="s">
        <v>0</v>
      </c>
    </row>
    <row r="725" spans="1:12" x14ac:dyDescent="0.25">
      <c r="A725">
        <v>180520</v>
      </c>
      <c r="B725" t="s">
        <v>18</v>
      </c>
      <c r="C725">
        <v>10</v>
      </c>
      <c r="D725">
        <v>2</v>
      </c>
      <c r="E725">
        <f>518-188</f>
        <v>330</v>
      </c>
      <c r="F725">
        <v>12</v>
      </c>
      <c r="J725" t="s">
        <v>0</v>
      </c>
    </row>
    <row r="726" spans="1:12" x14ac:dyDescent="0.25">
      <c r="A726">
        <v>180520</v>
      </c>
      <c r="B726" t="s">
        <v>18</v>
      </c>
      <c r="C726">
        <v>10</v>
      </c>
      <c r="D726">
        <v>3</v>
      </c>
      <c r="E726">
        <f>528-188</f>
        <v>340</v>
      </c>
      <c r="F726">
        <v>13</v>
      </c>
      <c r="G726">
        <v>7</v>
      </c>
      <c r="H726">
        <v>10</v>
      </c>
      <c r="I726">
        <v>4</v>
      </c>
      <c r="K726">
        <f t="shared" ref="K726:K737" si="86">G726/I726</f>
        <v>1.75</v>
      </c>
      <c r="L726">
        <f t="shared" ref="L726:L737" si="87">I726/F726</f>
        <v>0.30769230769230771</v>
      </c>
    </row>
    <row r="727" spans="1:12" x14ac:dyDescent="0.25">
      <c r="A727">
        <v>180520</v>
      </c>
      <c r="B727" t="s">
        <v>18</v>
      </c>
      <c r="C727">
        <v>10</v>
      </c>
      <c r="D727">
        <v>4</v>
      </c>
      <c r="E727">
        <f>701-188</f>
        <v>513</v>
      </c>
      <c r="F727">
        <v>13</v>
      </c>
      <c r="G727">
        <v>5</v>
      </c>
      <c r="H727">
        <v>8</v>
      </c>
      <c r="I727">
        <v>6</v>
      </c>
      <c r="K727">
        <f t="shared" si="86"/>
        <v>0.83333333333333337</v>
      </c>
      <c r="L727">
        <f t="shared" si="87"/>
        <v>0.46153846153846156</v>
      </c>
    </row>
    <row r="728" spans="1:12" x14ac:dyDescent="0.25">
      <c r="A728">
        <v>180520</v>
      </c>
      <c r="B728" t="s">
        <v>18</v>
      </c>
      <c r="C728">
        <v>11</v>
      </c>
      <c r="D728">
        <v>1</v>
      </c>
      <c r="E728">
        <f>462-199</f>
        <v>263</v>
      </c>
      <c r="F728">
        <v>15</v>
      </c>
      <c r="G728">
        <v>5</v>
      </c>
      <c r="H728">
        <v>8</v>
      </c>
      <c r="I728">
        <v>4</v>
      </c>
      <c r="K728">
        <f t="shared" si="86"/>
        <v>1.25</v>
      </c>
      <c r="L728">
        <f t="shared" si="87"/>
        <v>0.26666666666666666</v>
      </c>
    </row>
    <row r="729" spans="1:12" x14ac:dyDescent="0.25">
      <c r="A729">
        <v>180520</v>
      </c>
      <c r="B729" t="s">
        <v>18</v>
      </c>
      <c r="C729">
        <v>11</v>
      </c>
      <c r="D729">
        <v>2</v>
      </c>
      <c r="E729">
        <f>588-199</f>
        <v>389</v>
      </c>
      <c r="F729">
        <v>16</v>
      </c>
      <c r="G729">
        <v>6</v>
      </c>
      <c r="H729">
        <v>8</v>
      </c>
      <c r="I729">
        <v>6</v>
      </c>
      <c r="K729">
        <f t="shared" si="86"/>
        <v>1</v>
      </c>
      <c r="L729">
        <f t="shared" si="87"/>
        <v>0.375</v>
      </c>
    </row>
    <row r="730" spans="1:12" x14ac:dyDescent="0.25">
      <c r="A730">
        <v>180520</v>
      </c>
      <c r="B730" t="s">
        <v>18</v>
      </c>
      <c r="C730">
        <v>11</v>
      </c>
      <c r="D730">
        <v>3</v>
      </c>
      <c r="E730">
        <f>628-199</f>
        <v>429</v>
      </c>
      <c r="F730">
        <v>16</v>
      </c>
      <c r="G730">
        <v>6</v>
      </c>
      <c r="H730">
        <v>6</v>
      </c>
      <c r="I730">
        <v>6</v>
      </c>
      <c r="K730">
        <f t="shared" si="86"/>
        <v>1</v>
      </c>
      <c r="L730">
        <f t="shared" si="87"/>
        <v>0.375</v>
      </c>
    </row>
    <row r="731" spans="1:12" x14ac:dyDescent="0.25">
      <c r="A731">
        <v>180520</v>
      </c>
      <c r="B731" t="s">
        <v>18</v>
      </c>
      <c r="C731">
        <v>11</v>
      </c>
      <c r="D731">
        <v>4</v>
      </c>
      <c r="E731">
        <f>670-199</f>
        <v>471</v>
      </c>
      <c r="F731">
        <v>16</v>
      </c>
      <c r="G731">
        <v>4</v>
      </c>
      <c r="H731">
        <v>7</v>
      </c>
      <c r="I731">
        <v>6</v>
      </c>
      <c r="K731">
        <f t="shared" si="86"/>
        <v>0.66666666666666663</v>
      </c>
      <c r="L731">
        <f t="shared" si="87"/>
        <v>0.375</v>
      </c>
    </row>
    <row r="732" spans="1:12" x14ac:dyDescent="0.25">
      <c r="A732">
        <v>180520</v>
      </c>
      <c r="B732" t="s">
        <v>18</v>
      </c>
      <c r="C732">
        <v>11</v>
      </c>
      <c r="D732">
        <v>5</v>
      </c>
      <c r="E732">
        <f>723-199</f>
        <v>524</v>
      </c>
      <c r="F732">
        <v>14</v>
      </c>
      <c r="G732">
        <v>4</v>
      </c>
      <c r="H732">
        <v>7</v>
      </c>
      <c r="I732">
        <v>5</v>
      </c>
      <c r="K732">
        <f t="shared" si="86"/>
        <v>0.8</v>
      </c>
      <c r="L732">
        <f t="shared" si="87"/>
        <v>0.35714285714285715</v>
      </c>
    </row>
    <row r="733" spans="1:12" x14ac:dyDescent="0.25">
      <c r="A733">
        <v>180520</v>
      </c>
      <c r="B733" t="s">
        <v>18</v>
      </c>
      <c r="C733">
        <v>11</v>
      </c>
      <c r="D733">
        <v>6</v>
      </c>
      <c r="E733">
        <f>749-199</f>
        <v>550</v>
      </c>
      <c r="F733">
        <v>14</v>
      </c>
      <c r="G733">
        <v>6</v>
      </c>
      <c r="H733">
        <v>7</v>
      </c>
      <c r="I733">
        <v>8</v>
      </c>
      <c r="K733">
        <f t="shared" si="86"/>
        <v>0.75</v>
      </c>
      <c r="L733">
        <f t="shared" si="87"/>
        <v>0.5714285714285714</v>
      </c>
    </row>
    <row r="734" spans="1:12" x14ac:dyDescent="0.25">
      <c r="A734">
        <v>180520</v>
      </c>
      <c r="B734" t="s">
        <v>18</v>
      </c>
      <c r="C734">
        <v>12</v>
      </c>
      <c r="D734">
        <v>1</v>
      </c>
      <c r="E734">
        <f>439-197</f>
        <v>242</v>
      </c>
      <c r="F734">
        <v>13</v>
      </c>
      <c r="G734">
        <v>6</v>
      </c>
      <c r="H734">
        <v>8</v>
      </c>
      <c r="I734">
        <v>9</v>
      </c>
      <c r="K734">
        <f t="shared" si="86"/>
        <v>0.66666666666666663</v>
      </c>
      <c r="L734">
        <f t="shared" si="87"/>
        <v>0.69230769230769229</v>
      </c>
    </row>
    <row r="735" spans="1:12" x14ac:dyDescent="0.25">
      <c r="A735">
        <v>180520</v>
      </c>
      <c r="B735" t="s">
        <v>18</v>
      </c>
      <c r="C735">
        <v>12</v>
      </c>
      <c r="D735">
        <v>2</v>
      </c>
      <c r="E735">
        <f>611-197</f>
        <v>414</v>
      </c>
      <c r="F735">
        <v>15</v>
      </c>
      <c r="G735">
        <v>7</v>
      </c>
      <c r="H735">
        <v>9</v>
      </c>
      <c r="I735">
        <v>8</v>
      </c>
      <c r="K735">
        <f t="shared" si="86"/>
        <v>0.875</v>
      </c>
      <c r="L735">
        <f t="shared" si="87"/>
        <v>0.53333333333333333</v>
      </c>
    </row>
    <row r="736" spans="1:12" x14ac:dyDescent="0.25">
      <c r="A736">
        <v>180520</v>
      </c>
      <c r="B736" t="s">
        <v>18</v>
      </c>
      <c r="C736">
        <v>12</v>
      </c>
      <c r="D736">
        <v>3</v>
      </c>
      <c r="E736">
        <f>652-197</f>
        <v>455</v>
      </c>
      <c r="F736">
        <v>17</v>
      </c>
      <c r="G736">
        <v>4</v>
      </c>
      <c r="H736">
        <v>6</v>
      </c>
      <c r="I736">
        <v>4</v>
      </c>
      <c r="K736">
        <f t="shared" si="86"/>
        <v>1</v>
      </c>
      <c r="L736">
        <f t="shared" si="87"/>
        <v>0.23529411764705882</v>
      </c>
    </row>
    <row r="737" spans="1:13" x14ac:dyDescent="0.25">
      <c r="A737">
        <v>180520</v>
      </c>
      <c r="B737" t="s">
        <v>18</v>
      </c>
      <c r="C737">
        <v>12</v>
      </c>
      <c r="D737">
        <v>4</v>
      </c>
      <c r="E737">
        <f>689-197</f>
        <v>492</v>
      </c>
      <c r="F737">
        <v>14</v>
      </c>
      <c r="G737">
        <v>5</v>
      </c>
      <c r="H737">
        <v>4</v>
      </c>
      <c r="I737">
        <v>5</v>
      </c>
      <c r="K737">
        <f t="shared" si="86"/>
        <v>1</v>
      </c>
      <c r="L737">
        <f t="shared" si="87"/>
        <v>0.35714285714285715</v>
      </c>
    </row>
    <row r="738" spans="1:13" x14ac:dyDescent="0.25">
      <c r="A738">
        <v>180520</v>
      </c>
      <c r="B738" t="s">
        <v>18</v>
      </c>
      <c r="C738">
        <v>13</v>
      </c>
      <c r="D738">
        <v>1</v>
      </c>
      <c r="E738">
        <f>561-222</f>
        <v>339</v>
      </c>
      <c r="F738">
        <v>18</v>
      </c>
      <c r="J738" t="s">
        <v>0</v>
      </c>
    </row>
    <row r="739" spans="1:13" x14ac:dyDescent="0.25">
      <c r="A739">
        <v>180520</v>
      </c>
      <c r="B739" t="s">
        <v>18</v>
      </c>
      <c r="C739">
        <v>13</v>
      </c>
      <c r="D739">
        <v>2</v>
      </c>
      <c r="E739">
        <f>614-222</f>
        <v>392</v>
      </c>
      <c r="F739">
        <v>11</v>
      </c>
      <c r="J739" t="s">
        <v>0</v>
      </c>
    </row>
    <row r="740" spans="1:13" x14ac:dyDescent="0.25">
      <c r="A740">
        <v>180520</v>
      </c>
      <c r="B740" t="s">
        <v>18</v>
      </c>
      <c r="C740">
        <v>13</v>
      </c>
      <c r="D740">
        <v>3</v>
      </c>
      <c r="E740">
        <f>640-222</f>
        <v>418</v>
      </c>
      <c r="F740">
        <v>12</v>
      </c>
      <c r="J740" t="s">
        <v>0</v>
      </c>
    </row>
    <row r="741" spans="1:13" x14ac:dyDescent="0.25">
      <c r="A741">
        <v>180520</v>
      </c>
      <c r="B741" t="s">
        <v>18</v>
      </c>
      <c r="C741">
        <v>13</v>
      </c>
      <c r="D741">
        <v>4</v>
      </c>
      <c r="E741">
        <f>629-222</f>
        <v>407</v>
      </c>
      <c r="F741">
        <v>10</v>
      </c>
      <c r="G741">
        <v>8</v>
      </c>
      <c r="H741">
        <v>6</v>
      </c>
      <c r="I741">
        <v>6</v>
      </c>
      <c r="K741">
        <f t="shared" ref="K741:K749" si="88">G741/I741</f>
        <v>1.3333333333333333</v>
      </c>
      <c r="L741">
        <f t="shared" ref="L741:L749" si="89">I741/F741</f>
        <v>0.6</v>
      </c>
    </row>
    <row r="742" spans="1:13" x14ac:dyDescent="0.25">
      <c r="A742">
        <v>180520</v>
      </c>
      <c r="B742" t="s">
        <v>18</v>
      </c>
      <c r="C742">
        <v>13</v>
      </c>
      <c r="D742">
        <v>5</v>
      </c>
      <c r="E742">
        <f>625-222</f>
        <v>403</v>
      </c>
      <c r="F742">
        <v>13</v>
      </c>
      <c r="G742">
        <v>7</v>
      </c>
      <c r="H742">
        <v>8</v>
      </c>
      <c r="I742">
        <v>7</v>
      </c>
      <c r="K742">
        <f t="shared" si="88"/>
        <v>1</v>
      </c>
      <c r="L742">
        <f t="shared" si="89"/>
        <v>0.53846153846153844</v>
      </c>
    </row>
    <row r="743" spans="1:13" x14ac:dyDescent="0.25">
      <c r="A743">
        <v>180520</v>
      </c>
      <c r="B743" t="s">
        <v>18</v>
      </c>
      <c r="C743">
        <v>13</v>
      </c>
      <c r="D743">
        <v>6</v>
      </c>
      <c r="E743">
        <f>596-222</f>
        <v>374</v>
      </c>
      <c r="F743">
        <v>8</v>
      </c>
      <c r="G743">
        <v>3</v>
      </c>
      <c r="H743">
        <v>4</v>
      </c>
      <c r="I743">
        <v>4</v>
      </c>
      <c r="K743">
        <f t="shared" si="88"/>
        <v>0.75</v>
      </c>
      <c r="L743">
        <f t="shared" si="89"/>
        <v>0.5</v>
      </c>
    </row>
    <row r="744" spans="1:13" x14ac:dyDescent="0.25">
      <c r="A744">
        <v>180520</v>
      </c>
      <c r="B744" t="s">
        <v>18</v>
      </c>
      <c r="C744">
        <v>14</v>
      </c>
      <c r="D744">
        <v>1</v>
      </c>
      <c r="E744">
        <f>672-218</f>
        <v>454</v>
      </c>
      <c r="F744">
        <v>24</v>
      </c>
      <c r="G744">
        <v>8</v>
      </c>
      <c r="H744">
        <v>10</v>
      </c>
      <c r="I744">
        <v>7</v>
      </c>
      <c r="K744">
        <f t="shared" si="88"/>
        <v>1.1428571428571428</v>
      </c>
      <c r="L744">
        <f t="shared" si="89"/>
        <v>0.29166666666666669</v>
      </c>
    </row>
    <row r="745" spans="1:13" x14ac:dyDescent="0.25">
      <c r="A745">
        <v>180520</v>
      </c>
      <c r="B745" t="s">
        <v>18</v>
      </c>
      <c r="C745">
        <v>15</v>
      </c>
      <c r="D745">
        <v>1</v>
      </c>
      <c r="E745">
        <f>374-210</f>
        <v>164</v>
      </c>
      <c r="F745">
        <v>13</v>
      </c>
      <c r="G745">
        <v>6</v>
      </c>
      <c r="H745">
        <v>7</v>
      </c>
      <c r="I745">
        <v>6</v>
      </c>
      <c r="K745">
        <f t="shared" si="88"/>
        <v>1</v>
      </c>
      <c r="L745">
        <f t="shared" si="89"/>
        <v>0.46153846153846156</v>
      </c>
    </row>
    <row r="746" spans="1:13" x14ac:dyDescent="0.25">
      <c r="A746">
        <v>180520</v>
      </c>
      <c r="B746" t="s">
        <v>18</v>
      </c>
      <c r="C746">
        <v>15</v>
      </c>
      <c r="D746">
        <v>2</v>
      </c>
      <c r="E746">
        <f>401-210</f>
        <v>191</v>
      </c>
      <c r="F746">
        <v>12</v>
      </c>
      <c r="G746">
        <v>7</v>
      </c>
      <c r="H746">
        <v>7</v>
      </c>
      <c r="I746">
        <v>7</v>
      </c>
      <c r="K746">
        <f t="shared" si="88"/>
        <v>1</v>
      </c>
      <c r="L746">
        <f t="shared" si="89"/>
        <v>0.58333333333333337</v>
      </c>
    </row>
    <row r="747" spans="1:13" x14ac:dyDescent="0.25">
      <c r="A747">
        <v>180520</v>
      </c>
      <c r="B747" t="s">
        <v>18</v>
      </c>
      <c r="C747">
        <v>15</v>
      </c>
      <c r="D747">
        <v>3</v>
      </c>
      <c r="E747">
        <f>474-210</f>
        <v>264</v>
      </c>
      <c r="F747">
        <v>10</v>
      </c>
      <c r="G747">
        <v>4</v>
      </c>
      <c r="H747">
        <v>5</v>
      </c>
      <c r="I747">
        <v>4</v>
      </c>
      <c r="K747">
        <f t="shared" si="88"/>
        <v>1</v>
      </c>
      <c r="L747">
        <f t="shared" si="89"/>
        <v>0.4</v>
      </c>
    </row>
    <row r="748" spans="1:13" x14ac:dyDescent="0.25">
      <c r="A748">
        <v>180520</v>
      </c>
      <c r="B748" t="s">
        <v>18</v>
      </c>
      <c r="C748">
        <v>15</v>
      </c>
      <c r="D748">
        <v>4</v>
      </c>
      <c r="E748">
        <f>494-210</f>
        <v>284</v>
      </c>
      <c r="F748">
        <v>10</v>
      </c>
      <c r="G748">
        <v>4</v>
      </c>
      <c r="H748">
        <v>7</v>
      </c>
      <c r="I748">
        <v>4</v>
      </c>
      <c r="K748">
        <f t="shared" si="88"/>
        <v>1</v>
      </c>
      <c r="L748">
        <f t="shared" si="89"/>
        <v>0.4</v>
      </c>
    </row>
    <row r="749" spans="1:13" x14ac:dyDescent="0.25">
      <c r="A749">
        <v>180520</v>
      </c>
      <c r="B749" t="s">
        <v>18</v>
      </c>
      <c r="C749">
        <v>15</v>
      </c>
      <c r="D749">
        <v>5</v>
      </c>
      <c r="E749">
        <f>534-210</f>
        <v>324</v>
      </c>
      <c r="F749">
        <v>10</v>
      </c>
      <c r="G749">
        <v>4</v>
      </c>
      <c r="H749">
        <v>5</v>
      </c>
      <c r="I749">
        <v>4</v>
      </c>
      <c r="K749">
        <f t="shared" si="88"/>
        <v>1</v>
      </c>
      <c r="L749">
        <f t="shared" si="89"/>
        <v>0.4</v>
      </c>
    </row>
    <row r="750" spans="1:13" x14ac:dyDescent="0.25">
      <c r="A750">
        <v>180520</v>
      </c>
      <c r="B750" t="s">
        <v>18</v>
      </c>
      <c r="C750">
        <v>15</v>
      </c>
      <c r="D750">
        <v>6</v>
      </c>
      <c r="E750">
        <f>576-210</f>
        <v>366</v>
      </c>
      <c r="F750">
        <v>9</v>
      </c>
      <c r="M750" t="s">
        <v>15</v>
      </c>
    </row>
    <row r="751" spans="1:13" x14ac:dyDescent="0.25">
      <c r="A751">
        <v>180520</v>
      </c>
      <c r="B751" t="s">
        <v>18</v>
      </c>
      <c r="C751">
        <v>15</v>
      </c>
      <c r="D751">
        <v>7</v>
      </c>
      <c r="E751">
        <f>601-210</f>
        <v>391</v>
      </c>
      <c r="F751">
        <v>9</v>
      </c>
      <c r="G751">
        <v>4</v>
      </c>
      <c r="H751">
        <v>5</v>
      </c>
      <c r="I751">
        <v>4</v>
      </c>
      <c r="K751">
        <f>G751/I751</f>
        <v>1</v>
      </c>
      <c r="L751">
        <f>I751/F751</f>
        <v>0.44444444444444442</v>
      </c>
    </row>
    <row r="752" spans="1:13" x14ac:dyDescent="0.25">
      <c r="A752">
        <v>180520</v>
      </c>
      <c r="B752" t="s">
        <v>18</v>
      </c>
      <c r="C752">
        <v>15</v>
      </c>
      <c r="D752">
        <v>8</v>
      </c>
      <c r="E752">
        <f>629-210</f>
        <v>419</v>
      </c>
      <c r="F752">
        <v>10</v>
      </c>
      <c r="G752">
        <v>3</v>
      </c>
      <c r="H752">
        <v>4</v>
      </c>
      <c r="I752">
        <v>4</v>
      </c>
      <c r="K752">
        <f>G752/I752</f>
        <v>0.75</v>
      </c>
      <c r="L752">
        <f>I752/F752</f>
        <v>0.4</v>
      </c>
    </row>
    <row r="753" spans="1:12" x14ac:dyDescent="0.25">
      <c r="A753">
        <v>180520</v>
      </c>
      <c r="B753" t="s">
        <v>18</v>
      </c>
      <c r="C753">
        <v>15</v>
      </c>
      <c r="D753">
        <v>9</v>
      </c>
      <c r="E753">
        <f>662-210</f>
        <v>452</v>
      </c>
      <c r="F753">
        <v>10</v>
      </c>
      <c r="J753" t="s">
        <v>0</v>
      </c>
    </row>
    <row r="754" spans="1:12" x14ac:dyDescent="0.25">
      <c r="A754">
        <v>180520</v>
      </c>
      <c r="B754" t="s">
        <v>18</v>
      </c>
      <c r="C754">
        <v>15</v>
      </c>
      <c r="D754">
        <v>10</v>
      </c>
      <c r="E754">
        <f>696-210</f>
        <v>486</v>
      </c>
      <c r="F754">
        <v>8</v>
      </c>
      <c r="G754">
        <v>2</v>
      </c>
      <c r="H754">
        <v>4</v>
      </c>
      <c r="I754">
        <v>4</v>
      </c>
      <c r="K754">
        <f>G754/I754</f>
        <v>0.5</v>
      </c>
      <c r="L754">
        <f>I754/F754</f>
        <v>0.5</v>
      </c>
    </row>
    <row r="755" spans="1:12" x14ac:dyDescent="0.25">
      <c r="A755">
        <v>180520</v>
      </c>
      <c r="B755" t="s">
        <v>18</v>
      </c>
      <c r="C755">
        <v>15</v>
      </c>
      <c r="D755">
        <v>11</v>
      </c>
      <c r="E755">
        <f>741-210</f>
        <v>531</v>
      </c>
      <c r="F755">
        <v>8</v>
      </c>
      <c r="G755">
        <v>5</v>
      </c>
      <c r="H755">
        <v>5</v>
      </c>
      <c r="I755">
        <v>5</v>
      </c>
      <c r="K755">
        <f>G755/I755</f>
        <v>1</v>
      </c>
      <c r="L755">
        <f>I755/F755</f>
        <v>0.625</v>
      </c>
    </row>
    <row r="756" spans="1:12" x14ac:dyDescent="0.25">
      <c r="A756">
        <v>280420</v>
      </c>
      <c r="B756" t="s">
        <v>18</v>
      </c>
      <c r="C756">
        <v>1</v>
      </c>
      <c r="D756">
        <v>1</v>
      </c>
      <c r="E756">
        <f>732-132</f>
        <v>600</v>
      </c>
      <c r="F756">
        <v>22</v>
      </c>
      <c r="G756">
        <v>6</v>
      </c>
      <c r="H756">
        <v>8</v>
      </c>
      <c r="I756">
        <v>8</v>
      </c>
      <c r="K756">
        <f>G756/I756</f>
        <v>0.75</v>
      </c>
      <c r="L756">
        <f>I756/F756</f>
        <v>0.36363636363636365</v>
      </c>
    </row>
    <row r="757" spans="1:12" x14ac:dyDescent="0.25">
      <c r="A757">
        <v>280420</v>
      </c>
      <c r="B757" t="s">
        <v>18</v>
      </c>
      <c r="C757">
        <v>2</v>
      </c>
      <c r="D757">
        <v>1</v>
      </c>
      <c r="E757">
        <f>122-68</f>
        <v>54</v>
      </c>
      <c r="F757">
        <v>10</v>
      </c>
      <c r="J757" t="s">
        <v>0</v>
      </c>
    </row>
    <row r="758" spans="1:12" x14ac:dyDescent="0.25">
      <c r="A758">
        <v>280420</v>
      </c>
      <c r="B758" t="s">
        <v>18</v>
      </c>
      <c r="C758">
        <v>2</v>
      </c>
      <c r="D758">
        <v>2</v>
      </c>
      <c r="E758">
        <f>147-68</f>
        <v>79</v>
      </c>
      <c r="F758">
        <v>11</v>
      </c>
      <c r="J758" t="s">
        <v>0</v>
      </c>
    </row>
    <row r="759" spans="1:12" x14ac:dyDescent="0.25">
      <c r="A759">
        <v>280420</v>
      </c>
      <c r="B759" t="s">
        <v>18</v>
      </c>
      <c r="C759">
        <v>2</v>
      </c>
      <c r="D759">
        <v>3</v>
      </c>
      <c r="E759">
        <f>295-68</f>
        <v>227</v>
      </c>
      <c r="F759">
        <v>8</v>
      </c>
      <c r="G759">
        <v>4</v>
      </c>
      <c r="H759">
        <v>6</v>
      </c>
      <c r="I759">
        <v>4</v>
      </c>
      <c r="K759">
        <f t="shared" ref="K759:K764" si="90">G759/I759</f>
        <v>1</v>
      </c>
      <c r="L759">
        <f t="shared" ref="L759:L764" si="91">I759/F759</f>
        <v>0.5</v>
      </c>
    </row>
    <row r="760" spans="1:12" x14ac:dyDescent="0.25">
      <c r="A760">
        <v>280420</v>
      </c>
      <c r="B760" t="s">
        <v>18</v>
      </c>
      <c r="C760">
        <v>2</v>
      </c>
      <c r="D760">
        <v>4</v>
      </c>
      <c r="E760">
        <f>408-68</f>
        <v>340</v>
      </c>
      <c r="F760">
        <v>9</v>
      </c>
      <c r="G760">
        <v>4</v>
      </c>
      <c r="H760">
        <v>4</v>
      </c>
      <c r="I760">
        <v>5</v>
      </c>
      <c r="K760">
        <f t="shared" si="90"/>
        <v>0.8</v>
      </c>
      <c r="L760">
        <f t="shared" si="91"/>
        <v>0.55555555555555558</v>
      </c>
    </row>
    <row r="761" spans="1:12" x14ac:dyDescent="0.25">
      <c r="A761">
        <v>280420</v>
      </c>
      <c r="B761" t="s">
        <v>18</v>
      </c>
      <c r="C761">
        <v>2</v>
      </c>
      <c r="D761">
        <v>5</v>
      </c>
      <c r="E761">
        <f>465-68</f>
        <v>397</v>
      </c>
      <c r="F761">
        <v>8</v>
      </c>
      <c r="G761">
        <v>4</v>
      </c>
      <c r="H761">
        <v>5</v>
      </c>
      <c r="I761">
        <v>5</v>
      </c>
      <c r="K761">
        <f t="shared" si="90"/>
        <v>0.8</v>
      </c>
      <c r="L761">
        <f t="shared" si="91"/>
        <v>0.625</v>
      </c>
    </row>
    <row r="762" spans="1:12" x14ac:dyDescent="0.25">
      <c r="A762">
        <v>280420</v>
      </c>
      <c r="B762" t="s">
        <v>18</v>
      </c>
      <c r="C762">
        <v>2</v>
      </c>
      <c r="D762">
        <v>6</v>
      </c>
      <c r="E762">
        <f>495-68</f>
        <v>427</v>
      </c>
      <c r="F762">
        <v>9</v>
      </c>
      <c r="G762">
        <v>4</v>
      </c>
      <c r="H762">
        <v>5</v>
      </c>
      <c r="I762">
        <v>4</v>
      </c>
      <c r="K762">
        <f t="shared" si="90"/>
        <v>1</v>
      </c>
      <c r="L762">
        <f t="shared" si="91"/>
        <v>0.44444444444444442</v>
      </c>
    </row>
    <row r="763" spans="1:12" x14ac:dyDescent="0.25">
      <c r="A763">
        <v>280420</v>
      </c>
      <c r="B763" t="s">
        <v>18</v>
      </c>
      <c r="C763">
        <v>2</v>
      </c>
      <c r="D763">
        <v>7</v>
      </c>
      <c r="E763">
        <f>507-68</f>
        <v>439</v>
      </c>
      <c r="F763">
        <v>8</v>
      </c>
      <c r="G763">
        <v>3</v>
      </c>
      <c r="H763">
        <v>4</v>
      </c>
      <c r="I763">
        <v>4</v>
      </c>
      <c r="K763">
        <f t="shared" si="90"/>
        <v>0.75</v>
      </c>
      <c r="L763">
        <f t="shared" si="91"/>
        <v>0.5</v>
      </c>
    </row>
    <row r="764" spans="1:12" x14ac:dyDescent="0.25">
      <c r="A764">
        <v>280420</v>
      </c>
      <c r="B764" t="s">
        <v>18</v>
      </c>
      <c r="C764">
        <v>2</v>
      </c>
      <c r="D764">
        <v>8</v>
      </c>
      <c r="E764">
        <f>508-68</f>
        <v>440</v>
      </c>
      <c r="F764">
        <v>8</v>
      </c>
      <c r="G764">
        <v>3</v>
      </c>
      <c r="H764">
        <v>4</v>
      </c>
      <c r="I764">
        <v>3</v>
      </c>
      <c r="K764">
        <f t="shared" si="90"/>
        <v>1</v>
      </c>
      <c r="L764">
        <f t="shared" si="91"/>
        <v>0.375</v>
      </c>
    </row>
    <row r="765" spans="1:12" x14ac:dyDescent="0.25">
      <c r="A765">
        <v>280420</v>
      </c>
      <c r="B765" t="s">
        <v>18</v>
      </c>
      <c r="C765">
        <v>2</v>
      </c>
      <c r="D765">
        <v>9</v>
      </c>
      <c r="E765">
        <f>550-68</f>
        <v>482</v>
      </c>
      <c r="F765">
        <v>8</v>
      </c>
      <c r="J765" t="s">
        <v>0</v>
      </c>
    </row>
    <row r="766" spans="1:12" x14ac:dyDescent="0.25">
      <c r="A766">
        <v>280420</v>
      </c>
      <c r="B766" t="s">
        <v>18</v>
      </c>
      <c r="C766">
        <v>3</v>
      </c>
      <c r="D766">
        <v>1</v>
      </c>
      <c r="E766">
        <f>298-44</f>
        <v>254</v>
      </c>
      <c r="F766">
        <v>12</v>
      </c>
      <c r="G766">
        <v>4</v>
      </c>
      <c r="H766">
        <v>5</v>
      </c>
      <c r="I766">
        <v>4</v>
      </c>
      <c r="K766">
        <f t="shared" ref="K766:K771" si="92">G766/I766</f>
        <v>1</v>
      </c>
      <c r="L766">
        <f t="shared" ref="L766:L771" si="93">I766/F766</f>
        <v>0.33333333333333331</v>
      </c>
    </row>
    <row r="767" spans="1:12" x14ac:dyDescent="0.25">
      <c r="A767">
        <v>280420</v>
      </c>
      <c r="B767" t="s">
        <v>18</v>
      </c>
      <c r="C767">
        <v>3</v>
      </c>
      <c r="D767">
        <v>2</v>
      </c>
      <c r="E767">
        <f>376-44</f>
        <v>332</v>
      </c>
      <c r="F767">
        <v>12</v>
      </c>
      <c r="G767">
        <v>5</v>
      </c>
      <c r="H767">
        <v>9</v>
      </c>
      <c r="I767">
        <v>4</v>
      </c>
      <c r="K767">
        <f t="shared" si="92"/>
        <v>1.25</v>
      </c>
      <c r="L767">
        <f t="shared" si="93"/>
        <v>0.33333333333333331</v>
      </c>
    </row>
    <row r="768" spans="1:12" x14ac:dyDescent="0.25">
      <c r="A768">
        <v>280420</v>
      </c>
      <c r="B768" t="s">
        <v>18</v>
      </c>
      <c r="C768">
        <v>3</v>
      </c>
      <c r="D768">
        <v>3</v>
      </c>
      <c r="E768">
        <f>450-44</f>
        <v>406</v>
      </c>
      <c r="F768">
        <v>12</v>
      </c>
      <c r="G768">
        <v>4</v>
      </c>
      <c r="H768">
        <v>7</v>
      </c>
      <c r="I768">
        <v>6</v>
      </c>
      <c r="K768">
        <f t="shared" si="92"/>
        <v>0.66666666666666663</v>
      </c>
      <c r="L768">
        <f t="shared" si="93"/>
        <v>0.5</v>
      </c>
    </row>
    <row r="769" spans="1:13" x14ac:dyDescent="0.25">
      <c r="A769">
        <v>280420</v>
      </c>
      <c r="B769" t="s">
        <v>18</v>
      </c>
      <c r="C769">
        <v>3</v>
      </c>
      <c r="D769">
        <v>4</v>
      </c>
      <c r="E769">
        <f>558-44</f>
        <v>514</v>
      </c>
      <c r="F769">
        <v>11</v>
      </c>
      <c r="G769">
        <v>4</v>
      </c>
      <c r="H769">
        <v>6</v>
      </c>
      <c r="I769">
        <v>4</v>
      </c>
      <c r="K769">
        <f t="shared" si="92"/>
        <v>1</v>
      </c>
      <c r="L769">
        <f t="shared" si="93"/>
        <v>0.36363636363636365</v>
      </c>
    </row>
    <row r="770" spans="1:13" x14ac:dyDescent="0.25">
      <c r="A770">
        <v>280420</v>
      </c>
      <c r="B770" t="s">
        <v>18</v>
      </c>
      <c r="C770">
        <v>3</v>
      </c>
      <c r="D770">
        <v>5</v>
      </c>
      <c r="E770">
        <f>651-44</f>
        <v>607</v>
      </c>
      <c r="F770">
        <v>11</v>
      </c>
      <c r="G770">
        <v>3</v>
      </c>
      <c r="H770">
        <v>4</v>
      </c>
      <c r="I770">
        <v>5</v>
      </c>
      <c r="K770">
        <f t="shared" si="92"/>
        <v>0.6</v>
      </c>
      <c r="L770">
        <f t="shared" si="93"/>
        <v>0.45454545454545453</v>
      </c>
    </row>
    <row r="771" spans="1:13" x14ac:dyDescent="0.25">
      <c r="A771">
        <v>280420</v>
      </c>
      <c r="B771" t="s">
        <v>18</v>
      </c>
      <c r="C771">
        <v>3</v>
      </c>
      <c r="D771">
        <v>6</v>
      </c>
      <c r="E771">
        <f>693-44</f>
        <v>649</v>
      </c>
      <c r="F771">
        <v>10</v>
      </c>
      <c r="G771">
        <v>4</v>
      </c>
      <c r="H771">
        <v>4</v>
      </c>
      <c r="I771">
        <v>3</v>
      </c>
      <c r="K771">
        <f t="shared" si="92"/>
        <v>1.3333333333333333</v>
      </c>
      <c r="L771">
        <f t="shared" si="93"/>
        <v>0.3</v>
      </c>
    </row>
    <row r="772" spans="1:13" x14ac:dyDescent="0.25">
      <c r="A772">
        <v>280420</v>
      </c>
      <c r="B772" t="s">
        <v>18</v>
      </c>
      <c r="C772">
        <v>3</v>
      </c>
      <c r="D772">
        <v>7</v>
      </c>
      <c r="E772">
        <f>713-44</f>
        <v>669</v>
      </c>
      <c r="F772">
        <v>12</v>
      </c>
      <c r="J772" t="s">
        <v>0</v>
      </c>
    </row>
    <row r="773" spans="1:13" x14ac:dyDescent="0.25">
      <c r="A773">
        <v>280420</v>
      </c>
      <c r="B773" t="s">
        <v>18</v>
      </c>
      <c r="C773">
        <v>4</v>
      </c>
      <c r="D773">
        <v>1</v>
      </c>
      <c r="E773">
        <f>456-32</f>
        <v>424</v>
      </c>
      <c r="F773">
        <v>12</v>
      </c>
      <c r="G773">
        <v>5</v>
      </c>
      <c r="H773">
        <v>9</v>
      </c>
      <c r="I773">
        <v>5</v>
      </c>
      <c r="K773">
        <f>G773/I773</f>
        <v>1</v>
      </c>
      <c r="L773">
        <f>I773/F773</f>
        <v>0.41666666666666669</v>
      </c>
    </row>
    <row r="774" spans="1:13" x14ac:dyDescent="0.25">
      <c r="A774">
        <v>280420</v>
      </c>
      <c r="B774" t="s">
        <v>18</v>
      </c>
      <c r="C774">
        <v>4</v>
      </c>
      <c r="D774">
        <v>2</v>
      </c>
      <c r="E774">
        <f>491-32</f>
        <v>459</v>
      </c>
      <c r="F774">
        <v>11</v>
      </c>
      <c r="J774" t="s">
        <v>0</v>
      </c>
    </row>
    <row r="775" spans="1:13" x14ac:dyDescent="0.25">
      <c r="A775">
        <v>280420</v>
      </c>
      <c r="B775" t="s">
        <v>18</v>
      </c>
      <c r="C775">
        <v>4</v>
      </c>
      <c r="D775">
        <v>3</v>
      </c>
      <c r="E775">
        <f>554-32</f>
        <v>522</v>
      </c>
      <c r="F775">
        <v>9</v>
      </c>
      <c r="M775" t="s">
        <v>15</v>
      </c>
    </row>
    <row r="776" spans="1:13" x14ac:dyDescent="0.25">
      <c r="A776">
        <v>280420</v>
      </c>
      <c r="B776" t="s">
        <v>18</v>
      </c>
      <c r="C776">
        <v>4</v>
      </c>
      <c r="D776">
        <v>4</v>
      </c>
      <c r="E776">
        <f>566-32</f>
        <v>534</v>
      </c>
      <c r="F776">
        <v>9</v>
      </c>
      <c r="G776">
        <v>4</v>
      </c>
      <c r="H776">
        <v>4</v>
      </c>
      <c r="I776">
        <v>2</v>
      </c>
      <c r="K776">
        <f>G776/I776</f>
        <v>2</v>
      </c>
      <c r="L776">
        <f>I776/F776</f>
        <v>0.22222222222222221</v>
      </c>
    </row>
    <row r="777" spans="1:13" x14ac:dyDescent="0.25">
      <c r="A777">
        <v>280420</v>
      </c>
      <c r="B777" t="s">
        <v>18</v>
      </c>
      <c r="C777">
        <v>4</v>
      </c>
      <c r="D777">
        <v>5</v>
      </c>
      <c r="E777">
        <f>582-32</f>
        <v>550</v>
      </c>
      <c r="F777">
        <v>8</v>
      </c>
      <c r="G777">
        <v>5</v>
      </c>
      <c r="H777">
        <v>5</v>
      </c>
      <c r="I777">
        <v>4</v>
      </c>
      <c r="K777">
        <f>G777/I777</f>
        <v>1.25</v>
      </c>
      <c r="L777">
        <f>I777/F777</f>
        <v>0.5</v>
      </c>
    </row>
    <row r="778" spans="1:13" x14ac:dyDescent="0.25">
      <c r="A778">
        <v>280420</v>
      </c>
      <c r="B778" t="s">
        <v>18</v>
      </c>
      <c r="C778">
        <v>5</v>
      </c>
      <c r="D778">
        <v>1</v>
      </c>
      <c r="E778">
        <f>349-59</f>
        <v>290</v>
      </c>
      <c r="F778">
        <v>9</v>
      </c>
      <c r="G778">
        <v>4</v>
      </c>
      <c r="H778">
        <v>8</v>
      </c>
      <c r="I778">
        <v>4</v>
      </c>
      <c r="K778">
        <f>G778/I778</f>
        <v>1</v>
      </c>
      <c r="L778">
        <f>I778/F778</f>
        <v>0.44444444444444442</v>
      </c>
    </row>
    <row r="779" spans="1:13" x14ac:dyDescent="0.25">
      <c r="A779">
        <v>280420</v>
      </c>
      <c r="B779" t="s">
        <v>18</v>
      </c>
      <c r="C779">
        <v>5</v>
      </c>
      <c r="D779">
        <v>2</v>
      </c>
      <c r="E779">
        <f>515-59</f>
        <v>456</v>
      </c>
      <c r="F779">
        <v>11</v>
      </c>
      <c r="G779">
        <v>3</v>
      </c>
      <c r="H779">
        <v>3</v>
      </c>
      <c r="I779">
        <v>3</v>
      </c>
      <c r="K779">
        <f>G779/I779</f>
        <v>1</v>
      </c>
      <c r="L779">
        <f>I779/F779</f>
        <v>0.27272727272727271</v>
      </c>
    </row>
    <row r="780" spans="1:13" x14ac:dyDescent="0.25">
      <c r="A780">
        <v>280420</v>
      </c>
      <c r="B780" t="s">
        <v>18</v>
      </c>
      <c r="C780">
        <v>5</v>
      </c>
      <c r="D780">
        <v>3</v>
      </c>
      <c r="E780">
        <f>622-59</f>
        <v>563</v>
      </c>
      <c r="F780">
        <v>10</v>
      </c>
      <c r="J780" t="s">
        <v>0</v>
      </c>
    </row>
    <row r="781" spans="1:13" x14ac:dyDescent="0.25">
      <c r="A781">
        <v>280420</v>
      </c>
      <c r="B781" t="s">
        <v>18</v>
      </c>
      <c r="C781">
        <v>5</v>
      </c>
      <c r="D781">
        <v>4</v>
      </c>
      <c r="E781">
        <f>639-59</f>
        <v>580</v>
      </c>
      <c r="F781">
        <v>10</v>
      </c>
      <c r="G781">
        <v>5</v>
      </c>
      <c r="H781">
        <v>6</v>
      </c>
      <c r="I781">
        <v>4</v>
      </c>
      <c r="K781">
        <f>G781/I781</f>
        <v>1.25</v>
      </c>
      <c r="L781">
        <f>I781/F781</f>
        <v>0.4</v>
      </c>
    </row>
    <row r="782" spans="1:13" x14ac:dyDescent="0.25">
      <c r="A782">
        <v>280420</v>
      </c>
      <c r="B782" t="s">
        <v>18</v>
      </c>
      <c r="C782">
        <v>5</v>
      </c>
      <c r="D782">
        <v>5</v>
      </c>
      <c r="E782">
        <f>701-59</f>
        <v>642</v>
      </c>
      <c r="F782">
        <v>12</v>
      </c>
      <c r="G782">
        <v>6</v>
      </c>
      <c r="H782">
        <v>6</v>
      </c>
      <c r="I782">
        <v>4</v>
      </c>
      <c r="K782">
        <f>G782/I782</f>
        <v>1.5</v>
      </c>
      <c r="L782">
        <f>I782/F782</f>
        <v>0.33333333333333331</v>
      </c>
    </row>
    <row r="783" spans="1:13" x14ac:dyDescent="0.25">
      <c r="A783">
        <v>280420</v>
      </c>
      <c r="B783" t="s">
        <v>18</v>
      </c>
      <c r="C783">
        <v>5</v>
      </c>
      <c r="D783">
        <v>6</v>
      </c>
      <c r="E783">
        <f>724-59</f>
        <v>665</v>
      </c>
      <c r="F783">
        <v>11</v>
      </c>
      <c r="G783">
        <v>5</v>
      </c>
      <c r="H783">
        <v>5</v>
      </c>
      <c r="I783">
        <v>5</v>
      </c>
      <c r="K783">
        <f>G783/I783</f>
        <v>1</v>
      </c>
      <c r="L783">
        <f>I783/F783</f>
        <v>0.45454545454545453</v>
      </c>
    </row>
    <row r="784" spans="1:13" x14ac:dyDescent="0.25">
      <c r="A784">
        <v>280420</v>
      </c>
      <c r="B784" t="s">
        <v>18</v>
      </c>
      <c r="C784">
        <v>6</v>
      </c>
      <c r="D784">
        <v>1</v>
      </c>
      <c r="E784">
        <f>119-45</f>
        <v>74</v>
      </c>
      <c r="F784">
        <v>9</v>
      </c>
      <c r="J784" t="s">
        <v>0</v>
      </c>
    </row>
    <row r="785" spans="1:13" x14ac:dyDescent="0.25">
      <c r="A785">
        <v>280420</v>
      </c>
      <c r="B785" t="s">
        <v>18</v>
      </c>
      <c r="C785">
        <v>6</v>
      </c>
      <c r="D785">
        <v>2</v>
      </c>
      <c r="E785">
        <f>302-45</f>
        <v>257</v>
      </c>
      <c r="F785">
        <v>9</v>
      </c>
      <c r="G785">
        <v>3</v>
      </c>
      <c r="H785">
        <v>6</v>
      </c>
      <c r="I785">
        <v>4</v>
      </c>
      <c r="K785">
        <f>G785/I785</f>
        <v>0.75</v>
      </c>
      <c r="L785">
        <f>I785/F785</f>
        <v>0.44444444444444442</v>
      </c>
    </row>
    <row r="786" spans="1:13" x14ac:dyDescent="0.25">
      <c r="A786">
        <v>280420</v>
      </c>
      <c r="B786" t="s">
        <v>18</v>
      </c>
      <c r="C786">
        <v>6</v>
      </c>
      <c r="D786">
        <v>3</v>
      </c>
      <c r="E786">
        <f>307-45</f>
        <v>262</v>
      </c>
      <c r="F786">
        <v>9</v>
      </c>
      <c r="G786">
        <v>4</v>
      </c>
      <c r="H786">
        <v>5</v>
      </c>
      <c r="I786">
        <v>4</v>
      </c>
      <c r="K786">
        <f>G786/I786</f>
        <v>1</v>
      </c>
      <c r="L786">
        <f>I786/F786</f>
        <v>0.44444444444444442</v>
      </c>
    </row>
    <row r="787" spans="1:13" x14ac:dyDescent="0.25">
      <c r="A787">
        <v>280420</v>
      </c>
      <c r="B787" t="s">
        <v>18</v>
      </c>
      <c r="C787">
        <v>6</v>
      </c>
      <c r="D787">
        <v>4</v>
      </c>
      <c r="E787">
        <f>395-45</f>
        <v>350</v>
      </c>
      <c r="F787">
        <v>9</v>
      </c>
      <c r="G787">
        <v>4</v>
      </c>
      <c r="H787">
        <v>4</v>
      </c>
      <c r="I787">
        <v>4</v>
      </c>
      <c r="K787">
        <f>G787/I787</f>
        <v>1</v>
      </c>
      <c r="L787">
        <f>I787/F787</f>
        <v>0.44444444444444442</v>
      </c>
    </row>
    <row r="788" spans="1:13" x14ac:dyDescent="0.25">
      <c r="A788">
        <v>280420</v>
      </c>
      <c r="B788" t="s">
        <v>18</v>
      </c>
      <c r="C788">
        <v>6</v>
      </c>
      <c r="D788">
        <v>5</v>
      </c>
      <c r="E788">
        <f>396-45</f>
        <v>351</v>
      </c>
      <c r="F788">
        <v>9</v>
      </c>
      <c r="G788">
        <v>3</v>
      </c>
      <c r="H788">
        <v>5</v>
      </c>
      <c r="I788">
        <v>4</v>
      </c>
      <c r="K788">
        <f>G788/I788</f>
        <v>0.75</v>
      </c>
      <c r="L788">
        <f>I788/F788</f>
        <v>0.44444444444444442</v>
      </c>
    </row>
    <row r="789" spans="1:13" x14ac:dyDescent="0.25">
      <c r="A789">
        <v>280420</v>
      </c>
      <c r="B789" t="s">
        <v>18</v>
      </c>
      <c r="C789">
        <v>6</v>
      </c>
      <c r="D789">
        <v>6</v>
      </c>
      <c r="E789">
        <f>465-45</f>
        <v>420</v>
      </c>
      <c r="F789">
        <v>7</v>
      </c>
      <c r="M789" t="s">
        <v>15</v>
      </c>
    </row>
    <row r="790" spans="1:13" x14ac:dyDescent="0.25">
      <c r="A790">
        <v>280420</v>
      </c>
      <c r="B790" t="s">
        <v>18</v>
      </c>
      <c r="C790">
        <v>7</v>
      </c>
      <c r="D790">
        <v>1</v>
      </c>
      <c r="E790">
        <f>397-87</f>
        <v>310</v>
      </c>
      <c r="F790">
        <v>9</v>
      </c>
      <c r="G790">
        <v>3</v>
      </c>
      <c r="H790">
        <v>5</v>
      </c>
      <c r="I790">
        <v>4</v>
      </c>
      <c r="K790">
        <f t="shared" ref="K790:K801" si="94">G790/I790</f>
        <v>0.75</v>
      </c>
      <c r="L790">
        <f t="shared" ref="L790:L801" si="95">I790/F790</f>
        <v>0.44444444444444442</v>
      </c>
    </row>
    <row r="791" spans="1:13" x14ac:dyDescent="0.25">
      <c r="A791">
        <v>280420</v>
      </c>
      <c r="B791" t="s">
        <v>18</v>
      </c>
      <c r="C791">
        <v>7</v>
      </c>
      <c r="D791">
        <v>2</v>
      </c>
      <c r="E791">
        <f>524-87</f>
        <v>437</v>
      </c>
      <c r="F791">
        <v>10</v>
      </c>
      <c r="G791">
        <v>3</v>
      </c>
      <c r="H791">
        <v>6</v>
      </c>
      <c r="I791">
        <v>7</v>
      </c>
      <c r="K791">
        <f t="shared" si="94"/>
        <v>0.42857142857142855</v>
      </c>
      <c r="L791">
        <f t="shared" si="95"/>
        <v>0.7</v>
      </c>
    </row>
    <row r="792" spans="1:13" x14ac:dyDescent="0.25">
      <c r="A792">
        <v>280420</v>
      </c>
      <c r="B792" t="s">
        <v>18</v>
      </c>
      <c r="C792">
        <v>7</v>
      </c>
      <c r="D792">
        <v>3</v>
      </c>
      <c r="E792">
        <f>560-87</f>
        <v>473</v>
      </c>
      <c r="F792">
        <v>9</v>
      </c>
      <c r="G792">
        <v>3</v>
      </c>
      <c r="H792">
        <v>4</v>
      </c>
      <c r="I792">
        <v>4</v>
      </c>
      <c r="K792">
        <f t="shared" si="94"/>
        <v>0.75</v>
      </c>
      <c r="L792">
        <f t="shared" si="95"/>
        <v>0.44444444444444442</v>
      </c>
    </row>
    <row r="793" spans="1:13" x14ac:dyDescent="0.25">
      <c r="A793">
        <v>280420</v>
      </c>
      <c r="B793" t="s">
        <v>18</v>
      </c>
      <c r="C793">
        <v>7</v>
      </c>
      <c r="D793">
        <v>4</v>
      </c>
      <c r="E793">
        <f>591-87</f>
        <v>504</v>
      </c>
      <c r="F793">
        <v>10</v>
      </c>
      <c r="G793">
        <v>4</v>
      </c>
      <c r="H793">
        <v>4</v>
      </c>
      <c r="I793">
        <v>3</v>
      </c>
      <c r="K793">
        <f t="shared" si="94"/>
        <v>1.3333333333333333</v>
      </c>
      <c r="L793">
        <f t="shared" si="95"/>
        <v>0.3</v>
      </c>
    </row>
    <row r="794" spans="1:13" x14ac:dyDescent="0.25">
      <c r="A794">
        <v>280420</v>
      </c>
      <c r="B794" t="s">
        <v>18</v>
      </c>
      <c r="C794">
        <v>7</v>
      </c>
      <c r="D794">
        <v>5</v>
      </c>
      <c r="E794">
        <f>630-87</f>
        <v>543</v>
      </c>
      <c r="F794">
        <v>10</v>
      </c>
      <c r="G794">
        <v>6</v>
      </c>
      <c r="H794">
        <v>5</v>
      </c>
      <c r="I794">
        <v>4</v>
      </c>
      <c r="K794">
        <f t="shared" si="94"/>
        <v>1.5</v>
      </c>
      <c r="L794">
        <f t="shared" si="95"/>
        <v>0.4</v>
      </c>
    </row>
    <row r="795" spans="1:13" x14ac:dyDescent="0.25">
      <c r="A795">
        <v>280420</v>
      </c>
      <c r="B795" t="s">
        <v>18</v>
      </c>
      <c r="C795">
        <v>7</v>
      </c>
      <c r="D795">
        <v>6</v>
      </c>
      <c r="E795">
        <f>631-87</f>
        <v>544</v>
      </c>
      <c r="F795">
        <v>9</v>
      </c>
      <c r="G795">
        <v>3</v>
      </c>
      <c r="H795">
        <v>4</v>
      </c>
      <c r="I795">
        <v>3</v>
      </c>
      <c r="K795">
        <f t="shared" si="94"/>
        <v>1</v>
      </c>
      <c r="L795">
        <f t="shared" si="95"/>
        <v>0.33333333333333331</v>
      </c>
    </row>
    <row r="796" spans="1:13" x14ac:dyDescent="0.25">
      <c r="A796">
        <v>280420</v>
      </c>
      <c r="B796" t="s">
        <v>18</v>
      </c>
      <c r="C796">
        <v>8</v>
      </c>
      <c r="D796">
        <v>1</v>
      </c>
      <c r="E796">
        <f>225-151</f>
        <v>74</v>
      </c>
      <c r="F796">
        <v>7</v>
      </c>
      <c r="G796">
        <v>3</v>
      </c>
      <c r="H796">
        <v>5</v>
      </c>
      <c r="I796">
        <v>4</v>
      </c>
      <c r="K796">
        <f t="shared" si="94"/>
        <v>0.75</v>
      </c>
      <c r="L796">
        <f t="shared" si="95"/>
        <v>0.5714285714285714</v>
      </c>
    </row>
    <row r="797" spans="1:13" x14ac:dyDescent="0.25">
      <c r="A797">
        <v>280420</v>
      </c>
      <c r="B797" t="s">
        <v>18</v>
      </c>
      <c r="C797">
        <v>8</v>
      </c>
      <c r="D797">
        <v>2</v>
      </c>
      <c r="E797">
        <f>225-151</f>
        <v>74</v>
      </c>
      <c r="F797">
        <v>7</v>
      </c>
      <c r="G797">
        <v>3</v>
      </c>
      <c r="H797">
        <v>7</v>
      </c>
      <c r="I797">
        <v>2</v>
      </c>
      <c r="K797">
        <f t="shared" si="94"/>
        <v>1.5</v>
      </c>
      <c r="L797">
        <f t="shared" si="95"/>
        <v>0.2857142857142857</v>
      </c>
    </row>
    <row r="798" spans="1:13" x14ac:dyDescent="0.25">
      <c r="A798">
        <v>280420</v>
      </c>
      <c r="B798" t="s">
        <v>18</v>
      </c>
      <c r="C798">
        <v>8</v>
      </c>
      <c r="D798">
        <v>3</v>
      </c>
      <c r="E798">
        <f>249-151</f>
        <v>98</v>
      </c>
      <c r="F798">
        <v>9</v>
      </c>
      <c r="G798">
        <v>3</v>
      </c>
      <c r="H798">
        <v>5</v>
      </c>
      <c r="I798">
        <v>4</v>
      </c>
      <c r="K798">
        <f t="shared" si="94"/>
        <v>0.75</v>
      </c>
      <c r="L798">
        <f t="shared" si="95"/>
        <v>0.44444444444444442</v>
      </c>
    </row>
    <row r="799" spans="1:13" x14ac:dyDescent="0.25">
      <c r="A799">
        <v>280420</v>
      </c>
      <c r="B799" t="s">
        <v>18</v>
      </c>
      <c r="C799">
        <v>8</v>
      </c>
      <c r="D799">
        <v>4</v>
      </c>
      <c r="E799">
        <f>371-151</f>
        <v>220</v>
      </c>
      <c r="F799">
        <v>7</v>
      </c>
      <c r="G799">
        <v>5</v>
      </c>
      <c r="H799">
        <v>5</v>
      </c>
      <c r="I799">
        <v>4</v>
      </c>
      <c r="K799">
        <f t="shared" si="94"/>
        <v>1.25</v>
      </c>
      <c r="L799">
        <f t="shared" si="95"/>
        <v>0.5714285714285714</v>
      </c>
    </row>
    <row r="800" spans="1:13" x14ac:dyDescent="0.25">
      <c r="A800">
        <v>280420</v>
      </c>
      <c r="B800" t="s">
        <v>18</v>
      </c>
      <c r="C800">
        <v>8</v>
      </c>
      <c r="D800">
        <v>5</v>
      </c>
      <c r="E800">
        <f>403-151</f>
        <v>252</v>
      </c>
      <c r="F800">
        <v>8</v>
      </c>
      <c r="G800">
        <v>2</v>
      </c>
      <c r="H800">
        <v>3</v>
      </c>
      <c r="I800">
        <v>4</v>
      </c>
      <c r="K800">
        <f t="shared" si="94"/>
        <v>0.5</v>
      </c>
      <c r="L800">
        <f t="shared" si="95"/>
        <v>0.5</v>
      </c>
    </row>
    <row r="801" spans="1:13" x14ac:dyDescent="0.25">
      <c r="A801">
        <v>280420</v>
      </c>
      <c r="B801" t="s">
        <v>18</v>
      </c>
      <c r="C801">
        <v>8</v>
      </c>
      <c r="D801">
        <v>6</v>
      </c>
      <c r="E801">
        <f>455-151</f>
        <v>304</v>
      </c>
      <c r="F801">
        <v>9</v>
      </c>
      <c r="G801">
        <v>4</v>
      </c>
      <c r="H801">
        <v>4</v>
      </c>
      <c r="I801">
        <v>4</v>
      </c>
      <c r="K801">
        <f t="shared" si="94"/>
        <v>1</v>
      </c>
      <c r="L801">
        <f t="shared" si="95"/>
        <v>0.44444444444444442</v>
      </c>
    </row>
    <row r="802" spans="1:13" x14ac:dyDescent="0.25">
      <c r="A802">
        <v>280420</v>
      </c>
      <c r="B802" t="s">
        <v>18</v>
      </c>
      <c r="C802">
        <v>8</v>
      </c>
      <c r="D802">
        <v>7</v>
      </c>
      <c r="E802">
        <f>511-151</f>
        <v>360</v>
      </c>
      <c r="F802">
        <v>8</v>
      </c>
      <c r="J802" t="s">
        <v>0</v>
      </c>
    </row>
    <row r="803" spans="1:13" x14ac:dyDescent="0.25">
      <c r="A803">
        <v>280420</v>
      </c>
      <c r="B803" t="s">
        <v>18</v>
      </c>
      <c r="C803">
        <v>8</v>
      </c>
      <c r="D803">
        <v>8</v>
      </c>
      <c r="E803">
        <f>550-151</f>
        <v>399</v>
      </c>
      <c r="F803">
        <v>10</v>
      </c>
      <c r="G803">
        <v>7</v>
      </c>
      <c r="H803">
        <v>6</v>
      </c>
      <c r="I803">
        <v>5</v>
      </c>
      <c r="K803">
        <f t="shared" ref="K803:K810" si="96">G803/I803</f>
        <v>1.4</v>
      </c>
      <c r="L803">
        <f t="shared" ref="L803:L810" si="97">I803/F803</f>
        <v>0.5</v>
      </c>
    </row>
    <row r="804" spans="1:13" x14ac:dyDescent="0.25">
      <c r="A804">
        <v>280420</v>
      </c>
      <c r="B804" t="s">
        <v>18</v>
      </c>
      <c r="C804">
        <v>9</v>
      </c>
      <c r="D804">
        <v>1</v>
      </c>
      <c r="E804">
        <f>254-81</f>
        <v>173</v>
      </c>
      <c r="F804">
        <v>14</v>
      </c>
      <c r="G804">
        <v>4</v>
      </c>
      <c r="H804">
        <v>8</v>
      </c>
      <c r="I804">
        <v>6</v>
      </c>
      <c r="K804">
        <f t="shared" si="96"/>
        <v>0.66666666666666663</v>
      </c>
      <c r="L804">
        <f t="shared" si="97"/>
        <v>0.42857142857142855</v>
      </c>
    </row>
    <row r="805" spans="1:13" x14ac:dyDescent="0.25">
      <c r="A805">
        <v>280420</v>
      </c>
      <c r="B805" t="s">
        <v>18</v>
      </c>
      <c r="C805">
        <v>9</v>
      </c>
      <c r="D805">
        <v>2</v>
      </c>
      <c r="E805">
        <f>581-81</f>
        <v>500</v>
      </c>
      <c r="F805">
        <v>16</v>
      </c>
      <c r="G805">
        <v>3</v>
      </c>
      <c r="H805">
        <v>5</v>
      </c>
      <c r="I805">
        <v>6</v>
      </c>
      <c r="K805">
        <f t="shared" si="96"/>
        <v>0.5</v>
      </c>
      <c r="L805">
        <f t="shared" si="97"/>
        <v>0.375</v>
      </c>
    </row>
    <row r="806" spans="1:13" x14ac:dyDescent="0.25">
      <c r="A806">
        <v>280420</v>
      </c>
      <c r="B806" t="s">
        <v>18</v>
      </c>
      <c r="C806">
        <v>9</v>
      </c>
      <c r="D806">
        <v>3</v>
      </c>
      <c r="E806">
        <f>594-81</f>
        <v>513</v>
      </c>
      <c r="F806">
        <v>17</v>
      </c>
      <c r="G806">
        <v>5</v>
      </c>
      <c r="H806">
        <v>5</v>
      </c>
      <c r="I806">
        <v>6</v>
      </c>
      <c r="K806">
        <f t="shared" si="96"/>
        <v>0.83333333333333337</v>
      </c>
      <c r="L806">
        <f t="shared" si="97"/>
        <v>0.35294117647058826</v>
      </c>
    </row>
    <row r="807" spans="1:13" x14ac:dyDescent="0.25">
      <c r="A807">
        <v>280420</v>
      </c>
      <c r="B807" t="s">
        <v>18</v>
      </c>
      <c r="C807">
        <v>9</v>
      </c>
      <c r="D807">
        <v>4</v>
      </c>
      <c r="E807">
        <f>673-81</f>
        <v>592</v>
      </c>
      <c r="F807">
        <v>16</v>
      </c>
      <c r="G807">
        <v>7</v>
      </c>
      <c r="H807">
        <v>9</v>
      </c>
      <c r="I807">
        <v>5</v>
      </c>
      <c r="K807">
        <f t="shared" si="96"/>
        <v>1.4</v>
      </c>
      <c r="L807">
        <f t="shared" si="97"/>
        <v>0.3125</v>
      </c>
    </row>
    <row r="808" spans="1:13" x14ac:dyDescent="0.25">
      <c r="A808">
        <v>280420</v>
      </c>
      <c r="B808" t="s">
        <v>18</v>
      </c>
      <c r="C808">
        <v>9</v>
      </c>
      <c r="D808">
        <v>5</v>
      </c>
      <c r="E808">
        <f>727-81</f>
        <v>646</v>
      </c>
      <c r="F808">
        <v>13</v>
      </c>
      <c r="G808">
        <v>3</v>
      </c>
      <c r="H808">
        <v>4</v>
      </c>
      <c r="I808">
        <v>4</v>
      </c>
      <c r="K808">
        <f t="shared" si="96"/>
        <v>0.75</v>
      </c>
      <c r="L808">
        <f t="shared" si="97"/>
        <v>0.30769230769230771</v>
      </c>
    </row>
    <row r="809" spans="1:13" x14ac:dyDescent="0.25">
      <c r="A809">
        <v>280420</v>
      </c>
      <c r="B809" t="s">
        <v>18</v>
      </c>
      <c r="C809">
        <v>10</v>
      </c>
      <c r="D809">
        <v>1</v>
      </c>
      <c r="E809">
        <f>494-90</f>
        <v>404</v>
      </c>
      <c r="F809">
        <v>10</v>
      </c>
      <c r="G809">
        <v>4</v>
      </c>
      <c r="H809">
        <v>4</v>
      </c>
      <c r="I809">
        <v>4</v>
      </c>
      <c r="K809">
        <f t="shared" si="96"/>
        <v>1</v>
      </c>
      <c r="L809">
        <f t="shared" si="97"/>
        <v>0.4</v>
      </c>
    </row>
    <row r="810" spans="1:13" x14ac:dyDescent="0.25">
      <c r="A810">
        <v>280420</v>
      </c>
      <c r="B810" t="s">
        <v>18</v>
      </c>
      <c r="C810">
        <v>10</v>
      </c>
      <c r="D810">
        <v>2</v>
      </c>
      <c r="E810">
        <f>501-90</f>
        <v>411</v>
      </c>
      <c r="F810">
        <v>11</v>
      </c>
      <c r="G810">
        <v>5</v>
      </c>
      <c r="H810">
        <v>5</v>
      </c>
      <c r="I810">
        <v>5</v>
      </c>
      <c r="K810">
        <f t="shared" si="96"/>
        <v>1</v>
      </c>
      <c r="L810">
        <f t="shared" si="97"/>
        <v>0.45454545454545453</v>
      </c>
    </row>
    <row r="811" spans="1:13" x14ac:dyDescent="0.25">
      <c r="A811">
        <v>280420</v>
      </c>
      <c r="B811" t="s">
        <v>18</v>
      </c>
      <c r="C811">
        <v>10</v>
      </c>
      <c r="D811">
        <v>3</v>
      </c>
      <c r="E811">
        <f>556-90</f>
        <v>466</v>
      </c>
      <c r="F811">
        <v>8</v>
      </c>
      <c r="M811" t="s">
        <v>15</v>
      </c>
    </row>
    <row r="812" spans="1:13" x14ac:dyDescent="0.25">
      <c r="A812">
        <v>280420</v>
      </c>
      <c r="B812" t="s">
        <v>18</v>
      </c>
      <c r="C812">
        <v>11</v>
      </c>
      <c r="D812">
        <v>1</v>
      </c>
      <c r="E812">
        <f>201-141</f>
        <v>60</v>
      </c>
      <c r="F812">
        <v>12</v>
      </c>
      <c r="G812">
        <v>3</v>
      </c>
      <c r="H812">
        <v>7</v>
      </c>
      <c r="I812">
        <v>4</v>
      </c>
      <c r="K812">
        <f t="shared" ref="K812:K820" si="98">G812/I812</f>
        <v>0.75</v>
      </c>
      <c r="L812">
        <f t="shared" ref="L812:L820" si="99">I812/F812</f>
        <v>0.33333333333333331</v>
      </c>
    </row>
    <row r="813" spans="1:13" x14ac:dyDescent="0.25">
      <c r="A813">
        <v>280420</v>
      </c>
      <c r="B813" t="s">
        <v>18</v>
      </c>
      <c r="C813">
        <v>11</v>
      </c>
      <c r="D813">
        <v>2</v>
      </c>
      <c r="E813">
        <f>414-141</f>
        <v>273</v>
      </c>
      <c r="F813">
        <v>9</v>
      </c>
      <c r="G813">
        <v>3</v>
      </c>
      <c r="H813">
        <v>5</v>
      </c>
      <c r="I813">
        <v>5</v>
      </c>
      <c r="K813">
        <f t="shared" si="98"/>
        <v>0.6</v>
      </c>
      <c r="L813">
        <f t="shared" si="99"/>
        <v>0.55555555555555558</v>
      </c>
    </row>
    <row r="814" spans="1:13" x14ac:dyDescent="0.25">
      <c r="A814">
        <v>280420</v>
      </c>
      <c r="B814" t="s">
        <v>18</v>
      </c>
      <c r="C814">
        <v>11</v>
      </c>
      <c r="D814">
        <v>3</v>
      </c>
      <c r="E814">
        <f>581-141</f>
        <v>440</v>
      </c>
      <c r="F814">
        <v>10</v>
      </c>
      <c r="G814">
        <v>2</v>
      </c>
      <c r="H814">
        <v>8</v>
      </c>
      <c r="I814">
        <v>5</v>
      </c>
      <c r="K814">
        <f t="shared" si="98"/>
        <v>0.4</v>
      </c>
      <c r="L814">
        <f t="shared" si="99"/>
        <v>0.5</v>
      </c>
    </row>
    <row r="815" spans="1:13" x14ac:dyDescent="0.25">
      <c r="A815">
        <v>280420</v>
      </c>
      <c r="B815" t="s">
        <v>18</v>
      </c>
      <c r="C815">
        <v>11</v>
      </c>
      <c r="D815">
        <v>4</v>
      </c>
      <c r="E815">
        <f>591-141</f>
        <v>450</v>
      </c>
      <c r="F815">
        <v>12</v>
      </c>
      <c r="G815">
        <v>3</v>
      </c>
      <c r="H815">
        <v>6</v>
      </c>
      <c r="I815">
        <v>4</v>
      </c>
      <c r="K815">
        <f t="shared" si="98"/>
        <v>0.75</v>
      </c>
      <c r="L815">
        <f t="shared" si="99"/>
        <v>0.33333333333333331</v>
      </c>
    </row>
    <row r="816" spans="1:13" x14ac:dyDescent="0.25">
      <c r="A816">
        <v>280420</v>
      </c>
      <c r="B816" t="s">
        <v>18</v>
      </c>
      <c r="C816">
        <v>11</v>
      </c>
      <c r="D816">
        <v>5</v>
      </c>
      <c r="E816">
        <f>622-141</f>
        <v>481</v>
      </c>
      <c r="F816">
        <v>9</v>
      </c>
      <c r="G816">
        <v>5</v>
      </c>
      <c r="H816">
        <v>5</v>
      </c>
      <c r="I816">
        <v>4</v>
      </c>
      <c r="K816">
        <f t="shared" si="98"/>
        <v>1.25</v>
      </c>
      <c r="L816">
        <f t="shared" si="99"/>
        <v>0.44444444444444442</v>
      </c>
    </row>
    <row r="817" spans="1:13" x14ac:dyDescent="0.25">
      <c r="A817">
        <v>280420</v>
      </c>
      <c r="B817" t="s">
        <v>18</v>
      </c>
      <c r="C817">
        <v>11</v>
      </c>
      <c r="D817">
        <v>6</v>
      </c>
      <c r="E817">
        <f>709-141</f>
        <v>568</v>
      </c>
      <c r="F817">
        <v>8</v>
      </c>
      <c r="G817">
        <v>4</v>
      </c>
      <c r="H817">
        <v>4</v>
      </c>
      <c r="I817">
        <v>3</v>
      </c>
      <c r="K817">
        <f t="shared" si="98"/>
        <v>1.3333333333333333</v>
      </c>
      <c r="L817">
        <f t="shared" si="99"/>
        <v>0.375</v>
      </c>
    </row>
    <row r="818" spans="1:13" x14ac:dyDescent="0.25">
      <c r="A818">
        <v>280420</v>
      </c>
      <c r="B818" t="s">
        <v>18</v>
      </c>
      <c r="C818">
        <v>12</v>
      </c>
      <c r="D818">
        <v>1</v>
      </c>
      <c r="E818">
        <f>554-146</f>
        <v>408</v>
      </c>
      <c r="F818">
        <v>14</v>
      </c>
      <c r="G818">
        <v>4</v>
      </c>
      <c r="H818">
        <v>5</v>
      </c>
      <c r="I818">
        <v>4</v>
      </c>
      <c r="K818">
        <f t="shared" si="98"/>
        <v>1</v>
      </c>
      <c r="L818">
        <f t="shared" si="99"/>
        <v>0.2857142857142857</v>
      </c>
    </row>
    <row r="819" spans="1:13" x14ac:dyDescent="0.25">
      <c r="A819">
        <v>280420</v>
      </c>
      <c r="B819" t="s">
        <v>18</v>
      </c>
      <c r="C819">
        <v>12</v>
      </c>
      <c r="D819">
        <v>2</v>
      </c>
      <c r="E819">
        <f>556-146</f>
        <v>410</v>
      </c>
      <c r="F819">
        <v>14</v>
      </c>
      <c r="G819">
        <v>4</v>
      </c>
      <c r="H819">
        <v>9</v>
      </c>
      <c r="I819">
        <v>6</v>
      </c>
      <c r="K819">
        <f t="shared" si="98"/>
        <v>0.66666666666666663</v>
      </c>
      <c r="L819">
        <f t="shared" si="99"/>
        <v>0.42857142857142855</v>
      </c>
    </row>
    <row r="820" spans="1:13" x14ac:dyDescent="0.25">
      <c r="A820">
        <v>280420</v>
      </c>
      <c r="B820" t="s">
        <v>18</v>
      </c>
      <c r="C820">
        <v>12</v>
      </c>
      <c r="D820">
        <v>3</v>
      </c>
      <c r="E820">
        <f>605-146</f>
        <v>459</v>
      </c>
      <c r="F820">
        <v>9</v>
      </c>
      <c r="G820">
        <v>4</v>
      </c>
      <c r="H820">
        <v>6</v>
      </c>
      <c r="I820">
        <v>5</v>
      </c>
      <c r="K820">
        <f t="shared" si="98"/>
        <v>0.8</v>
      </c>
      <c r="L820">
        <f t="shared" si="99"/>
        <v>0.55555555555555558</v>
      </c>
    </row>
    <row r="821" spans="1:13" x14ac:dyDescent="0.25">
      <c r="A821">
        <v>280420</v>
      </c>
      <c r="B821" t="s">
        <v>18</v>
      </c>
      <c r="C821">
        <v>12</v>
      </c>
      <c r="D821">
        <v>4</v>
      </c>
      <c r="E821">
        <f>687-146</f>
        <v>541</v>
      </c>
      <c r="F821">
        <v>10</v>
      </c>
      <c r="J821" t="s">
        <v>0</v>
      </c>
    </row>
    <row r="822" spans="1:13" x14ac:dyDescent="0.25">
      <c r="A822">
        <v>280420</v>
      </c>
      <c r="B822" t="s">
        <v>18</v>
      </c>
      <c r="C822">
        <v>12</v>
      </c>
      <c r="D822">
        <v>5</v>
      </c>
      <c r="E822">
        <f>750-146</f>
        <v>604</v>
      </c>
      <c r="F822">
        <v>10</v>
      </c>
      <c r="M822" t="s">
        <v>15</v>
      </c>
    </row>
    <row r="823" spans="1:13" x14ac:dyDescent="0.25">
      <c r="A823">
        <v>280420</v>
      </c>
      <c r="B823" t="s">
        <v>18</v>
      </c>
      <c r="C823">
        <v>13</v>
      </c>
      <c r="D823">
        <v>1</v>
      </c>
      <c r="E823">
        <f>427-126</f>
        <v>301</v>
      </c>
      <c r="F823">
        <v>12</v>
      </c>
      <c r="G823">
        <v>5</v>
      </c>
      <c r="H823">
        <v>9</v>
      </c>
      <c r="I823">
        <v>4</v>
      </c>
      <c r="K823">
        <f>G823/I823</f>
        <v>1.25</v>
      </c>
      <c r="L823">
        <f>I823/F823</f>
        <v>0.33333333333333331</v>
      </c>
    </row>
    <row r="824" spans="1:13" x14ac:dyDescent="0.25">
      <c r="A824">
        <v>280420</v>
      </c>
      <c r="B824" t="s">
        <v>18</v>
      </c>
      <c r="C824">
        <v>13</v>
      </c>
      <c r="D824">
        <v>2</v>
      </c>
      <c r="E824">
        <f>538-126</f>
        <v>412</v>
      </c>
      <c r="F824">
        <v>12</v>
      </c>
      <c r="J824" t="s">
        <v>0</v>
      </c>
    </row>
    <row r="825" spans="1:13" x14ac:dyDescent="0.25">
      <c r="A825">
        <v>280420</v>
      </c>
      <c r="B825" t="s">
        <v>18</v>
      </c>
      <c r="C825">
        <v>13</v>
      </c>
      <c r="D825">
        <v>3</v>
      </c>
      <c r="E825">
        <f>604-126</f>
        <v>478</v>
      </c>
      <c r="F825">
        <v>11</v>
      </c>
      <c r="G825">
        <v>5</v>
      </c>
      <c r="H825">
        <v>5</v>
      </c>
      <c r="I825">
        <v>4</v>
      </c>
      <c r="K825">
        <f t="shared" ref="K825:K832" si="100">G825/I825</f>
        <v>1.25</v>
      </c>
      <c r="L825">
        <f t="shared" ref="L825:L832" si="101">I825/F825</f>
        <v>0.36363636363636365</v>
      </c>
    </row>
    <row r="826" spans="1:13" x14ac:dyDescent="0.25">
      <c r="A826">
        <v>280420</v>
      </c>
      <c r="B826" t="s">
        <v>18</v>
      </c>
      <c r="C826">
        <v>13</v>
      </c>
      <c r="D826">
        <v>4</v>
      </c>
      <c r="E826">
        <f>656-126</f>
        <v>530</v>
      </c>
      <c r="F826">
        <v>11</v>
      </c>
      <c r="G826">
        <v>5</v>
      </c>
      <c r="H826">
        <v>7</v>
      </c>
      <c r="I826">
        <v>5</v>
      </c>
      <c r="K826">
        <f t="shared" si="100"/>
        <v>1</v>
      </c>
      <c r="L826">
        <f t="shared" si="101"/>
        <v>0.45454545454545453</v>
      </c>
    </row>
    <row r="827" spans="1:13" x14ac:dyDescent="0.25">
      <c r="A827">
        <v>280420</v>
      </c>
      <c r="B827" t="s">
        <v>18</v>
      </c>
      <c r="C827">
        <v>13</v>
      </c>
      <c r="D827">
        <v>5</v>
      </c>
      <c r="E827">
        <f>701-126</f>
        <v>575</v>
      </c>
      <c r="F827">
        <v>10</v>
      </c>
      <c r="G827">
        <v>4</v>
      </c>
      <c r="H827">
        <v>3</v>
      </c>
      <c r="I827">
        <v>5</v>
      </c>
      <c r="K827">
        <f t="shared" si="100"/>
        <v>0.8</v>
      </c>
      <c r="L827">
        <f t="shared" si="101"/>
        <v>0.5</v>
      </c>
    </row>
    <row r="828" spans="1:13" x14ac:dyDescent="0.25">
      <c r="A828">
        <v>280420</v>
      </c>
      <c r="B828" t="s">
        <v>18</v>
      </c>
      <c r="C828">
        <v>14</v>
      </c>
      <c r="D828">
        <v>1</v>
      </c>
      <c r="E828">
        <f>634-134</f>
        <v>500</v>
      </c>
      <c r="F828">
        <v>16</v>
      </c>
      <c r="G828">
        <v>5</v>
      </c>
      <c r="H828">
        <v>8</v>
      </c>
      <c r="I828">
        <v>5</v>
      </c>
      <c r="K828">
        <f t="shared" si="100"/>
        <v>1</v>
      </c>
      <c r="L828">
        <f t="shared" si="101"/>
        <v>0.3125</v>
      </c>
    </row>
    <row r="829" spans="1:13" x14ac:dyDescent="0.25">
      <c r="A829">
        <v>280420</v>
      </c>
      <c r="B829" t="s">
        <v>18</v>
      </c>
      <c r="C829">
        <v>15</v>
      </c>
      <c r="D829">
        <v>1</v>
      </c>
      <c r="E829">
        <f>108-43</f>
        <v>65</v>
      </c>
      <c r="F829">
        <v>11</v>
      </c>
      <c r="G829">
        <v>4</v>
      </c>
      <c r="H829">
        <v>4</v>
      </c>
      <c r="I829">
        <v>4</v>
      </c>
      <c r="K829">
        <f t="shared" si="100"/>
        <v>1</v>
      </c>
      <c r="L829">
        <f t="shared" si="101"/>
        <v>0.36363636363636365</v>
      </c>
    </row>
    <row r="830" spans="1:13" x14ac:dyDescent="0.25">
      <c r="A830">
        <v>280420</v>
      </c>
      <c r="B830" t="s">
        <v>18</v>
      </c>
      <c r="C830">
        <v>15</v>
      </c>
      <c r="D830">
        <v>2</v>
      </c>
      <c r="E830">
        <f>310-43</f>
        <v>267</v>
      </c>
      <c r="F830">
        <v>11</v>
      </c>
      <c r="G830">
        <v>3</v>
      </c>
      <c r="H830">
        <v>5</v>
      </c>
      <c r="I830">
        <v>4</v>
      </c>
      <c r="K830">
        <f t="shared" si="100"/>
        <v>0.75</v>
      </c>
      <c r="L830">
        <f t="shared" si="101"/>
        <v>0.36363636363636365</v>
      </c>
    </row>
    <row r="831" spans="1:13" x14ac:dyDescent="0.25">
      <c r="A831">
        <v>280420</v>
      </c>
      <c r="B831" t="s">
        <v>18</v>
      </c>
      <c r="C831">
        <v>15</v>
      </c>
      <c r="D831">
        <v>3</v>
      </c>
      <c r="E831">
        <f>380-43</f>
        <v>337</v>
      </c>
      <c r="F831">
        <v>10</v>
      </c>
      <c r="G831">
        <v>4</v>
      </c>
      <c r="H831">
        <v>6</v>
      </c>
      <c r="I831">
        <v>5</v>
      </c>
      <c r="K831">
        <f t="shared" si="100"/>
        <v>0.8</v>
      </c>
      <c r="L831">
        <f t="shared" si="101"/>
        <v>0.5</v>
      </c>
    </row>
    <row r="832" spans="1:13" x14ac:dyDescent="0.25">
      <c r="A832">
        <v>280420</v>
      </c>
      <c r="B832" t="s">
        <v>18</v>
      </c>
      <c r="C832">
        <v>15</v>
      </c>
      <c r="D832">
        <v>4</v>
      </c>
      <c r="E832">
        <f>443-43</f>
        <v>400</v>
      </c>
      <c r="F832">
        <v>10</v>
      </c>
      <c r="G832">
        <v>3</v>
      </c>
      <c r="H832">
        <v>5</v>
      </c>
      <c r="I832">
        <v>4</v>
      </c>
      <c r="K832">
        <f t="shared" si="100"/>
        <v>0.75</v>
      </c>
      <c r="L832">
        <f t="shared" si="101"/>
        <v>0.4</v>
      </c>
    </row>
    <row r="833" spans="1:12" x14ac:dyDescent="0.25">
      <c r="A833">
        <v>280420</v>
      </c>
      <c r="B833" t="s">
        <v>18</v>
      </c>
      <c r="C833">
        <v>15</v>
      </c>
      <c r="D833">
        <v>5</v>
      </c>
      <c r="E833">
        <f>554-43</f>
        <v>511</v>
      </c>
      <c r="F833">
        <v>9</v>
      </c>
      <c r="J833" t="s">
        <v>0</v>
      </c>
    </row>
    <row r="834" spans="1:12" x14ac:dyDescent="0.25">
      <c r="A834">
        <v>280420</v>
      </c>
      <c r="B834" t="s">
        <v>18</v>
      </c>
      <c r="C834">
        <v>15</v>
      </c>
      <c r="D834">
        <v>6</v>
      </c>
      <c r="E834">
        <f>611-43</f>
        <v>568</v>
      </c>
      <c r="F834">
        <v>9</v>
      </c>
      <c r="G834">
        <v>5</v>
      </c>
      <c r="H834">
        <v>4</v>
      </c>
      <c r="I834">
        <v>4</v>
      </c>
      <c r="K834">
        <f>G834/I834</f>
        <v>1.25</v>
      </c>
      <c r="L834">
        <f>I834/F834</f>
        <v>0.44444444444444442</v>
      </c>
    </row>
    <row r="835" spans="1:12" x14ac:dyDescent="0.25">
      <c r="A835">
        <v>280420</v>
      </c>
      <c r="B835" t="s">
        <v>18</v>
      </c>
      <c r="C835">
        <v>15</v>
      </c>
      <c r="D835">
        <v>7</v>
      </c>
      <c r="E835">
        <f>610-43</f>
        <v>567</v>
      </c>
      <c r="F835">
        <v>9</v>
      </c>
      <c r="G835">
        <v>3</v>
      </c>
      <c r="H835">
        <v>4</v>
      </c>
      <c r="I835">
        <v>4</v>
      </c>
      <c r="K835">
        <f>G835/I835</f>
        <v>0.75</v>
      </c>
      <c r="L835">
        <f>I835/F835</f>
        <v>0.44444444444444442</v>
      </c>
    </row>
    <row r="836" spans="1:12" x14ac:dyDescent="0.25">
      <c r="A836">
        <v>280420</v>
      </c>
      <c r="B836" t="s">
        <v>18</v>
      </c>
      <c r="C836">
        <v>16</v>
      </c>
      <c r="D836">
        <v>1</v>
      </c>
      <c r="E836">
        <f>185-69</f>
        <v>116</v>
      </c>
      <c r="F836">
        <v>11</v>
      </c>
      <c r="G836">
        <v>3</v>
      </c>
      <c r="H836">
        <v>4</v>
      </c>
      <c r="I836">
        <v>4</v>
      </c>
      <c r="K836">
        <f>G836/I836</f>
        <v>0.75</v>
      </c>
      <c r="L836">
        <f>I836/F836</f>
        <v>0.36363636363636365</v>
      </c>
    </row>
    <row r="837" spans="1:12" x14ac:dyDescent="0.25">
      <c r="A837">
        <v>280420</v>
      </c>
      <c r="B837" t="s">
        <v>18</v>
      </c>
      <c r="C837">
        <v>16</v>
      </c>
      <c r="D837">
        <v>2</v>
      </c>
      <c r="E837">
        <f>371-69</f>
        <v>302</v>
      </c>
      <c r="F837">
        <v>10</v>
      </c>
      <c r="G837">
        <v>4</v>
      </c>
      <c r="H837">
        <v>6</v>
      </c>
      <c r="I837">
        <v>5</v>
      </c>
      <c r="K837">
        <f>G837/I837</f>
        <v>0.8</v>
      </c>
      <c r="L837">
        <f>I837/F837</f>
        <v>0.5</v>
      </c>
    </row>
    <row r="838" spans="1:12" x14ac:dyDescent="0.25">
      <c r="A838">
        <v>280420</v>
      </c>
      <c r="B838" t="s">
        <v>18</v>
      </c>
      <c r="C838">
        <v>16</v>
      </c>
      <c r="D838">
        <v>3</v>
      </c>
      <c r="E838">
        <f>400-69</f>
        <v>331</v>
      </c>
      <c r="F838">
        <v>10</v>
      </c>
      <c r="J838" t="s">
        <v>0</v>
      </c>
    </row>
    <row r="839" spans="1:12" x14ac:dyDescent="0.25">
      <c r="A839">
        <v>280420</v>
      </c>
      <c r="B839" t="s">
        <v>18</v>
      </c>
      <c r="C839">
        <v>16</v>
      </c>
      <c r="D839">
        <v>4</v>
      </c>
      <c r="E839">
        <f>421-69</f>
        <v>352</v>
      </c>
      <c r="F839">
        <v>9</v>
      </c>
      <c r="G839">
        <v>3</v>
      </c>
      <c r="H839">
        <v>8</v>
      </c>
      <c r="I839">
        <v>4</v>
      </c>
      <c r="K839">
        <f t="shared" ref="K839:K859" si="102">G839/I839</f>
        <v>0.75</v>
      </c>
      <c r="L839">
        <f t="shared" ref="L839:L859" si="103">I839/F839</f>
        <v>0.44444444444444442</v>
      </c>
    </row>
    <row r="840" spans="1:12" x14ac:dyDescent="0.25">
      <c r="A840">
        <v>280420</v>
      </c>
      <c r="B840" t="s">
        <v>18</v>
      </c>
      <c r="C840">
        <v>16</v>
      </c>
      <c r="D840">
        <v>5</v>
      </c>
      <c r="E840">
        <f>478-69</f>
        <v>409</v>
      </c>
      <c r="F840">
        <v>8</v>
      </c>
      <c r="G840">
        <v>7</v>
      </c>
      <c r="H840">
        <v>5</v>
      </c>
      <c r="I840">
        <v>5</v>
      </c>
      <c r="K840">
        <f t="shared" si="102"/>
        <v>1.4</v>
      </c>
      <c r="L840">
        <f t="shared" si="103"/>
        <v>0.625</v>
      </c>
    </row>
    <row r="841" spans="1:12" x14ac:dyDescent="0.25">
      <c r="A841">
        <v>280420</v>
      </c>
      <c r="B841" t="s">
        <v>18</v>
      </c>
      <c r="C841">
        <v>17</v>
      </c>
      <c r="D841">
        <v>1</v>
      </c>
      <c r="E841">
        <f>170-84</f>
        <v>86</v>
      </c>
      <c r="F841">
        <v>8</v>
      </c>
      <c r="G841">
        <v>2</v>
      </c>
      <c r="H841">
        <v>3</v>
      </c>
      <c r="I841">
        <v>3</v>
      </c>
      <c r="K841">
        <f t="shared" si="102"/>
        <v>0.66666666666666663</v>
      </c>
      <c r="L841">
        <f t="shared" si="103"/>
        <v>0.375</v>
      </c>
    </row>
    <row r="842" spans="1:12" x14ac:dyDescent="0.25">
      <c r="A842">
        <v>280420</v>
      </c>
      <c r="B842" t="s">
        <v>18</v>
      </c>
      <c r="C842">
        <v>17</v>
      </c>
      <c r="D842">
        <v>2</v>
      </c>
      <c r="E842">
        <f>182-84</f>
        <v>98</v>
      </c>
      <c r="F842">
        <v>9</v>
      </c>
      <c r="G842">
        <v>5</v>
      </c>
      <c r="H842">
        <v>6</v>
      </c>
      <c r="I842">
        <v>4</v>
      </c>
      <c r="K842">
        <f t="shared" si="102"/>
        <v>1.25</v>
      </c>
      <c r="L842">
        <f t="shared" si="103"/>
        <v>0.44444444444444442</v>
      </c>
    </row>
    <row r="843" spans="1:12" x14ac:dyDescent="0.25">
      <c r="A843">
        <v>280420</v>
      </c>
      <c r="B843" t="s">
        <v>18</v>
      </c>
      <c r="C843">
        <v>17</v>
      </c>
      <c r="D843">
        <v>3</v>
      </c>
      <c r="E843">
        <f>364-84</f>
        <v>280</v>
      </c>
      <c r="F843">
        <v>10</v>
      </c>
      <c r="G843">
        <v>3</v>
      </c>
      <c r="H843">
        <v>7</v>
      </c>
      <c r="I843">
        <v>5</v>
      </c>
      <c r="K843">
        <f t="shared" si="102"/>
        <v>0.6</v>
      </c>
      <c r="L843">
        <f t="shared" si="103"/>
        <v>0.5</v>
      </c>
    </row>
    <row r="844" spans="1:12" x14ac:dyDescent="0.25">
      <c r="A844">
        <v>280420</v>
      </c>
      <c r="B844" t="s">
        <v>18</v>
      </c>
      <c r="C844">
        <v>17</v>
      </c>
      <c r="D844">
        <v>4</v>
      </c>
      <c r="E844">
        <f>419-84</f>
        <v>335</v>
      </c>
      <c r="F844">
        <v>9</v>
      </c>
      <c r="G844">
        <v>4</v>
      </c>
      <c r="H844">
        <v>3</v>
      </c>
      <c r="I844">
        <v>2</v>
      </c>
      <c r="K844">
        <f t="shared" si="102"/>
        <v>2</v>
      </c>
      <c r="L844">
        <f t="shared" si="103"/>
        <v>0.22222222222222221</v>
      </c>
    </row>
    <row r="845" spans="1:12" x14ac:dyDescent="0.25">
      <c r="A845">
        <v>280420</v>
      </c>
      <c r="B845" t="s">
        <v>18</v>
      </c>
      <c r="C845">
        <v>17</v>
      </c>
      <c r="D845">
        <v>5</v>
      </c>
      <c r="E845">
        <f>448-84</f>
        <v>364</v>
      </c>
      <c r="F845">
        <v>7</v>
      </c>
      <c r="G845">
        <v>3</v>
      </c>
      <c r="H845">
        <v>4</v>
      </c>
      <c r="I845">
        <v>3</v>
      </c>
      <c r="K845">
        <f t="shared" si="102"/>
        <v>1</v>
      </c>
      <c r="L845">
        <f t="shared" si="103"/>
        <v>0.42857142857142855</v>
      </c>
    </row>
    <row r="846" spans="1:12" x14ac:dyDescent="0.25">
      <c r="A846">
        <v>280420</v>
      </c>
      <c r="B846" t="s">
        <v>18</v>
      </c>
      <c r="C846">
        <v>17</v>
      </c>
      <c r="D846">
        <v>6</v>
      </c>
      <c r="E846">
        <f>460-84</f>
        <v>376</v>
      </c>
      <c r="F846">
        <v>8</v>
      </c>
      <c r="G846">
        <v>2</v>
      </c>
      <c r="H846">
        <v>3</v>
      </c>
      <c r="I846">
        <v>3</v>
      </c>
      <c r="K846">
        <f t="shared" si="102"/>
        <v>0.66666666666666663</v>
      </c>
      <c r="L846">
        <f t="shared" si="103"/>
        <v>0.375</v>
      </c>
    </row>
    <row r="847" spans="1:12" x14ac:dyDescent="0.25">
      <c r="A847">
        <v>280420</v>
      </c>
      <c r="B847" t="s">
        <v>18</v>
      </c>
      <c r="C847">
        <v>17</v>
      </c>
      <c r="D847">
        <v>7</v>
      </c>
      <c r="E847">
        <f>508-84</f>
        <v>424</v>
      </c>
      <c r="F847">
        <v>7</v>
      </c>
      <c r="G847">
        <v>3</v>
      </c>
      <c r="H847">
        <v>2</v>
      </c>
      <c r="I847">
        <v>3</v>
      </c>
      <c r="K847">
        <f t="shared" si="102"/>
        <v>1</v>
      </c>
      <c r="L847">
        <f t="shared" si="103"/>
        <v>0.42857142857142855</v>
      </c>
    </row>
    <row r="848" spans="1:12" x14ac:dyDescent="0.25">
      <c r="A848">
        <v>280420</v>
      </c>
      <c r="B848" t="s">
        <v>18</v>
      </c>
      <c r="C848">
        <v>17</v>
      </c>
      <c r="D848">
        <v>8</v>
      </c>
      <c r="E848">
        <f>535-84</f>
        <v>451</v>
      </c>
      <c r="F848">
        <v>8</v>
      </c>
      <c r="G848">
        <v>4</v>
      </c>
      <c r="H848">
        <v>4</v>
      </c>
      <c r="I848">
        <v>5</v>
      </c>
      <c r="K848">
        <f t="shared" si="102"/>
        <v>0.8</v>
      </c>
      <c r="L848">
        <f t="shared" si="103"/>
        <v>0.625</v>
      </c>
    </row>
    <row r="849" spans="1:13" x14ac:dyDescent="0.25">
      <c r="A849">
        <v>280420</v>
      </c>
      <c r="B849" t="s">
        <v>18</v>
      </c>
      <c r="C849">
        <v>17</v>
      </c>
      <c r="D849">
        <v>9</v>
      </c>
      <c r="E849">
        <f>542-84</f>
        <v>458</v>
      </c>
      <c r="F849">
        <v>8</v>
      </c>
      <c r="G849">
        <v>4</v>
      </c>
      <c r="H849">
        <v>4</v>
      </c>
      <c r="I849">
        <v>4</v>
      </c>
      <c r="K849">
        <f t="shared" si="102"/>
        <v>1</v>
      </c>
      <c r="L849">
        <f t="shared" si="103"/>
        <v>0.5</v>
      </c>
    </row>
    <row r="850" spans="1:13" x14ac:dyDescent="0.25">
      <c r="A850">
        <v>280420</v>
      </c>
      <c r="B850" t="s">
        <v>18</v>
      </c>
      <c r="C850">
        <v>18</v>
      </c>
      <c r="D850">
        <v>1</v>
      </c>
      <c r="E850">
        <f>189-82</f>
        <v>107</v>
      </c>
      <c r="F850">
        <v>8</v>
      </c>
      <c r="G850">
        <v>4</v>
      </c>
      <c r="H850">
        <v>7</v>
      </c>
      <c r="I850">
        <v>6</v>
      </c>
      <c r="K850">
        <f t="shared" si="102"/>
        <v>0.66666666666666663</v>
      </c>
      <c r="L850">
        <f t="shared" si="103"/>
        <v>0.75</v>
      </c>
    </row>
    <row r="851" spans="1:13" x14ac:dyDescent="0.25">
      <c r="A851">
        <v>280420</v>
      </c>
      <c r="B851" t="s">
        <v>18</v>
      </c>
      <c r="C851">
        <v>18</v>
      </c>
      <c r="D851">
        <v>2</v>
      </c>
      <c r="E851">
        <f>311-82</f>
        <v>229</v>
      </c>
      <c r="F851">
        <v>10</v>
      </c>
      <c r="G851">
        <v>4</v>
      </c>
      <c r="H851">
        <v>6</v>
      </c>
      <c r="I851">
        <v>4</v>
      </c>
      <c r="K851">
        <f t="shared" si="102"/>
        <v>1</v>
      </c>
      <c r="L851">
        <f t="shared" si="103"/>
        <v>0.4</v>
      </c>
    </row>
    <row r="852" spans="1:13" x14ac:dyDescent="0.25">
      <c r="A852">
        <v>280420</v>
      </c>
      <c r="B852" t="s">
        <v>18</v>
      </c>
      <c r="C852">
        <v>18</v>
      </c>
      <c r="D852">
        <v>3</v>
      </c>
      <c r="E852">
        <f>366-82</f>
        <v>284</v>
      </c>
      <c r="F852">
        <v>7</v>
      </c>
      <c r="G852">
        <v>3</v>
      </c>
      <c r="H852">
        <v>4</v>
      </c>
      <c r="I852">
        <v>4</v>
      </c>
      <c r="K852">
        <f t="shared" si="102"/>
        <v>0.75</v>
      </c>
      <c r="L852">
        <f t="shared" si="103"/>
        <v>0.5714285714285714</v>
      </c>
    </row>
    <row r="853" spans="1:13" x14ac:dyDescent="0.25">
      <c r="A853">
        <v>280420</v>
      </c>
      <c r="B853" t="s">
        <v>18</v>
      </c>
      <c r="C853">
        <v>18</v>
      </c>
      <c r="D853">
        <v>4</v>
      </c>
      <c r="E853">
        <f>500-82</f>
        <v>418</v>
      </c>
      <c r="F853">
        <v>8</v>
      </c>
      <c r="G853">
        <v>4</v>
      </c>
      <c r="H853">
        <v>4</v>
      </c>
      <c r="I853">
        <v>3</v>
      </c>
      <c r="K853">
        <f t="shared" si="102"/>
        <v>1.3333333333333333</v>
      </c>
      <c r="L853">
        <f t="shared" si="103"/>
        <v>0.375</v>
      </c>
    </row>
    <row r="854" spans="1:13" x14ac:dyDescent="0.25">
      <c r="A854">
        <v>280420</v>
      </c>
      <c r="B854" t="s">
        <v>18</v>
      </c>
      <c r="C854">
        <v>18</v>
      </c>
      <c r="D854">
        <v>5</v>
      </c>
      <c r="E854">
        <f>522-82</f>
        <v>440</v>
      </c>
      <c r="F854">
        <v>7</v>
      </c>
      <c r="G854">
        <v>5</v>
      </c>
      <c r="H854">
        <v>6</v>
      </c>
      <c r="I854">
        <v>5</v>
      </c>
      <c r="K854">
        <f t="shared" si="102"/>
        <v>1</v>
      </c>
      <c r="L854">
        <f t="shared" si="103"/>
        <v>0.7142857142857143</v>
      </c>
    </row>
    <row r="855" spans="1:13" x14ac:dyDescent="0.25">
      <c r="A855">
        <v>280420</v>
      </c>
      <c r="B855" t="s">
        <v>18</v>
      </c>
      <c r="C855">
        <v>19</v>
      </c>
      <c r="D855">
        <v>1</v>
      </c>
      <c r="E855">
        <f>407-78</f>
        <v>329</v>
      </c>
      <c r="F855">
        <v>12</v>
      </c>
      <c r="G855">
        <v>4</v>
      </c>
      <c r="H855">
        <v>9</v>
      </c>
      <c r="I855">
        <v>6</v>
      </c>
      <c r="K855">
        <f t="shared" si="102"/>
        <v>0.66666666666666663</v>
      </c>
      <c r="L855">
        <f t="shared" si="103"/>
        <v>0.5</v>
      </c>
    </row>
    <row r="856" spans="1:13" x14ac:dyDescent="0.25">
      <c r="A856">
        <v>280420</v>
      </c>
      <c r="B856" t="s">
        <v>18</v>
      </c>
      <c r="C856">
        <v>19</v>
      </c>
      <c r="D856">
        <v>2</v>
      </c>
      <c r="E856">
        <f>529-78</f>
        <v>451</v>
      </c>
      <c r="F856">
        <v>12</v>
      </c>
      <c r="G856">
        <v>4</v>
      </c>
      <c r="H856">
        <v>6</v>
      </c>
      <c r="I856">
        <v>4</v>
      </c>
      <c r="K856">
        <f t="shared" si="102"/>
        <v>1</v>
      </c>
      <c r="L856">
        <f t="shared" si="103"/>
        <v>0.33333333333333331</v>
      </c>
    </row>
    <row r="857" spans="1:13" x14ac:dyDescent="0.25">
      <c r="A857">
        <v>280420</v>
      </c>
      <c r="B857" t="s">
        <v>18</v>
      </c>
      <c r="C857">
        <v>19</v>
      </c>
      <c r="D857">
        <v>3</v>
      </c>
      <c r="E857">
        <f>593-78</f>
        <v>515</v>
      </c>
      <c r="F857">
        <v>12</v>
      </c>
      <c r="G857">
        <v>5</v>
      </c>
      <c r="H857">
        <v>6</v>
      </c>
      <c r="I857">
        <v>5</v>
      </c>
      <c r="K857">
        <f t="shared" si="102"/>
        <v>1</v>
      </c>
      <c r="L857">
        <f t="shared" si="103"/>
        <v>0.41666666666666669</v>
      </c>
    </row>
    <row r="858" spans="1:13" x14ac:dyDescent="0.25">
      <c r="A858">
        <v>280420</v>
      </c>
      <c r="B858" t="s">
        <v>18</v>
      </c>
      <c r="C858">
        <v>19</v>
      </c>
      <c r="D858">
        <v>4</v>
      </c>
      <c r="E858">
        <f>628-78</f>
        <v>550</v>
      </c>
      <c r="F858">
        <v>10</v>
      </c>
      <c r="G858">
        <v>7</v>
      </c>
      <c r="H858">
        <v>6</v>
      </c>
      <c r="I858">
        <v>6</v>
      </c>
      <c r="K858">
        <f t="shared" si="102"/>
        <v>1.1666666666666667</v>
      </c>
      <c r="L858">
        <f t="shared" si="103"/>
        <v>0.6</v>
      </c>
    </row>
    <row r="859" spans="1:13" x14ac:dyDescent="0.25">
      <c r="A859">
        <v>280420</v>
      </c>
      <c r="B859" t="s">
        <v>18</v>
      </c>
      <c r="C859">
        <v>19</v>
      </c>
      <c r="D859">
        <v>5</v>
      </c>
      <c r="E859">
        <f>758-78</f>
        <v>680</v>
      </c>
      <c r="F859">
        <v>11</v>
      </c>
      <c r="G859">
        <v>6</v>
      </c>
      <c r="H859">
        <v>7</v>
      </c>
      <c r="I859">
        <v>6</v>
      </c>
      <c r="K859">
        <f t="shared" si="102"/>
        <v>1</v>
      </c>
      <c r="L859">
        <f t="shared" si="103"/>
        <v>0.54545454545454541</v>
      </c>
    </row>
    <row r="860" spans="1:13" x14ac:dyDescent="0.25">
      <c r="A860">
        <v>130618</v>
      </c>
      <c r="B860" t="s">
        <v>18</v>
      </c>
      <c r="C860">
        <v>1</v>
      </c>
      <c r="D860">
        <v>1</v>
      </c>
      <c r="E860">
        <f>11*2-(6*2)</f>
        <v>10</v>
      </c>
      <c r="F860">
        <v>12.4</v>
      </c>
      <c r="G860">
        <v>2.8</v>
      </c>
      <c r="H860">
        <v>9.8000000000000007</v>
      </c>
      <c r="I860">
        <v>5.8</v>
      </c>
      <c r="K860">
        <f t="shared" ref="K860:K912" si="104">G860/I860</f>
        <v>0.48275862068965514</v>
      </c>
      <c r="L860">
        <f t="shared" ref="L860:L912" si="105">I860/F860</f>
        <v>0.46774193548387094</v>
      </c>
    </row>
    <row r="861" spans="1:13" x14ac:dyDescent="0.25">
      <c r="A861">
        <v>130618</v>
      </c>
      <c r="B861" t="s">
        <v>18</v>
      </c>
      <c r="C861">
        <v>1</v>
      </c>
      <c r="D861">
        <v>2</v>
      </c>
      <c r="E861">
        <f>44*2-(6*2)</f>
        <v>76</v>
      </c>
      <c r="F861">
        <v>16.2</v>
      </c>
      <c r="G861">
        <v>3.3</v>
      </c>
      <c r="H861">
        <v>7.8</v>
      </c>
      <c r="I861">
        <v>3.7</v>
      </c>
      <c r="K861">
        <f t="shared" si="104"/>
        <v>0.89189189189189177</v>
      </c>
      <c r="L861">
        <f t="shared" si="105"/>
        <v>0.22839506172839508</v>
      </c>
    </row>
    <row r="862" spans="1:13" x14ac:dyDescent="0.25">
      <c r="A862">
        <v>130618</v>
      </c>
      <c r="B862" t="s">
        <v>18</v>
      </c>
      <c r="C862">
        <v>1</v>
      </c>
      <c r="D862">
        <v>3</v>
      </c>
      <c r="E862">
        <f>54*2-(6*2)</f>
        <v>96</v>
      </c>
      <c r="F862">
        <v>13.2</v>
      </c>
      <c r="G862">
        <v>4</v>
      </c>
      <c r="H862">
        <v>6.1</v>
      </c>
      <c r="I862">
        <v>4.7</v>
      </c>
      <c r="K862">
        <f t="shared" si="104"/>
        <v>0.85106382978723405</v>
      </c>
      <c r="L862">
        <f t="shared" si="105"/>
        <v>0.35606060606060608</v>
      </c>
    </row>
    <row r="863" spans="1:13" x14ac:dyDescent="0.25">
      <c r="A863">
        <v>130618</v>
      </c>
      <c r="B863" t="s">
        <v>18</v>
      </c>
      <c r="C863">
        <v>1</v>
      </c>
      <c r="D863">
        <v>4</v>
      </c>
      <c r="E863">
        <f>210*2-(6*2)</f>
        <v>408</v>
      </c>
      <c r="M863" t="s">
        <v>2</v>
      </c>
    </row>
    <row r="864" spans="1:13" x14ac:dyDescent="0.25">
      <c r="A864">
        <v>130618</v>
      </c>
      <c r="B864" t="s">
        <v>18</v>
      </c>
      <c r="C864">
        <v>1</v>
      </c>
      <c r="D864">
        <v>5</v>
      </c>
      <c r="E864">
        <f>239*2-(6*2)</f>
        <v>466</v>
      </c>
      <c r="F864">
        <v>9.4</v>
      </c>
      <c r="G864">
        <v>4.9000000000000004</v>
      </c>
      <c r="H864">
        <v>5.5</v>
      </c>
      <c r="I864">
        <v>4.9000000000000004</v>
      </c>
      <c r="K864">
        <f t="shared" si="104"/>
        <v>1</v>
      </c>
      <c r="L864">
        <f t="shared" si="105"/>
        <v>0.52127659574468088</v>
      </c>
    </row>
    <row r="865" spans="1:13" x14ac:dyDescent="0.25">
      <c r="A865">
        <v>130618</v>
      </c>
      <c r="B865" t="s">
        <v>18</v>
      </c>
      <c r="C865">
        <v>1</v>
      </c>
      <c r="D865">
        <v>6</v>
      </c>
      <c r="E865">
        <f>274*2-(6*2)</f>
        <v>536</v>
      </c>
      <c r="F865">
        <v>9.9</v>
      </c>
      <c r="G865">
        <v>3.7</v>
      </c>
      <c r="H865">
        <v>4.5</v>
      </c>
      <c r="I865">
        <v>5.2</v>
      </c>
      <c r="K865">
        <f t="shared" si="104"/>
        <v>0.71153846153846156</v>
      </c>
      <c r="L865">
        <f t="shared" si="105"/>
        <v>0.5252525252525253</v>
      </c>
    </row>
    <row r="866" spans="1:13" x14ac:dyDescent="0.25">
      <c r="A866">
        <v>130618</v>
      </c>
      <c r="B866" t="s">
        <v>18</v>
      </c>
      <c r="C866">
        <v>1</v>
      </c>
      <c r="D866">
        <v>7</v>
      </c>
      <c r="E866">
        <f>304*2-(6*2)</f>
        <v>596</v>
      </c>
      <c r="F866">
        <v>9.3000000000000007</v>
      </c>
      <c r="G866">
        <v>6.2</v>
      </c>
      <c r="H866">
        <v>5.7</v>
      </c>
      <c r="I866">
        <v>6</v>
      </c>
      <c r="K866">
        <f t="shared" si="104"/>
        <v>1.0333333333333334</v>
      </c>
      <c r="L866">
        <f t="shared" si="105"/>
        <v>0.64516129032258063</v>
      </c>
    </row>
    <row r="867" spans="1:13" x14ac:dyDescent="0.25">
      <c r="A867">
        <v>130618</v>
      </c>
      <c r="B867" t="s">
        <v>18</v>
      </c>
      <c r="C867">
        <v>1</v>
      </c>
      <c r="D867">
        <v>8</v>
      </c>
      <c r="E867">
        <f>311*2-(6*2)</f>
        <v>610</v>
      </c>
      <c r="F867">
        <v>7.3</v>
      </c>
      <c r="G867">
        <v>3.9</v>
      </c>
      <c r="H867">
        <v>4.0999999999999996</v>
      </c>
      <c r="I867">
        <v>4.4000000000000004</v>
      </c>
      <c r="K867">
        <f t="shared" si="104"/>
        <v>0.88636363636363624</v>
      </c>
      <c r="L867">
        <f t="shared" si="105"/>
        <v>0.60273972602739734</v>
      </c>
    </row>
    <row r="868" spans="1:13" x14ac:dyDescent="0.25">
      <c r="A868">
        <v>130618</v>
      </c>
      <c r="B868" t="s">
        <v>18</v>
      </c>
      <c r="C868">
        <v>1</v>
      </c>
      <c r="D868">
        <v>9</v>
      </c>
      <c r="E868">
        <f>312*2-(6*2)</f>
        <v>612</v>
      </c>
      <c r="F868">
        <v>5.2</v>
      </c>
      <c r="G868">
        <v>3.7</v>
      </c>
      <c r="H868">
        <v>3.1</v>
      </c>
      <c r="I868">
        <v>3.8</v>
      </c>
      <c r="K868">
        <f t="shared" si="104"/>
        <v>0.97368421052631593</v>
      </c>
      <c r="L868">
        <f t="shared" si="105"/>
        <v>0.73076923076923073</v>
      </c>
    </row>
    <row r="869" spans="1:13" x14ac:dyDescent="0.25">
      <c r="A869">
        <v>130618</v>
      </c>
      <c r="B869" t="s">
        <v>18</v>
      </c>
      <c r="C869">
        <v>1</v>
      </c>
      <c r="D869">
        <v>10</v>
      </c>
      <c r="E869">
        <f>315*2-(6*2)</f>
        <v>618</v>
      </c>
      <c r="M869" t="s">
        <v>8</v>
      </c>
    </row>
    <row r="870" spans="1:13" x14ac:dyDescent="0.25">
      <c r="A870">
        <v>130618</v>
      </c>
      <c r="B870" t="s">
        <v>18</v>
      </c>
      <c r="C870">
        <v>2</v>
      </c>
      <c r="D870">
        <v>1</v>
      </c>
      <c r="E870">
        <f>23*2-(3*2)</f>
        <v>40</v>
      </c>
      <c r="F870">
        <v>8.6</v>
      </c>
      <c r="G870">
        <v>2.7</v>
      </c>
      <c r="H870">
        <v>8.3000000000000007</v>
      </c>
      <c r="I870">
        <v>3.7</v>
      </c>
      <c r="K870">
        <f t="shared" si="104"/>
        <v>0.72972972972972971</v>
      </c>
      <c r="L870">
        <f t="shared" si="105"/>
        <v>0.43023255813953493</v>
      </c>
    </row>
    <row r="871" spans="1:13" x14ac:dyDescent="0.25">
      <c r="A871">
        <v>130618</v>
      </c>
      <c r="B871" t="s">
        <v>18</v>
      </c>
      <c r="C871">
        <v>2</v>
      </c>
      <c r="D871">
        <v>2</v>
      </c>
      <c r="E871">
        <f>68*2-(3*2)</f>
        <v>130</v>
      </c>
      <c r="F871">
        <v>6.5</v>
      </c>
      <c r="G871">
        <v>1.8</v>
      </c>
      <c r="H871">
        <v>5.8</v>
      </c>
      <c r="I871">
        <v>2.8</v>
      </c>
      <c r="K871">
        <f t="shared" si="104"/>
        <v>0.6428571428571429</v>
      </c>
      <c r="L871">
        <f t="shared" si="105"/>
        <v>0.43076923076923074</v>
      </c>
    </row>
    <row r="872" spans="1:13" x14ac:dyDescent="0.25">
      <c r="A872">
        <v>130618</v>
      </c>
      <c r="B872" t="s">
        <v>18</v>
      </c>
      <c r="C872">
        <v>2</v>
      </c>
      <c r="D872">
        <v>3</v>
      </c>
      <c r="E872">
        <f>147*2-(3*2)</f>
        <v>288</v>
      </c>
      <c r="F872">
        <v>7.9</v>
      </c>
      <c r="G872">
        <v>2.8</v>
      </c>
      <c r="H872">
        <v>3</v>
      </c>
      <c r="I872">
        <v>3.4</v>
      </c>
      <c r="K872">
        <f t="shared" si="104"/>
        <v>0.82352941176470584</v>
      </c>
      <c r="L872">
        <f t="shared" si="105"/>
        <v>0.430379746835443</v>
      </c>
    </row>
    <row r="873" spans="1:13" x14ac:dyDescent="0.25">
      <c r="A873">
        <v>130618</v>
      </c>
      <c r="B873" t="s">
        <v>18</v>
      </c>
      <c r="C873">
        <v>2</v>
      </c>
      <c r="D873">
        <v>4</v>
      </c>
      <c r="E873">
        <f>172*2-(3*2)</f>
        <v>338</v>
      </c>
      <c r="F873">
        <v>9</v>
      </c>
      <c r="J873" t="s">
        <v>0</v>
      </c>
    </row>
    <row r="874" spans="1:13" x14ac:dyDescent="0.25">
      <c r="A874">
        <v>130618</v>
      </c>
      <c r="B874" t="s">
        <v>18</v>
      </c>
      <c r="C874">
        <v>2</v>
      </c>
      <c r="D874">
        <v>5</v>
      </c>
      <c r="E874">
        <f>200*2-(3*2)</f>
        <v>394</v>
      </c>
      <c r="F874">
        <v>7.3</v>
      </c>
      <c r="G874">
        <v>3.6</v>
      </c>
      <c r="H874">
        <v>2.7</v>
      </c>
      <c r="I874">
        <v>2.8</v>
      </c>
      <c r="K874">
        <f t="shared" si="104"/>
        <v>1.2857142857142858</v>
      </c>
      <c r="L874">
        <f t="shared" si="105"/>
        <v>0.38356164383561642</v>
      </c>
    </row>
    <row r="875" spans="1:13" x14ac:dyDescent="0.25">
      <c r="A875">
        <v>130618</v>
      </c>
      <c r="B875" t="s">
        <v>18</v>
      </c>
      <c r="C875">
        <v>2</v>
      </c>
      <c r="D875">
        <v>6</v>
      </c>
      <c r="E875">
        <f>219*2-(3*2)</f>
        <v>432</v>
      </c>
      <c r="F875">
        <v>6.6</v>
      </c>
      <c r="G875">
        <v>3.8</v>
      </c>
      <c r="H875">
        <v>3.4</v>
      </c>
      <c r="I875">
        <v>3.9</v>
      </c>
      <c r="K875">
        <f t="shared" si="104"/>
        <v>0.97435897435897434</v>
      </c>
      <c r="L875">
        <f t="shared" si="105"/>
        <v>0.59090909090909094</v>
      </c>
    </row>
    <row r="876" spans="1:13" x14ac:dyDescent="0.25">
      <c r="A876">
        <v>130618</v>
      </c>
      <c r="B876" t="s">
        <v>18</v>
      </c>
      <c r="C876">
        <v>2</v>
      </c>
      <c r="D876">
        <v>7</v>
      </c>
      <c r="E876">
        <f>222*2-(3*2)</f>
        <v>438</v>
      </c>
      <c r="F876">
        <v>7.8</v>
      </c>
      <c r="G876">
        <v>4.2</v>
      </c>
      <c r="H876">
        <v>4</v>
      </c>
      <c r="I876">
        <v>5.0999999999999996</v>
      </c>
      <c r="K876">
        <f t="shared" si="104"/>
        <v>0.82352941176470595</v>
      </c>
      <c r="L876">
        <f t="shared" si="105"/>
        <v>0.65384615384615385</v>
      </c>
    </row>
    <row r="877" spans="1:13" x14ac:dyDescent="0.25">
      <c r="A877">
        <v>130618</v>
      </c>
      <c r="B877" t="s">
        <v>18</v>
      </c>
      <c r="C877">
        <v>3</v>
      </c>
      <c r="D877">
        <v>1</v>
      </c>
      <c r="E877">
        <f>65*2-(13*2)</f>
        <v>104</v>
      </c>
      <c r="F877">
        <v>18.7</v>
      </c>
      <c r="G877">
        <v>5.8</v>
      </c>
      <c r="H877">
        <v>8.1</v>
      </c>
      <c r="I877">
        <v>6.9</v>
      </c>
      <c r="K877">
        <f t="shared" si="104"/>
        <v>0.84057971014492749</v>
      </c>
      <c r="L877">
        <f t="shared" si="105"/>
        <v>0.36898395721925137</v>
      </c>
    </row>
    <row r="878" spans="1:13" x14ac:dyDescent="0.25">
      <c r="A878">
        <v>130618</v>
      </c>
      <c r="B878" t="s">
        <v>18</v>
      </c>
      <c r="C878">
        <v>3</v>
      </c>
      <c r="D878">
        <v>3</v>
      </c>
      <c r="E878">
        <f>320*2-(13*2)</f>
        <v>614</v>
      </c>
      <c r="F878">
        <v>14.9</v>
      </c>
      <c r="G878">
        <v>4.8</v>
      </c>
      <c r="H878">
        <v>5.6</v>
      </c>
      <c r="I878">
        <v>4.8</v>
      </c>
      <c r="K878">
        <f t="shared" si="104"/>
        <v>1</v>
      </c>
      <c r="L878">
        <f t="shared" si="105"/>
        <v>0.32214765100671139</v>
      </c>
    </row>
    <row r="879" spans="1:13" x14ac:dyDescent="0.25">
      <c r="A879">
        <v>130618</v>
      </c>
      <c r="B879" t="s">
        <v>18</v>
      </c>
      <c r="C879">
        <v>4</v>
      </c>
      <c r="D879">
        <v>1</v>
      </c>
      <c r="E879">
        <f>84*2-(12*2)</f>
        <v>144</v>
      </c>
      <c r="F879">
        <v>15.5</v>
      </c>
      <c r="J879" t="s">
        <v>0</v>
      </c>
    </row>
    <row r="880" spans="1:13" x14ac:dyDescent="0.25">
      <c r="A880">
        <v>130618</v>
      </c>
      <c r="B880" t="s">
        <v>18</v>
      </c>
      <c r="C880">
        <v>4</v>
      </c>
      <c r="D880">
        <v>2</v>
      </c>
      <c r="E880">
        <f>237*2-(12*2)</f>
        <v>450</v>
      </c>
      <c r="F880">
        <v>11.1</v>
      </c>
      <c r="G880">
        <v>4.5</v>
      </c>
      <c r="H880">
        <v>4</v>
      </c>
      <c r="I880">
        <v>4.5</v>
      </c>
      <c r="K880">
        <f t="shared" si="104"/>
        <v>1</v>
      </c>
      <c r="L880">
        <f t="shared" si="105"/>
        <v>0.40540540540540543</v>
      </c>
    </row>
    <row r="881" spans="1:13" x14ac:dyDescent="0.25">
      <c r="A881">
        <v>130618</v>
      </c>
      <c r="B881" t="s">
        <v>18</v>
      </c>
      <c r="C881">
        <v>4</v>
      </c>
      <c r="D881">
        <v>3</v>
      </c>
      <c r="E881">
        <f>260*2-(12*2)</f>
        <v>496</v>
      </c>
      <c r="F881">
        <v>12.3</v>
      </c>
      <c r="J881" t="s">
        <v>0</v>
      </c>
    </row>
    <row r="882" spans="1:13" x14ac:dyDescent="0.25">
      <c r="A882">
        <v>130618</v>
      </c>
      <c r="B882" t="s">
        <v>18</v>
      </c>
      <c r="C882">
        <v>4</v>
      </c>
      <c r="D882">
        <v>4</v>
      </c>
      <c r="E882">
        <f>292*2-(12*2)</f>
        <v>560</v>
      </c>
      <c r="F882">
        <v>10.7</v>
      </c>
      <c r="G882">
        <v>5.3</v>
      </c>
      <c r="H882">
        <v>6.4</v>
      </c>
      <c r="I882">
        <v>4.2</v>
      </c>
      <c r="K882">
        <f t="shared" si="104"/>
        <v>1.2619047619047619</v>
      </c>
      <c r="L882">
        <f t="shared" si="105"/>
        <v>0.39252336448598135</v>
      </c>
    </row>
    <row r="883" spans="1:13" x14ac:dyDescent="0.25">
      <c r="A883">
        <v>130618</v>
      </c>
      <c r="B883" t="s">
        <v>18</v>
      </c>
      <c r="C883">
        <v>4</v>
      </c>
      <c r="D883">
        <v>5</v>
      </c>
      <c r="E883">
        <f>306*2-(12*2)</f>
        <v>588</v>
      </c>
      <c r="F883">
        <v>9</v>
      </c>
      <c r="G883">
        <v>3.6</v>
      </c>
      <c r="H883">
        <v>6.2</v>
      </c>
      <c r="I883">
        <v>4.2</v>
      </c>
      <c r="K883">
        <f t="shared" si="104"/>
        <v>0.8571428571428571</v>
      </c>
      <c r="L883">
        <f t="shared" si="105"/>
        <v>0.46666666666666667</v>
      </c>
      <c r="M883" t="s">
        <v>9</v>
      </c>
    </row>
    <row r="884" spans="1:13" x14ac:dyDescent="0.25">
      <c r="A884">
        <v>130618</v>
      </c>
      <c r="B884" t="s">
        <v>18</v>
      </c>
      <c r="C884">
        <v>5</v>
      </c>
      <c r="D884">
        <v>1</v>
      </c>
      <c r="E884">
        <f>90*2-(22*2)</f>
        <v>136</v>
      </c>
      <c r="F884">
        <v>16.8</v>
      </c>
      <c r="G884">
        <v>2.2000000000000002</v>
      </c>
      <c r="H884">
        <v>4.8</v>
      </c>
      <c r="I884">
        <v>7</v>
      </c>
      <c r="K884">
        <f t="shared" si="104"/>
        <v>0.31428571428571433</v>
      </c>
      <c r="L884">
        <f t="shared" si="105"/>
        <v>0.41666666666666663</v>
      </c>
    </row>
    <row r="885" spans="1:13" x14ac:dyDescent="0.25">
      <c r="A885">
        <v>130618</v>
      </c>
      <c r="B885" t="s">
        <v>18</v>
      </c>
      <c r="C885">
        <v>5</v>
      </c>
      <c r="D885">
        <v>2</v>
      </c>
      <c r="E885">
        <f>257*2-(22*2)</f>
        <v>470</v>
      </c>
      <c r="F885">
        <v>13.2</v>
      </c>
      <c r="M885" t="s">
        <v>2</v>
      </c>
    </row>
    <row r="886" spans="1:13" x14ac:dyDescent="0.25">
      <c r="A886">
        <v>130618</v>
      </c>
      <c r="B886" t="s">
        <v>18</v>
      </c>
      <c r="C886">
        <v>5</v>
      </c>
      <c r="D886">
        <v>3</v>
      </c>
      <c r="E886">
        <f>271*2-(22*2)</f>
        <v>498</v>
      </c>
      <c r="F886">
        <v>12.6</v>
      </c>
      <c r="G886">
        <v>5.5</v>
      </c>
      <c r="H886">
        <v>6.1</v>
      </c>
      <c r="I886">
        <v>5.6</v>
      </c>
      <c r="K886">
        <f t="shared" si="104"/>
        <v>0.98214285714285721</v>
      </c>
      <c r="L886">
        <f t="shared" si="105"/>
        <v>0.44444444444444442</v>
      </c>
    </row>
    <row r="887" spans="1:13" x14ac:dyDescent="0.25">
      <c r="A887">
        <v>130618</v>
      </c>
      <c r="B887" t="s">
        <v>18</v>
      </c>
      <c r="C887">
        <v>5</v>
      </c>
      <c r="D887">
        <v>1</v>
      </c>
      <c r="E887">
        <v>0</v>
      </c>
      <c r="F887">
        <v>11.2</v>
      </c>
      <c r="G887">
        <v>6.2</v>
      </c>
      <c r="H887">
        <v>6.5</v>
      </c>
      <c r="I887">
        <v>8.3000000000000007</v>
      </c>
      <c r="K887">
        <f t="shared" si="104"/>
        <v>0.74698795180722888</v>
      </c>
      <c r="L887">
        <f t="shared" si="105"/>
        <v>0.74107142857142871</v>
      </c>
    </row>
    <row r="888" spans="1:13" x14ac:dyDescent="0.25">
      <c r="A888">
        <v>130618</v>
      </c>
      <c r="B888" t="s">
        <v>18</v>
      </c>
      <c r="C888">
        <v>5</v>
      </c>
      <c r="D888">
        <v>2</v>
      </c>
      <c r="E888">
        <f>63*2-(12*2)</f>
        <v>102</v>
      </c>
      <c r="F888">
        <v>8.1999999999999993</v>
      </c>
      <c r="G888">
        <v>3.4</v>
      </c>
      <c r="H888">
        <v>5.6</v>
      </c>
      <c r="I888">
        <v>5</v>
      </c>
      <c r="K888">
        <f t="shared" si="104"/>
        <v>0.67999999999999994</v>
      </c>
      <c r="L888">
        <f t="shared" si="105"/>
        <v>0.60975609756097571</v>
      </c>
    </row>
    <row r="889" spans="1:13" x14ac:dyDescent="0.25">
      <c r="A889">
        <v>130618</v>
      </c>
      <c r="B889" t="s">
        <v>18</v>
      </c>
      <c r="C889">
        <v>5</v>
      </c>
      <c r="D889">
        <v>3</v>
      </c>
      <c r="E889">
        <f>121*2-(12*2)</f>
        <v>218</v>
      </c>
      <c r="F889">
        <v>7</v>
      </c>
      <c r="M889" t="s">
        <v>2</v>
      </c>
    </row>
    <row r="890" spans="1:13" x14ac:dyDescent="0.25">
      <c r="A890">
        <v>130618</v>
      </c>
      <c r="B890" t="s">
        <v>18</v>
      </c>
      <c r="C890">
        <v>6</v>
      </c>
      <c r="D890">
        <v>1</v>
      </c>
      <c r="E890">
        <f>150*2-(7*2)</f>
        <v>286</v>
      </c>
      <c r="F890">
        <v>12.9</v>
      </c>
      <c r="M890" t="s">
        <v>2</v>
      </c>
    </row>
    <row r="891" spans="1:13" x14ac:dyDescent="0.25">
      <c r="A891">
        <v>130618</v>
      </c>
      <c r="B891" t="s">
        <v>18</v>
      </c>
      <c r="C891">
        <v>6</v>
      </c>
      <c r="D891">
        <v>2</v>
      </c>
      <c r="E891">
        <f>228*2-(7*2)</f>
        <v>442</v>
      </c>
      <c r="F891">
        <v>11.7</v>
      </c>
      <c r="G891">
        <v>3.3</v>
      </c>
      <c r="H891">
        <v>4.8</v>
      </c>
      <c r="I891">
        <v>3.2</v>
      </c>
      <c r="K891">
        <f t="shared" si="104"/>
        <v>1.0312499999999998</v>
      </c>
      <c r="L891">
        <f t="shared" si="105"/>
        <v>0.27350427350427353</v>
      </c>
    </row>
    <row r="892" spans="1:13" x14ac:dyDescent="0.25">
      <c r="A892">
        <v>130618</v>
      </c>
      <c r="B892" t="s">
        <v>18</v>
      </c>
      <c r="C892">
        <v>6</v>
      </c>
      <c r="D892">
        <v>3</v>
      </c>
      <c r="E892">
        <f>247*2-(7*2)</f>
        <v>480</v>
      </c>
      <c r="F892">
        <v>8.6999999999999993</v>
      </c>
      <c r="G892">
        <v>4.3</v>
      </c>
      <c r="H892">
        <v>3.6</v>
      </c>
      <c r="I892">
        <v>4</v>
      </c>
      <c r="K892">
        <f t="shared" si="104"/>
        <v>1.075</v>
      </c>
      <c r="L892">
        <f t="shared" si="105"/>
        <v>0.45977011494252878</v>
      </c>
    </row>
    <row r="893" spans="1:13" x14ac:dyDescent="0.25">
      <c r="A893">
        <v>130618</v>
      </c>
      <c r="B893" t="s">
        <v>18</v>
      </c>
      <c r="C893">
        <v>6</v>
      </c>
      <c r="D893">
        <v>4</v>
      </c>
      <c r="E893">
        <f>262*2-(7*2)</f>
        <v>510</v>
      </c>
      <c r="F893">
        <v>9.6</v>
      </c>
      <c r="G893">
        <v>3</v>
      </c>
      <c r="H893">
        <v>2.5</v>
      </c>
      <c r="I893">
        <v>2.7</v>
      </c>
      <c r="K893">
        <f t="shared" si="104"/>
        <v>1.1111111111111109</v>
      </c>
      <c r="L893">
        <f t="shared" si="105"/>
        <v>0.28125000000000006</v>
      </c>
    </row>
    <row r="894" spans="1:13" x14ac:dyDescent="0.25">
      <c r="A894">
        <v>130618</v>
      </c>
      <c r="B894" t="s">
        <v>18</v>
      </c>
      <c r="C894">
        <v>6</v>
      </c>
      <c r="D894">
        <v>5</v>
      </c>
      <c r="E894">
        <f>262*2-(7*2)</f>
        <v>510</v>
      </c>
      <c r="F894">
        <v>9.6</v>
      </c>
      <c r="G894">
        <v>5.8</v>
      </c>
      <c r="H894">
        <v>6.7</v>
      </c>
      <c r="I894">
        <v>5.4</v>
      </c>
      <c r="K894">
        <f t="shared" si="104"/>
        <v>1.074074074074074</v>
      </c>
      <c r="L894">
        <f t="shared" si="105"/>
        <v>0.56250000000000011</v>
      </c>
    </row>
    <row r="895" spans="1:13" x14ac:dyDescent="0.25">
      <c r="A895">
        <v>130618</v>
      </c>
      <c r="B895" t="s">
        <v>18</v>
      </c>
      <c r="C895">
        <v>7</v>
      </c>
      <c r="D895">
        <v>1</v>
      </c>
      <c r="E895">
        <f>35*2-(7*2)</f>
        <v>56</v>
      </c>
      <c r="F895">
        <v>9.1</v>
      </c>
      <c r="G895">
        <v>4.7</v>
      </c>
      <c r="H895">
        <v>5.7</v>
      </c>
      <c r="I895">
        <v>4.5999999999999996</v>
      </c>
      <c r="K895">
        <f t="shared" si="104"/>
        <v>1.0217391304347827</v>
      </c>
      <c r="L895">
        <f t="shared" si="105"/>
        <v>0.50549450549450547</v>
      </c>
    </row>
    <row r="896" spans="1:13" x14ac:dyDescent="0.25">
      <c r="A896">
        <v>130618</v>
      </c>
      <c r="B896" t="s">
        <v>18</v>
      </c>
      <c r="C896">
        <v>7</v>
      </c>
      <c r="D896">
        <v>2</v>
      </c>
      <c r="E896">
        <f>129*2-(7*2)</f>
        <v>244</v>
      </c>
      <c r="F896">
        <v>9.1999999999999993</v>
      </c>
      <c r="G896">
        <v>5.5</v>
      </c>
      <c r="H896">
        <v>5.3</v>
      </c>
      <c r="I896">
        <v>3.8</v>
      </c>
      <c r="K896">
        <f t="shared" si="104"/>
        <v>1.4473684210526316</v>
      </c>
      <c r="L896">
        <f t="shared" si="105"/>
        <v>0.41304347826086957</v>
      </c>
    </row>
    <row r="897" spans="1:13" x14ac:dyDescent="0.25">
      <c r="A897">
        <v>130618</v>
      </c>
      <c r="B897" t="s">
        <v>18</v>
      </c>
      <c r="C897">
        <v>7</v>
      </c>
      <c r="D897">
        <v>3</v>
      </c>
      <c r="E897">
        <f>154*2-(7*2)</f>
        <v>294</v>
      </c>
      <c r="F897">
        <v>11.8</v>
      </c>
      <c r="G897">
        <v>5.7</v>
      </c>
      <c r="H897">
        <v>5.3</v>
      </c>
      <c r="I897">
        <v>4.0999999999999996</v>
      </c>
      <c r="K897">
        <f t="shared" si="104"/>
        <v>1.3902439024390245</v>
      </c>
      <c r="L897">
        <f t="shared" si="105"/>
        <v>0.34745762711864403</v>
      </c>
    </row>
    <row r="898" spans="1:13" x14ac:dyDescent="0.25">
      <c r="A898">
        <v>130618</v>
      </c>
      <c r="B898" t="s">
        <v>18</v>
      </c>
      <c r="C898">
        <v>7</v>
      </c>
      <c r="D898">
        <v>4</v>
      </c>
      <c r="E898">
        <f>152*2-(7*2)</f>
        <v>290</v>
      </c>
      <c r="F898">
        <v>10</v>
      </c>
      <c r="G898">
        <v>2.9</v>
      </c>
      <c r="H898">
        <v>3</v>
      </c>
      <c r="I898">
        <v>3.8</v>
      </c>
      <c r="K898">
        <f t="shared" si="104"/>
        <v>0.76315789473684215</v>
      </c>
      <c r="L898">
        <f t="shared" si="105"/>
        <v>0.38</v>
      </c>
    </row>
    <row r="899" spans="1:13" x14ac:dyDescent="0.25">
      <c r="A899">
        <v>130618</v>
      </c>
      <c r="B899" t="s">
        <v>18</v>
      </c>
      <c r="C899">
        <v>7</v>
      </c>
      <c r="D899">
        <v>5</v>
      </c>
      <c r="E899">
        <f>169*2-(7*2)</f>
        <v>324</v>
      </c>
      <c r="F899">
        <v>9.5</v>
      </c>
      <c r="M899" t="s">
        <v>2</v>
      </c>
    </row>
    <row r="900" spans="1:13" x14ac:dyDescent="0.25">
      <c r="A900">
        <v>130618</v>
      </c>
      <c r="B900" t="s">
        <v>18</v>
      </c>
      <c r="C900">
        <v>8</v>
      </c>
      <c r="D900">
        <v>1</v>
      </c>
      <c r="E900">
        <f>33*2-(7*2)</f>
        <v>52</v>
      </c>
      <c r="F900">
        <v>15.1</v>
      </c>
      <c r="G900">
        <v>3.6</v>
      </c>
      <c r="H900">
        <v>4.4000000000000004</v>
      </c>
      <c r="I900">
        <v>5.2</v>
      </c>
      <c r="K900">
        <f t="shared" si="104"/>
        <v>0.69230769230769229</v>
      </c>
      <c r="L900">
        <f t="shared" si="105"/>
        <v>0.34437086092715236</v>
      </c>
    </row>
    <row r="901" spans="1:13" x14ac:dyDescent="0.25">
      <c r="A901">
        <v>130618</v>
      </c>
      <c r="B901" t="s">
        <v>18</v>
      </c>
      <c r="C901">
        <v>8</v>
      </c>
      <c r="D901">
        <v>2</v>
      </c>
      <c r="E901">
        <f>46*2-(7*2)</f>
        <v>78</v>
      </c>
      <c r="F901">
        <v>18.2</v>
      </c>
      <c r="G901">
        <v>6.2</v>
      </c>
      <c r="H901">
        <v>8.3000000000000007</v>
      </c>
      <c r="I901">
        <v>4</v>
      </c>
      <c r="K901">
        <f t="shared" si="104"/>
        <v>1.55</v>
      </c>
      <c r="L901">
        <f t="shared" si="105"/>
        <v>0.21978021978021978</v>
      </c>
    </row>
    <row r="902" spans="1:13" x14ac:dyDescent="0.25">
      <c r="A902">
        <v>130618</v>
      </c>
      <c r="B902" t="s">
        <v>18</v>
      </c>
      <c r="C902">
        <v>8</v>
      </c>
      <c r="D902">
        <v>3</v>
      </c>
      <c r="E902">
        <f>143*2-(7*2)</f>
        <v>272</v>
      </c>
      <c r="F902">
        <v>12.8</v>
      </c>
      <c r="G902">
        <v>6.2</v>
      </c>
      <c r="H902">
        <v>7.8</v>
      </c>
      <c r="I902">
        <v>5</v>
      </c>
      <c r="K902">
        <f t="shared" si="104"/>
        <v>1.24</v>
      </c>
      <c r="L902">
        <f t="shared" si="105"/>
        <v>0.390625</v>
      </c>
    </row>
    <row r="903" spans="1:13" x14ac:dyDescent="0.25">
      <c r="A903">
        <v>130618</v>
      </c>
      <c r="B903" t="s">
        <v>18</v>
      </c>
      <c r="C903">
        <v>8</v>
      </c>
      <c r="D903">
        <v>4</v>
      </c>
      <c r="E903">
        <f>254*2-(7*2)</f>
        <v>494</v>
      </c>
      <c r="F903">
        <v>12.4</v>
      </c>
      <c r="G903">
        <v>5.9</v>
      </c>
      <c r="H903">
        <v>9.9</v>
      </c>
      <c r="I903">
        <v>5.3</v>
      </c>
      <c r="K903">
        <f t="shared" si="104"/>
        <v>1.1132075471698115</v>
      </c>
      <c r="L903">
        <f t="shared" si="105"/>
        <v>0.42741935483870963</v>
      </c>
      <c r="M903" t="s">
        <v>9</v>
      </c>
    </row>
    <row r="904" spans="1:13" x14ac:dyDescent="0.25">
      <c r="A904">
        <v>140618</v>
      </c>
      <c r="B904" t="s">
        <v>18</v>
      </c>
      <c r="C904">
        <v>1</v>
      </c>
      <c r="D904">
        <v>1</v>
      </c>
      <c r="E904">
        <f>5*2</f>
        <v>10</v>
      </c>
      <c r="F904">
        <v>24.6</v>
      </c>
      <c r="G904">
        <v>6.9</v>
      </c>
      <c r="H904">
        <v>9.4</v>
      </c>
      <c r="I904">
        <v>6.6</v>
      </c>
      <c r="K904">
        <f t="shared" si="104"/>
        <v>1.0454545454545456</v>
      </c>
      <c r="L904">
        <f t="shared" si="105"/>
        <v>0.26829268292682923</v>
      </c>
    </row>
    <row r="905" spans="1:13" x14ac:dyDescent="0.25">
      <c r="A905">
        <v>140618</v>
      </c>
      <c r="B905" t="s">
        <v>18</v>
      </c>
      <c r="C905">
        <v>1</v>
      </c>
      <c r="D905">
        <v>2</v>
      </c>
      <c r="E905">
        <f>62*2</f>
        <v>124</v>
      </c>
      <c r="F905">
        <v>18.2</v>
      </c>
      <c r="G905">
        <v>3.1</v>
      </c>
      <c r="H905">
        <v>5.3</v>
      </c>
      <c r="I905">
        <v>5.0999999999999996</v>
      </c>
      <c r="K905">
        <f t="shared" si="104"/>
        <v>0.60784313725490202</v>
      </c>
      <c r="L905">
        <f t="shared" si="105"/>
        <v>0.28021978021978022</v>
      </c>
    </row>
    <row r="906" spans="1:13" x14ac:dyDescent="0.25">
      <c r="A906">
        <v>140618</v>
      </c>
      <c r="B906" t="s">
        <v>18</v>
      </c>
      <c r="C906">
        <v>1</v>
      </c>
      <c r="D906">
        <v>3</v>
      </c>
      <c r="E906">
        <f>153*2</f>
        <v>306</v>
      </c>
      <c r="F906">
        <v>16.899999999999999</v>
      </c>
      <c r="G906">
        <v>5.4</v>
      </c>
      <c r="H906">
        <v>7.4</v>
      </c>
      <c r="I906">
        <v>6.3</v>
      </c>
      <c r="K906">
        <f t="shared" si="104"/>
        <v>0.85714285714285721</v>
      </c>
      <c r="L906">
        <f t="shared" si="105"/>
        <v>0.37278106508875741</v>
      </c>
    </row>
    <row r="907" spans="1:13" x14ac:dyDescent="0.25">
      <c r="A907">
        <v>140618</v>
      </c>
      <c r="B907" t="s">
        <v>18</v>
      </c>
      <c r="C907">
        <v>1</v>
      </c>
      <c r="D907">
        <v>4</v>
      </c>
      <c r="E907">
        <f>210*2</f>
        <v>420</v>
      </c>
      <c r="F907">
        <v>16.399999999999999</v>
      </c>
      <c r="G907">
        <v>4.5</v>
      </c>
      <c r="H907">
        <v>5.9</v>
      </c>
      <c r="I907">
        <v>9</v>
      </c>
      <c r="K907">
        <f t="shared" si="104"/>
        <v>0.5</v>
      </c>
      <c r="L907">
        <f t="shared" si="105"/>
        <v>0.54878048780487809</v>
      </c>
    </row>
    <row r="908" spans="1:13" x14ac:dyDescent="0.25">
      <c r="A908">
        <v>140618</v>
      </c>
      <c r="B908" t="s">
        <v>18</v>
      </c>
      <c r="C908">
        <v>1</v>
      </c>
      <c r="D908">
        <v>5</v>
      </c>
      <c r="E908">
        <f>280*2</f>
        <v>560</v>
      </c>
      <c r="F908">
        <v>17</v>
      </c>
      <c r="G908">
        <v>6.7</v>
      </c>
      <c r="H908">
        <v>9.3000000000000007</v>
      </c>
      <c r="I908">
        <v>10.7</v>
      </c>
      <c r="K908">
        <f t="shared" si="104"/>
        <v>0.62616822429906549</v>
      </c>
      <c r="L908">
        <f t="shared" si="105"/>
        <v>0.62941176470588234</v>
      </c>
    </row>
    <row r="909" spans="1:13" x14ac:dyDescent="0.25">
      <c r="A909">
        <v>140618</v>
      </c>
      <c r="B909" t="s">
        <v>18</v>
      </c>
      <c r="C909">
        <v>1</v>
      </c>
      <c r="D909">
        <v>6</v>
      </c>
      <c r="E909">
        <f>285*2</f>
        <v>570</v>
      </c>
      <c r="F909">
        <v>18.2</v>
      </c>
      <c r="G909">
        <v>3.5</v>
      </c>
      <c r="H909">
        <v>6.5</v>
      </c>
      <c r="I909">
        <v>4.9000000000000004</v>
      </c>
      <c r="K909">
        <f t="shared" si="104"/>
        <v>0.71428571428571419</v>
      </c>
      <c r="L909">
        <f t="shared" si="105"/>
        <v>0.26923076923076927</v>
      </c>
    </row>
    <row r="910" spans="1:13" x14ac:dyDescent="0.25">
      <c r="A910">
        <v>140618</v>
      </c>
      <c r="B910" t="s">
        <v>18</v>
      </c>
      <c r="C910">
        <v>1</v>
      </c>
      <c r="D910">
        <v>7</v>
      </c>
      <c r="E910">
        <f>324*2</f>
        <v>648</v>
      </c>
      <c r="F910">
        <v>15.2</v>
      </c>
      <c r="G910">
        <v>3.5</v>
      </c>
      <c r="H910">
        <v>6.7</v>
      </c>
      <c r="I910">
        <v>5.6</v>
      </c>
      <c r="K910">
        <f t="shared" si="104"/>
        <v>0.625</v>
      </c>
      <c r="L910">
        <f t="shared" si="105"/>
        <v>0.36842105263157893</v>
      </c>
      <c r="M910" t="s">
        <v>9</v>
      </c>
    </row>
    <row r="911" spans="1:13" x14ac:dyDescent="0.25">
      <c r="A911">
        <v>140618</v>
      </c>
      <c r="B911" t="s">
        <v>18</v>
      </c>
      <c r="C911">
        <v>2</v>
      </c>
      <c r="D911">
        <v>1</v>
      </c>
      <c r="E911">
        <f>243*2</f>
        <v>486</v>
      </c>
      <c r="F911">
        <v>22.8</v>
      </c>
      <c r="G911">
        <v>7.5</v>
      </c>
      <c r="H911">
        <v>12.2</v>
      </c>
      <c r="I911">
        <v>9.1</v>
      </c>
      <c r="K911">
        <f t="shared" si="104"/>
        <v>0.82417582417582425</v>
      </c>
      <c r="L911">
        <f t="shared" si="105"/>
        <v>0.39912280701754382</v>
      </c>
    </row>
    <row r="912" spans="1:13" x14ac:dyDescent="0.25">
      <c r="A912">
        <v>140618</v>
      </c>
      <c r="B912" t="s">
        <v>18</v>
      </c>
      <c r="C912">
        <v>2</v>
      </c>
      <c r="D912">
        <v>2</v>
      </c>
      <c r="E912">
        <f>340*2</f>
        <v>680</v>
      </c>
      <c r="F912">
        <v>23.6</v>
      </c>
      <c r="G912">
        <v>6.9</v>
      </c>
      <c r="H912">
        <v>8.1</v>
      </c>
      <c r="I912">
        <v>8.1</v>
      </c>
      <c r="K912">
        <f t="shared" si="104"/>
        <v>0.85185185185185197</v>
      </c>
      <c r="L912">
        <f t="shared" si="105"/>
        <v>0.34322033898305082</v>
      </c>
    </row>
    <row r="913" spans="1:13" x14ac:dyDescent="0.25">
      <c r="A913">
        <v>140618</v>
      </c>
      <c r="B913" t="s">
        <v>18</v>
      </c>
      <c r="C913">
        <v>3</v>
      </c>
      <c r="D913">
        <v>1</v>
      </c>
      <c r="E913">
        <f>120*2-(5*2)</f>
        <v>230</v>
      </c>
      <c r="F913">
        <v>12.9</v>
      </c>
      <c r="G913">
        <v>7.6</v>
      </c>
      <c r="H913">
        <v>8.1999999999999993</v>
      </c>
      <c r="I913">
        <v>6.1</v>
      </c>
      <c r="K913">
        <f t="shared" ref="K913:K937" si="106">G913/I913</f>
        <v>1.2459016393442623</v>
      </c>
      <c r="L913">
        <f t="shared" ref="L913:L937" si="107">I913/F913</f>
        <v>0.47286821705426352</v>
      </c>
    </row>
    <row r="914" spans="1:13" x14ac:dyDescent="0.25">
      <c r="A914">
        <v>140618</v>
      </c>
      <c r="B914" t="s">
        <v>18</v>
      </c>
      <c r="C914">
        <v>3</v>
      </c>
      <c r="D914">
        <v>2</v>
      </c>
      <c r="E914">
        <f>213*2-(5*2)</f>
        <v>416</v>
      </c>
      <c r="F914">
        <v>11.9</v>
      </c>
      <c r="G914">
        <v>5</v>
      </c>
      <c r="H914">
        <v>6.5</v>
      </c>
      <c r="I914">
        <v>7.1</v>
      </c>
      <c r="K914">
        <f t="shared" si="106"/>
        <v>0.70422535211267612</v>
      </c>
      <c r="L914">
        <f t="shared" si="107"/>
        <v>0.59663865546218486</v>
      </c>
    </row>
    <row r="915" spans="1:13" x14ac:dyDescent="0.25">
      <c r="A915">
        <v>140618</v>
      </c>
      <c r="B915" t="s">
        <v>18</v>
      </c>
      <c r="C915">
        <v>3</v>
      </c>
      <c r="D915">
        <v>3</v>
      </c>
      <c r="E915">
        <f>255*2-(5*2)</f>
        <v>500</v>
      </c>
      <c r="F915">
        <v>11.4</v>
      </c>
      <c r="M915" t="s">
        <v>2</v>
      </c>
    </row>
    <row r="916" spans="1:13" x14ac:dyDescent="0.25">
      <c r="A916">
        <v>140618</v>
      </c>
      <c r="B916" t="s">
        <v>18</v>
      </c>
      <c r="C916">
        <v>3</v>
      </c>
      <c r="D916">
        <v>4</v>
      </c>
      <c r="E916">
        <f>280*2-(5*2)</f>
        <v>550</v>
      </c>
      <c r="F916">
        <v>8.8000000000000007</v>
      </c>
      <c r="G916">
        <v>5</v>
      </c>
      <c r="H916">
        <v>5.5</v>
      </c>
      <c r="I916">
        <v>4.2</v>
      </c>
      <c r="K916">
        <f t="shared" si="106"/>
        <v>1.1904761904761905</v>
      </c>
      <c r="L916">
        <f t="shared" si="107"/>
        <v>0.47727272727272724</v>
      </c>
    </row>
    <row r="917" spans="1:13" x14ac:dyDescent="0.25">
      <c r="A917">
        <v>140618</v>
      </c>
      <c r="B917" t="s">
        <v>18</v>
      </c>
      <c r="C917">
        <v>3</v>
      </c>
      <c r="D917">
        <v>5</v>
      </c>
      <c r="E917">
        <f>293*2-(5*2)</f>
        <v>576</v>
      </c>
      <c r="F917">
        <v>8.6</v>
      </c>
      <c r="G917">
        <v>2.2000000000000002</v>
      </c>
      <c r="H917">
        <v>3.5</v>
      </c>
      <c r="I917">
        <v>2.7</v>
      </c>
      <c r="K917">
        <f t="shared" si="106"/>
        <v>0.81481481481481488</v>
      </c>
      <c r="L917">
        <f t="shared" si="107"/>
        <v>0.31395348837209308</v>
      </c>
    </row>
    <row r="918" spans="1:13" x14ac:dyDescent="0.25">
      <c r="A918">
        <v>140618</v>
      </c>
      <c r="B918" t="s">
        <v>18</v>
      </c>
      <c r="C918">
        <v>3</v>
      </c>
      <c r="D918">
        <v>6</v>
      </c>
      <c r="E918">
        <f>295*2-(5*2)</f>
        <v>580</v>
      </c>
      <c r="F918">
        <v>9.6</v>
      </c>
      <c r="G918">
        <v>2.9</v>
      </c>
      <c r="H918">
        <v>3.6</v>
      </c>
      <c r="I918">
        <v>4</v>
      </c>
      <c r="K918">
        <f t="shared" si="106"/>
        <v>0.72499999999999998</v>
      </c>
      <c r="L918">
        <f t="shared" si="107"/>
        <v>0.41666666666666669</v>
      </c>
    </row>
    <row r="919" spans="1:13" x14ac:dyDescent="0.25">
      <c r="A919">
        <v>140618</v>
      </c>
      <c r="B919" t="s">
        <v>18</v>
      </c>
      <c r="C919">
        <v>3</v>
      </c>
      <c r="D919">
        <v>7</v>
      </c>
      <c r="E919">
        <f>339*2-(5*2)</f>
        <v>668</v>
      </c>
      <c r="F919">
        <v>6.7</v>
      </c>
      <c r="G919">
        <v>3.6</v>
      </c>
      <c r="H919">
        <v>3.3</v>
      </c>
      <c r="I919">
        <v>4.0999999999999996</v>
      </c>
      <c r="K919">
        <f t="shared" si="106"/>
        <v>0.87804878048780499</v>
      </c>
      <c r="L919">
        <f t="shared" si="107"/>
        <v>0.61194029850746257</v>
      </c>
    </row>
    <row r="920" spans="1:13" x14ac:dyDescent="0.25">
      <c r="A920">
        <v>140618</v>
      </c>
      <c r="B920" t="s">
        <v>18</v>
      </c>
      <c r="C920">
        <v>3</v>
      </c>
      <c r="D920">
        <v>8</v>
      </c>
      <c r="E920">
        <f>365*2-(5*2)</f>
        <v>720</v>
      </c>
      <c r="F920">
        <v>6.4</v>
      </c>
      <c r="G920">
        <v>3.5</v>
      </c>
      <c r="H920">
        <v>2.9</v>
      </c>
      <c r="I920">
        <v>3.5</v>
      </c>
      <c r="K920">
        <f t="shared" si="106"/>
        <v>1</v>
      </c>
      <c r="L920">
        <f t="shared" si="107"/>
        <v>0.546875</v>
      </c>
    </row>
    <row r="921" spans="1:13" x14ac:dyDescent="0.25">
      <c r="A921">
        <v>140618</v>
      </c>
      <c r="B921" t="s">
        <v>18</v>
      </c>
      <c r="C921">
        <v>3</v>
      </c>
      <c r="D921">
        <v>9</v>
      </c>
      <c r="E921">
        <f>376*2-(5*2)</f>
        <v>742</v>
      </c>
      <c r="F921">
        <v>8.5</v>
      </c>
      <c r="G921">
        <v>3.5</v>
      </c>
      <c r="H921">
        <v>3.5</v>
      </c>
      <c r="I921">
        <v>3.7</v>
      </c>
      <c r="K921">
        <f t="shared" si="106"/>
        <v>0.94594594594594594</v>
      </c>
      <c r="L921">
        <f t="shared" si="107"/>
        <v>0.43529411764705883</v>
      </c>
    </row>
    <row r="922" spans="1:13" x14ac:dyDescent="0.25">
      <c r="A922">
        <v>140618</v>
      </c>
      <c r="B922" t="s">
        <v>18</v>
      </c>
      <c r="C922">
        <v>3</v>
      </c>
      <c r="D922">
        <v>10</v>
      </c>
      <c r="E922">
        <f>390*2-(5*2)</f>
        <v>770</v>
      </c>
      <c r="F922">
        <v>8.3000000000000007</v>
      </c>
      <c r="G922">
        <v>4.9000000000000004</v>
      </c>
      <c r="H922">
        <v>4.5999999999999996</v>
      </c>
      <c r="I922">
        <v>4.5</v>
      </c>
      <c r="K922">
        <f t="shared" si="106"/>
        <v>1.088888888888889</v>
      </c>
      <c r="L922">
        <f t="shared" si="107"/>
        <v>0.54216867469879515</v>
      </c>
    </row>
    <row r="923" spans="1:13" x14ac:dyDescent="0.25">
      <c r="A923">
        <v>140618</v>
      </c>
      <c r="B923" t="s">
        <v>18</v>
      </c>
      <c r="C923">
        <v>3</v>
      </c>
      <c r="D923">
        <v>11</v>
      </c>
      <c r="E923">
        <f>423*2-(5*2)</f>
        <v>836</v>
      </c>
      <c r="F923">
        <v>6.9</v>
      </c>
      <c r="G923">
        <v>4.4000000000000004</v>
      </c>
      <c r="H923">
        <v>4.7</v>
      </c>
      <c r="I923">
        <v>4.2</v>
      </c>
      <c r="K923">
        <f t="shared" si="106"/>
        <v>1.0476190476190477</v>
      </c>
      <c r="L923">
        <f t="shared" si="107"/>
        <v>0.60869565217391308</v>
      </c>
    </row>
    <row r="924" spans="1:13" x14ac:dyDescent="0.25">
      <c r="A924">
        <v>140618</v>
      </c>
      <c r="B924" t="s">
        <v>18</v>
      </c>
      <c r="C924">
        <v>4</v>
      </c>
      <c r="D924">
        <v>1</v>
      </c>
      <c r="E924">
        <f>145*2</f>
        <v>290</v>
      </c>
      <c r="F924">
        <v>20.399999999999999</v>
      </c>
      <c r="G924">
        <v>5.3</v>
      </c>
      <c r="H924">
        <v>11.2</v>
      </c>
      <c r="I924">
        <v>8.1</v>
      </c>
      <c r="K924">
        <f t="shared" si="106"/>
        <v>0.65432098765432101</v>
      </c>
      <c r="L924">
        <f t="shared" si="107"/>
        <v>0.3970588235294118</v>
      </c>
    </row>
    <row r="925" spans="1:13" x14ac:dyDescent="0.25">
      <c r="A925">
        <v>140618</v>
      </c>
      <c r="B925" t="s">
        <v>18</v>
      </c>
      <c r="C925">
        <v>4</v>
      </c>
      <c r="D925">
        <v>2</v>
      </c>
      <c r="E925">
        <f>206*2</f>
        <v>412</v>
      </c>
      <c r="F925">
        <v>17.3</v>
      </c>
      <c r="G925">
        <v>3.4</v>
      </c>
      <c r="H925">
        <v>8.1999999999999993</v>
      </c>
      <c r="I925">
        <v>4.9000000000000004</v>
      </c>
      <c r="K925">
        <f t="shared" si="106"/>
        <v>0.69387755102040805</v>
      </c>
      <c r="L925">
        <f t="shared" si="107"/>
        <v>0.2832369942196532</v>
      </c>
    </row>
    <row r="926" spans="1:13" x14ac:dyDescent="0.25">
      <c r="A926">
        <v>140618</v>
      </c>
      <c r="B926" t="s">
        <v>18</v>
      </c>
      <c r="C926">
        <v>4</v>
      </c>
      <c r="D926">
        <v>3</v>
      </c>
      <c r="E926">
        <f>273*2</f>
        <v>546</v>
      </c>
      <c r="F926">
        <v>14.6</v>
      </c>
      <c r="G926">
        <v>5.4</v>
      </c>
      <c r="H926">
        <v>7.8</v>
      </c>
      <c r="I926">
        <v>6.9</v>
      </c>
      <c r="K926">
        <f t="shared" si="106"/>
        <v>0.78260869565217395</v>
      </c>
      <c r="L926">
        <f t="shared" si="107"/>
        <v>0.47260273972602745</v>
      </c>
    </row>
    <row r="927" spans="1:13" x14ac:dyDescent="0.25">
      <c r="A927">
        <v>140618</v>
      </c>
      <c r="B927" t="s">
        <v>18</v>
      </c>
      <c r="C927">
        <v>4</v>
      </c>
      <c r="D927">
        <v>4</v>
      </c>
      <c r="E927">
        <f>346*2</f>
        <v>692</v>
      </c>
      <c r="F927">
        <v>13.5</v>
      </c>
      <c r="G927">
        <v>4.7</v>
      </c>
      <c r="H927">
        <v>3.2</v>
      </c>
      <c r="I927">
        <v>4.3</v>
      </c>
      <c r="K927">
        <f t="shared" si="106"/>
        <v>1.0930232558139537</v>
      </c>
      <c r="L927">
        <f t="shared" si="107"/>
        <v>0.31851851851851848</v>
      </c>
    </row>
    <row r="928" spans="1:13" x14ac:dyDescent="0.25">
      <c r="A928">
        <v>140618</v>
      </c>
      <c r="B928" t="s">
        <v>18</v>
      </c>
      <c r="C928">
        <v>4</v>
      </c>
      <c r="D928">
        <v>5</v>
      </c>
      <c r="E928">
        <f>351*2</f>
        <v>702</v>
      </c>
      <c r="F928">
        <v>14.9</v>
      </c>
      <c r="G928">
        <v>5.5</v>
      </c>
      <c r="H928">
        <v>7.1</v>
      </c>
      <c r="I928">
        <v>7.2</v>
      </c>
      <c r="K928">
        <f t="shared" si="106"/>
        <v>0.76388888888888884</v>
      </c>
      <c r="L928">
        <f t="shared" si="107"/>
        <v>0.48322147651006714</v>
      </c>
    </row>
    <row r="929" spans="1:13" x14ac:dyDescent="0.25">
      <c r="A929">
        <v>140618</v>
      </c>
      <c r="B929" t="s">
        <v>18</v>
      </c>
      <c r="C929">
        <v>4</v>
      </c>
      <c r="D929">
        <v>6</v>
      </c>
      <c r="E929">
        <f>380*2</f>
        <v>760</v>
      </c>
      <c r="F929">
        <v>13.7</v>
      </c>
      <c r="G929">
        <v>5.5</v>
      </c>
      <c r="H929">
        <v>5</v>
      </c>
      <c r="I929">
        <v>5.6</v>
      </c>
      <c r="K929">
        <f t="shared" si="106"/>
        <v>0.98214285714285721</v>
      </c>
      <c r="L929">
        <f t="shared" si="107"/>
        <v>0.40875912408759124</v>
      </c>
    </row>
    <row r="930" spans="1:13" x14ac:dyDescent="0.25">
      <c r="A930">
        <v>140618</v>
      </c>
      <c r="B930" t="s">
        <v>18</v>
      </c>
      <c r="C930">
        <v>4</v>
      </c>
      <c r="D930">
        <v>7</v>
      </c>
      <c r="E930">
        <f>404*2</f>
        <v>808</v>
      </c>
      <c r="F930">
        <v>14.9</v>
      </c>
      <c r="G930">
        <v>4.5</v>
      </c>
      <c r="H930">
        <v>5.0999999999999996</v>
      </c>
      <c r="I930">
        <v>4.5</v>
      </c>
      <c r="K930">
        <f t="shared" si="106"/>
        <v>1</v>
      </c>
      <c r="L930">
        <f t="shared" si="107"/>
        <v>0.30201342281879195</v>
      </c>
      <c r="M930" t="s">
        <v>9</v>
      </c>
    </row>
    <row r="931" spans="1:13" x14ac:dyDescent="0.25">
      <c r="A931">
        <v>270618</v>
      </c>
      <c r="B931" t="s">
        <v>18</v>
      </c>
      <c r="C931">
        <v>1</v>
      </c>
      <c r="D931">
        <v>1</v>
      </c>
      <c r="E931">
        <f>195*2</f>
        <v>390</v>
      </c>
      <c r="F931">
        <v>16.399999999999999</v>
      </c>
      <c r="G931">
        <v>6</v>
      </c>
      <c r="H931">
        <v>7</v>
      </c>
      <c r="I931">
        <v>6.8</v>
      </c>
      <c r="K931">
        <f t="shared" si="106"/>
        <v>0.88235294117647056</v>
      </c>
      <c r="L931">
        <f t="shared" si="107"/>
        <v>0.41463414634146345</v>
      </c>
    </row>
    <row r="932" spans="1:13" x14ac:dyDescent="0.25">
      <c r="A932">
        <v>270618</v>
      </c>
      <c r="B932" t="s">
        <v>18</v>
      </c>
      <c r="C932">
        <v>1</v>
      </c>
      <c r="D932">
        <v>2</v>
      </c>
      <c r="E932">
        <f>229*2</f>
        <v>458</v>
      </c>
      <c r="F932">
        <v>17.7</v>
      </c>
      <c r="G932">
        <v>4.5</v>
      </c>
      <c r="H932">
        <v>5.6</v>
      </c>
      <c r="I932">
        <v>5.4</v>
      </c>
      <c r="K932">
        <f t="shared" si="106"/>
        <v>0.83333333333333326</v>
      </c>
      <c r="L932">
        <f t="shared" si="107"/>
        <v>0.30508474576271188</v>
      </c>
    </row>
    <row r="933" spans="1:13" x14ac:dyDescent="0.25">
      <c r="A933">
        <v>270618</v>
      </c>
      <c r="B933" t="s">
        <v>18</v>
      </c>
      <c r="C933">
        <v>1</v>
      </c>
      <c r="D933">
        <v>3</v>
      </c>
      <c r="E933">
        <f>233*2</f>
        <v>466</v>
      </c>
      <c r="F933">
        <v>16.600000000000001</v>
      </c>
      <c r="G933">
        <v>6.7</v>
      </c>
      <c r="H933">
        <v>7.4</v>
      </c>
      <c r="I933">
        <v>7.6</v>
      </c>
      <c r="K933">
        <f t="shared" si="106"/>
        <v>0.88157894736842113</v>
      </c>
      <c r="L933">
        <f t="shared" si="107"/>
        <v>0.45783132530120474</v>
      </c>
    </row>
    <row r="934" spans="1:13" x14ac:dyDescent="0.25">
      <c r="A934">
        <v>270618</v>
      </c>
      <c r="B934" t="s">
        <v>18</v>
      </c>
      <c r="C934">
        <v>2</v>
      </c>
      <c r="D934">
        <v>1</v>
      </c>
      <c r="E934">
        <f>20*2</f>
        <v>40</v>
      </c>
      <c r="F934">
        <v>7.5</v>
      </c>
      <c r="M934" t="s">
        <v>2</v>
      </c>
    </row>
    <row r="935" spans="1:13" x14ac:dyDescent="0.25">
      <c r="A935">
        <v>270618</v>
      </c>
      <c r="B935" t="s">
        <v>18</v>
      </c>
      <c r="C935">
        <v>2</v>
      </c>
      <c r="D935">
        <v>2</v>
      </c>
      <c r="E935">
        <f>39*2</f>
        <v>78</v>
      </c>
      <c r="F935">
        <v>8.1</v>
      </c>
      <c r="G935">
        <v>3.9</v>
      </c>
      <c r="H935">
        <v>5.5</v>
      </c>
      <c r="I935">
        <v>4.3</v>
      </c>
      <c r="K935">
        <f t="shared" si="106"/>
        <v>0.90697674418604657</v>
      </c>
      <c r="L935">
        <f t="shared" si="107"/>
        <v>0.53086419753086422</v>
      </c>
    </row>
    <row r="936" spans="1:13" x14ac:dyDescent="0.25">
      <c r="A936">
        <v>270618</v>
      </c>
      <c r="B936" t="s">
        <v>18</v>
      </c>
      <c r="C936">
        <v>2</v>
      </c>
      <c r="D936">
        <v>3</v>
      </c>
      <c r="E936">
        <f>126*2</f>
        <v>252</v>
      </c>
      <c r="F936">
        <v>8.6999999999999993</v>
      </c>
      <c r="G936">
        <v>4.0999999999999996</v>
      </c>
      <c r="H936">
        <v>6.4</v>
      </c>
      <c r="I936">
        <v>4.5999999999999996</v>
      </c>
      <c r="K936">
        <f t="shared" si="106"/>
        <v>0.89130434782608692</v>
      </c>
      <c r="L936">
        <f t="shared" si="107"/>
        <v>0.52873563218390807</v>
      </c>
    </row>
    <row r="937" spans="1:13" x14ac:dyDescent="0.25">
      <c r="A937">
        <v>270618</v>
      </c>
      <c r="B937" t="s">
        <v>18</v>
      </c>
      <c r="C937">
        <v>2</v>
      </c>
      <c r="D937">
        <v>4</v>
      </c>
      <c r="E937">
        <f>148*2</f>
        <v>296</v>
      </c>
      <c r="F937">
        <v>7.3</v>
      </c>
      <c r="G937">
        <v>2.8</v>
      </c>
      <c r="H937">
        <v>3.9</v>
      </c>
      <c r="I937">
        <v>4</v>
      </c>
      <c r="K937">
        <f t="shared" si="106"/>
        <v>0.7</v>
      </c>
      <c r="L937">
        <f t="shared" si="107"/>
        <v>0.54794520547945202</v>
      </c>
    </row>
    <row r="938" spans="1:13" x14ac:dyDescent="0.25">
      <c r="A938">
        <v>270618</v>
      </c>
      <c r="B938" t="s">
        <v>18</v>
      </c>
      <c r="C938">
        <v>2</v>
      </c>
      <c r="D938">
        <v>5</v>
      </c>
      <c r="E938">
        <f>174*2</f>
        <v>348</v>
      </c>
      <c r="F938">
        <v>8.9</v>
      </c>
      <c r="M938" t="s">
        <v>8</v>
      </c>
    </row>
    <row r="939" spans="1:13" x14ac:dyDescent="0.25">
      <c r="A939">
        <v>270618</v>
      </c>
      <c r="B939" t="s">
        <v>18</v>
      </c>
      <c r="C939">
        <v>2</v>
      </c>
      <c r="D939">
        <v>6</v>
      </c>
      <c r="E939">
        <f>199*2</f>
        <v>398</v>
      </c>
      <c r="F939">
        <v>7.5</v>
      </c>
      <c r="M939" t="s">
        <v>2</v>
      </c>
    </row>
    <row r="940" spans="1:13" x14ac:dyDescent="0.25">
      <c r="A940">
        <v>270618</v>
      </c>
      <c r="B940" t="s">
        <v>18</v>
      </c>
      <c r="C940">
        <v>3</v>
      </c>
      <c r="D940">
        <v>1</v>
      </c>
      <c r="E940">
        <f>129*2</f>
        <v>258</v>
      </c>
      <c r="F940">
        <v>18.8</v>
      </c>
      <c r="G940">
        <v>7.8</v>
      </c>
      <c r="H940">
        <v>8.3000000000000007</v>
      </c>
      <c r="I940">
        <v>6.8</v>
      </c>
      <c r="K940">
        <f t="shared" ref="K940:K1003" si="108">G940/I940</f>
        <v>1.1470588235294117</v>
      </c>
      <c r="L940">
        <f t="shared" ref="L940:L1003" si="109">I940/F940</f>
        <v>0.36170212765957444</v>
      </c>
    </row>
    <row r="941" spans="1:13" x14ac:dyDescent="0.25">
      <c r="A941">
        <v>270618</v>
      </c>
      <c r="B941" t="s">
        <v>18</v>
      </c>
      <c r="C941">
        <v>4</v>
      </c>
      <c r="D941">
        <v>1</v>
      </c>
      <c r="E941">
        <f>184*2</f>
        <v>368</v>
      </c>
      <c r="F941">
        <v>17.100000000000001</v>
      </c>
      <c r="G941">
        <v>6.5</v>
      </c>
      <c r="H941">
        <v>8.8000000000000007</v>
      </c>
      <c r="I941">
        <v>10.9</v>
      </c>
      <c r="K941">
        <f t="shared" si="108"/>
        <v>0.59633027522935778</v>
      </c>
      <c r="L941">
        <f t="shared" si="109"/>
        <v>0.63742690058479534</v>
      </c>
    </row>
    <row r="942" spans="1:13" x14ac:dyDescent="0.25">
      <c r="A942">
        <v>270618</v>
      </c>
      <c r="B942" t="s">
        <v>18</v>
      </c>
      <c r="C942">
        <v>4</v>
      </c>
      <c r="D942">
        <v>2</v>
      </c>
      <c r="E942">
        <f>218*2</f>
        <v>436</v>
      </c>
      <c r="F942">
        <v>13.6</v>
      </c>
      <c r="G942">
        <v>4.9000000000000004</v>
      </c>
      <c r="H942">
        <v>10.199999999999999</v>
      </c>
      <c r="I942">
        <v>8.1</v>
      </c>
      <c r="K942">
        <f t="shared" si="108"/>
        <v>0.60493827160493829</v>
      </c>
      <c r="L942">
        <f t="shared" si="109"/>
        <v>0.59558823529411764</v>
      </c>
    </row>
    <row r="943" spans="1:13" x14ac:dyDescent="0.25">
      <c r="A943">
        <v>270618</v>
      </c>
      <c r="B943" t="s">
        <v>18</v>
      </c>
      <c r="C943">
        <v>5</v>
      </c>
      <c r="D943">
        <v>1</v>
      </c>
      <c r="E943">
        <f>176*2</f>
        <v>352</v>
      </c>
      <c r="F943">
        <v>12.3</v>
      </c>
      <c r="G943">
        <v>4.5</v>
      </c>
      <c r="H943">
        <v>8.3000000000000007</v>
      </c>
      <c r="I943">
        <v>5.6</v>
      </c>
      <c r="K943">
        <f t="shared" si="108"/>
        <v>0.8035714285714286</v>
      </c>
      <c r="L943">
        <f t="shared" si="109"/>
        <v>0.45528455284552838</v>
      </c>
    </row>
    <row r="944" spans="1:13" x14ac:dyDescent="0.25">
      <c r="A944">
        <v>270618</v>
      </c>
      <c r="B944" t="s">
        <v>18</v>
      </c>
      <c r="C944">
        <v>5</v>
      </c>
      <c r="D944">
        <v>2</v>
      </c>
      <c r="E944">
        <f>198*2</f>
        <v>396</v>
      </c>
      <c r="F944">
        <v>11.6</v>
      </c>
      <c r="J944" t="s">
        <v>0</v>
      </c>
    </row>
    <row r="945" spans="1:13" x14ac:dyDescent="0.25">
      <c r="A945">
        <v>270618</v>
      </c>
      <c r="B945" t="s">
        <v>18</v>
      </c>
      <c r="C945">
        <v>5</v>
      </c>
      <c r="D945">
        <v>3</v>
      </c>
      <c r="E945">
        <f>260*2</f>
        <v>520</v>
      </c>
      <c r="F945">
        <v>11.8</v>
      </c>
      <c r="G945">
        <v>5.2</v>
      </c>
      <c r="I945">
        <f>(3.9+5.1)/2</f>
        <v>4.5</v>
      </c>
      <c r="J945" t="s">
        <v>0</v>
      </c>
      <c r="K945">
        <f t="shared" si="108"/>
        <v>1.1555555555555557</v>
      </c>
      <c r="L945">
        <f t="shared" si="109"/>
        <v>0.38135593220338981</v>
      </c>
    </row>
    <row r="946" spans="1:13" x14ac:dyDescent="0.25">
      <c r="A946">
        <v>270618</v>
      </c>
      <c r="B946" t="s">
        <v>18</v>
      </c>
      <c r="C946">
        <v>6</v>
      </c>
      <c r="D946">
        <v>1</v>
      </c>
      <c r="E946">
        <f>224*2</f>
        <v>448</v>
      </c>
      <c r="F946">
        <v>13.4</v>
      </c>
      <c r="J946" t="s">
        <v>0</v>
      </c>
    </row>
    <row r="947" spans="1:13" x14ac:dyDescent="0.25">
      <c r="A947">
        <v>270618</v>
      </c>
      <c r="B947" t="s">
        <v>18</v>
      </c>
      <c r="C947">
        <v>6</v>
      </c>
      <c r="D947">
        <v>2</v>
      </c>
      <c r="E947">
        <f>265*2</f>
        <v>530</v>
      </c>
      <c r="F947">
        <v>12.8</v>
      </c>
      <c r="G947">
        <v>4.3</v>
      </c>
      <c r="H947">
        <v>7.8</v>
      </c>
      <c r="I947">
        <v>5.4</v>
      </c>
      <c r="K947">
        <f t="shared" si="108"/>
        <v>0.79629629629629617</v>
      </c>
      <c r="L947">
        <f t="shared" si="109"/>
        <v>0.421875</v>
      </c>
      <c r="M947" t="s">
        <v>9</v>
      </c>
    </row>
    <row r="948" spans="1:13" x14ac:dyDescent="0.25">
      <c r="A948">
        <v>270618</v>
      </c>
      <c r="B948" t="s">
        <v>18</v>
      </c>
      <c r="C948">
        <v>7</v>
      </c>
      <c r="D948">
        <v>1</v>
      </c>
      <c r="E948">
        <f>96*2</f>
        <v>192</v>
      </c>
      <c r="F948">
        <v>12.3</v>
      </c>
      <c r="G948">
        <v>6.9</v>
      </c>
      <c r="H948">
        <v>6.6</v>
      </c>
      <c r="I948">
        <v>5.4</v>
      </c>
      <c r="K948">
        <f t="shared" si="108"/>
        <v>1.2777777777777777</v>
      </c>
      <c r="L948">
        <f t="shared" si="109"/>
        <v>0.43902439024390244</v>
      </c>
      <c r="M948" t="s">
        <v>10</v>
      </c>
    </row>
    <row r="949" spans="1:13" x14ac:dyDescent="0.25">
      <c r="A949">
        <v>270618</v>
      </c>
      <c r="B949" t="s">
        <v>18</v>
      </c>
      <c r="C949">
        <v>7</v>
      </c>
      <c r="D949">
        <v>2</v>
      </c>
      <c r="E949">
        <f>174*2</f>
        <v>348</v>
      </c>
      <c r="F949">
        <v>7.3</v>
      </c>
      <c r="M949" t="s">
        <v>2</v>
      </c>
    </row>
    <row r="950" spans="1:13" x14ac:dyDescent="0.25">
      <c r="A950">
        <v>270618</v>
      </c>
      <c r="B950" t="s">
        <v>18</v>
      </c>
      <c r="C950">
        <v>7</v>
      </c>
      <c r="D950">
        <v>3</v>
      </c>
      <c r="E950">
        <f>176*2</f>
        <v>352</v>
      </c>
      <c r="F950">
        <v>10.4</v>
      </c>
      <c r="G950">
        <v>5.6</v>
      </c>
      <c r="H950">
        <v>7.4</v>
      </c>
      <c r="I950">
        <v>4.8</v>
      </c>
      <c r="K950">
        <f t="shared" si="108"/>
        <v>1.1666666666666667</v>
      </c>
      <c r="L950">
        <f t="shared" si="109"/>
        <v>0.46153846153846151</v>
      </c>
    </row>
    <row r="951" spans="1:13" x14ac:dyDescent="0.25">
      <c r="A951">
        <v>270618</v>
      </c>
      <c r="B951" t="s">
        <v>18</v>
      </c>
      <c r="C951">
        <v>7</v>
      </c>
      <c r="D951">
        <v>4</v>
      </c>
      <c r="E951">
        <f>227*2</f>
        <v>454</v>
      </c>
      <c r="F951">
        <v>7.4</v>
      </c>
      <c r="J951" t="s">
        <v>0</v>
      </c>
    </row>
    <row r="952" spans="1:13" x14ac:dyDescent="0.25">
      <c r="A952">
        <v>270618</v>
      </c>
      <c r="B952" t="s">
        <v>18</v>
      </c>
      <c r="C952">
        <v>8</v>
      </c>
      <c r="D952">
        <v>1</v>
      </c>
      <c r="E952">
        <f>66*2</f>
        <v>132</v>
      </c>
      <c r="F952">
        <v>8.6999999999999993</v>
      </c>
      <c r="M952" t="s">
        <v>2</v>
      </c>
    </row>
    <row r="953" spans="1:13" x14ac:dyDescent="0.25">
      <c r="A953">
        <v>270618</v>
      </c>
      <c r="B953" t="s">
        <v>18</v>
      </c>
      <c r="C953">
        <v>8</v>
      </c>
      <c r="D953">
        <v>2</v>
      </c>
      <c r="E953">
        <f>196*2</f>
        <v>392</v>
      </c>
      <c r="F953">
        <v>9.3000000000000007</v>
      </c>
      <c r="G953">
        <v>4.3</v>
      </c>
      <c r="H953">
        <v>5.4</v>
      </c>
      <c r="I953">
        <v>6</v>
      </c>
      <c r="K953">
        <f t="shared" si="108"/>
        <v>0.71666666666666667</v>
      </c>
      <c r="L953">
        <f t="shared" si="109"/>
        <v>0.64516129032258063</v>
      </c>
    </row>
    <row r="954" spans="1:13" x14ac:dyDescent="0.25">
      <c r="A954">
        <v>270618</v>
      </c>
      <c r="B954" t="s">
        <v>18</v>
      </c>
      <c r="C954">
        <v>8</v>
      </c>
      <c r="D954">
        <v>3</v>
      </c>
      <c r="E954">
        <f>243*2</f>
        <v>486</v>
      </c>
      <c r="F954">
        <v>10.6</v>
      </c>
      <c r="G954">
        <v>5.2</v>
      </c>
      <c r="H954">
        <v>4.9000000000000004</v>
      </c>
      <c r="I954">
        <v>5.0999999999999996</v>
      </c>
      <c r="K954">
        <f t="shared" si="108"/>
        <v>1.0196078431372551</v>
      </c>
      <c r="L954">
        <f t="shared" si="109"/>
        <v>0.48113207547169812</v>
      </c>
    </row>
    <row r="955" spans="1:13" x14ac:dyDescent="0.25">
      <c r="A955">
        <v>270618</v>
      </c>
      <c r="B955" t="s">
        <v>18</v>
      </c>
      <c r="C955">
        <v>8</v>
      </c>
      <c r="D955">
        <v>4</v>
      </c>
      <c r="E955">
        <f>244*2</f>
        <v>488</v>
      </c>
      <c r="F955">
        <v>8.9</v>
      </c>
      <c r="G955">
        <v>4.5999999999999996</v>
      </c>
      <c r="H955">
        <v>6.1</v>
      </c>
      <c r="I955">
        <v>5.3</v>
      </c>
      <c r="K955">
        <f t="shared" si="108"/>
        <v>0.86792452830188671</v>
      </c>
      <c r="L955">
        <f t="shared" si="109"/>
        <v>0.5955056179775281</v>
      </c>
    </row>
    <row r="956" spans="1:13" x14ac:dyDescent="0.25">
      <c r="A956">
        <v>270618</v>
      </c>
      <c r="B956" t="s">
        <v>18</v>
      </c>
      <c r="C956">
        <v>8</v>
      </c>
      <c r="D956">
        <v>5</v>
      </c>
      <c r="E956">
        <f>258*2</f>
        <v>516</v>
      </c>
      <c r="F956">
        <v>6.4</v>
      </c>
      <c r="G956">
        <v>2.6</v>
      </c>
      <c r="H956">
        <v>2.1</v>
      </c>
      <c r="I956">
        <v>2.5</v>
      </c>
      <c r="K956">
        <f t="shared" si="108"/>
        <v>1.04</v>
      </c>
      <c r="L956">
        <f t="shared" si="109"/>
        <v>0.390625</v>
      </c>
    </row>
    <row r="957" spans="1:13" x14ac:dyDescent="0.25">
      <c r="A957">
        <v>270618</v>
      </c>
      <c r="B957" t="s">
        <v>18</v>
      </c>
      <c r="C957">
        <v>8</v>
      </c>
      <c r="D957">
        <v>6</v>
      </c>
      <c r="E957">
        <f>301*2</f>
        <v>602</v>
      </c>
      <c r="F957">
        <v>7.1</v>
      </c>
      <c r="G957">
        <v>3.2</v>
      </c>
      <c r="H957">
        <v>3.5</v>
      </c>
      <c r="I957">
        <v>3</v>
      </c>
      <c r="K957">
        <f t="shared" si="108"/>
        <v>1.0666666666666667</v>
      </c>
      <c r="L957">
        <f t="shared" si="109"/>
        <v>0.42253521126760568</v>
      </c>
    </row>
    <row r="958" spans="1:13" x14ac:dyDescent="0.25">
      <c r="A958">
        <v>270618</v>
      </c>
      <c r="B958" t="s">
        <v>18</v>
      </c>
      <c r="C958">
        <v>8</v>
      </c>
      <c r="D958">
        <v>7</v>
      </c>
      <c r="E958">
        <f>305*2</f>
        <v>610</v>
      </c>
      <c r="F958">
        <v>7.1</v>
      </c>
      <c r="M958" t="s">
        <v>2</v>
      </c>
    </row>
    <row r="959" spans="1:13" x14ac:dyDescent="0.25">
      <c r="A959">
        <v>270618</v>
      </c>
      <c r="B959" t="s">
        <v>18</v>
      </c>
      <c r="C959">
        <v>9</v>
      </c>
      <c r="D959">
        <v>1</v>
      </c>
      <c r="E959">
        <f>32*2</f>
        <v>64</v>
      </c>
      <c r="F959">
        <v>18.399999999999999</v>
      </c>
      <c r="G959">
        <v>3.1</v>
      </c>
      <c r="H959">
        <v>8.1</v>
      </c>
      <c r="I959">
        <v>5.4</v>
      </c>
      <c r="K959">
        <f t="shared" si="108"/>
        <v>0.57407407407407407</v>
      </c>
      <c r="L959">
        <f t="shared" si="109"/>
        <v>0.29347826086956524</v>
      </c>
    </row>
    <row r="960" spans="1:13" x14ac:dyDescent="0.25">
      <c r="A960">
        <v>270618</v>
      </c>
      <c r="B960" t="s">
        <v>18</v>
      </c>
      <c r="C960">
        <v>9</v>
      </c>
      <c r="D960">
        <v>2</v>
      </c>
      <c r="E960">
        <f>187*2</f>
        <v>374</v>
      </c>
      <c r="F960">
        <v>16.8</v>
      </c>
      <c r="G960">
        <v>3.9</v>
      </c>
      <c r="H960">
        <v>5.9</v>
      </c>
      <c r="I960">
        <v>5.4</v>
      </c>
      <c r="K960">
        <f t="shared" si="108"/>
        <v>0.72222222222222221</v>
      </c>
      <c r="L960">
        <f t="shared" si="109"/>
        <v>0.32142857142857145</v>
      </c>
    </row>
    <row r="961" spans="1:13" x14ac:dyDescent="0.25">
      <c r="A961">
        <v>270618</v>
      </c>
      <c r="B961" t="s">
        <v>18</v>
      </c>
      <c r="C961">
        <v>9</v>
      </c>
      <c r="D961">
        <v>3</v>
      </c>
      <c r="E961">
        <f>232*2</f>
        <v>464</v>
      </c>
      <c r="F961">
        <v>16.899999999999999</v>
      </c>
      <c r="G961">
        <v>3.4</v>
      </c>
      <c r="H961">
        <v>7.8</v>
      </c>
      <c r="I961">
        <v>4.7</v>
      </c>
      <c r="K961">
        <f t="shared" si="108"/>
        <v>0.72340425531914887</v>
      </c>
      <c r="L961">
        <f t="shared" si="109"/>
        <v>0.27810650887573968</v>
      </c>
    </row>
    <row r="962" spans="1:13" x14ac:dyDescent="0.25">
      <c r="A962">
        <v>270618</v>
      </c>
      <c r="B962" t="s">
        <v>18</v>
      </c>
      <c r="C962">
        <v>9</v>
      </c>
      <c r="D962">
        <v>4</v>
      </c>
      <c r="E962">
        <f>301*2</f>
        <v>602</v>
      </c>
      <c r="F962">
        <v>17.5</v>
      </c>
      <c r="G962">
        <v>4.3</v>
      </c>
      <c r="H962">
        <v>7.7</v>
      </c>
      <c r="I962">
        <v>4</v>
      </c>
      <c r="K962">
        <f t="shared" si="108"/>
        <v>1.075</v>
      </c>
      <c r="L962">
        <f t="shared" si="109"/>
        <v>0.22857142857142856</v>
      </c>
    </row>
    <row r="963" spans="1:13" x14ac:dyDescent="0.25">
      <c r="A963">
        <v>270618</v>
      </c>
      <c r="B963" t="s">
        <v>18</v>
      </c>
      <c r="C963">
        <v>9</v>
      </c>
      <c r="D963">
        <v>5</v>
      </c>
      <c r="E963">
        <f>337*2</f>
        <v>674</v>
      </c>
      <c r="F963">
        <v>15.4</v>
      </c>
      <c r="G963">
        <v>6.1</v>
      </c>
      <c r="H963">
        <v>6.6</v>
      </c>
      <c r="I963">
        <v>5</v>
      </c>
      <c r="K963">
        <f t="shared" si="108"/>
        <v>1.22</v>
      </c>
      <c r="L963">
        <f t="shared" si="109"/>
        <v>0.32467532467532467</v>
      </c>
    </row>
    <row r="964" spans="1:13" x14ac:dyDescent="0.25">
      <c r="A964">
        <v>270618</v>
      </c>
      <c r="B964" t="s">
        <v>18</v>
      </c>
      <c r="C964">
        <v>10</v>
      </c>
      <c r="D964">
        <v>1</v>
      </c>
      <c r="E964">
        <f>217*2</f>
        <v>434</v>
      </c>
      <c r="F964">
        <v>11.7</v>
      </c>
      <c r="G964">
        <v>3.5</v>
      </c>
      <c r="H964">
        <v>6.3</v>
      </c>
      <c r="I964">
        <v>5.4</v>
      </c>
      <c r="K964">
        <f t="shared" si="108"/>
        <v>0.64814814814814814</v>
      </c>
      <c r="L964">
        <f t="shared" si="109"/>
        <v>0.46153846153846162</v>
      </c>
    </row>
    <row r="965" spans="1:13" x14ac:dyDescent="0.25">
      <c r="A965">
        <v>270618</v>
      </c>
      <c r="B965" t="s">
        <v>18</v>
      </c>
      <c r="C965">
        <v>10</v>
      </c>
      <c r="D965">
        <v>2</v>
      </c>
      <c r="E965">
        <f>223*2</f>
        <v>446</v>
      </c>
      <c r="F965">
        <v>10.6</v>
      </c>
      <c r="G965">
        <v>3.2</v>
      </c>
      <c r="H965">
        <v>5.8</v>
      </c>
      <c r="I965">
        <v>4.3</v>
      </c>
      <c r="K965">
        <f t="shared" si="108"/>
        <v>0.74418604651162801</v>
      </c>
      <c r="L965">
        <f t="shared" si="109"/>
        <v>0.40566037735849059</v>
      </c>
    </row>
    <row r="966" spans="1:13" x14ac:dyDescent="0.25">
      <c r="A966">
        <v>270618</v>
      </c>
      <c r="B966" t="s">
        <v>18</v>
      </c>
      <c r="C966">
        <v>10</v>
      </c>
      <c r="D966">
        <v>3</v>
      </c>
      <c r="E966">
        <f>243*2</f>
        <v>486</v>
      </c>
      <c r="F966">
        <v>9.1999999999999993</v>
      </c>
      <c r="G966">
        <v>3.3</v>
      </c>
      <c r="H966">
        <v>4.3</v>
      </c>
      <c r="I966">
        <v>4.4000000000000004</v>
      </c>
      <c r="K966">
        <f t="shared" si="108"/>
        <v>0.74999999999999989</v>
      </c>
      <c r="L966">
        <f t="shared" si="109"/>
        <v>0.47826086956521746</v>
      </c>
    </row>
    <row r="967" spans="1:13" x14ac:dyDescent="0.25">
      <c r="A967">
        <v>270618</v>
      </c>
      <c r="B967" t="s">
        <v>18</v>
      </c>
      <c r="C967">
        <v>10</v>
      </c>
      <c r="D967">
        <v>4</v>
      </c>
      <c r="E967">
        <f>313*2</f>
        <v>626</v>
      </c>
      <c r="F967">
        <v>8.6999999999999993</v>
      </c>
      <c r="G967">
        <v>5.8</v>
      </c>
      <c r="H967">
        <v>4.9000000000000004</v>
      </c>
      <c r="I967">
        <v>5.5</v>
      </c>
      <c r="K967">
        <f t="shared" si="108"/>
        <v>1.0545454545454545</v>
      </c>
      <c r="L967">
        <f t="shared" si="109"/>
        <v>0.63218390804597702</v>
      </c>
    </row>
    <row r="968" spans="1:13" x14ac:dyDescent="0.25">
      <c r="A968">
        <v>270618</v>
      </c>
      <c r="B968" t="s">
        <v>18</v>
      </c>
      <c r="C968">
        <v>10</v>
      </c>
      <c r="D968">
        <v>5</v>
      </c>
      <c r="E968">
        <f>348*2</f>
        <v>696</v>
      </c>
      <c r="F968">
        <v>10</v>
      </c>
      <c r="J968" t="s">
        <v>0</v>
      </c>
    </row>
    <row r="969" spans="1:13" x14ac:dyDescent="0.25">
      <c r="A969">
        <v>270618</v>
      </c>
      <c r="B969" t="s">
        <v>18</v>
      </c>
      <c r="C969">
        <v>10</v>
      </c>
      <c r="D969">
        <v>6</v>
      </c>
      <c r="E969">
        <f>370*2</f>
        <v>740</v>
      </c>
      <c r="F969">
        <v>9.4</v>
      </c>
      <c r="J969" t="s">
        <v>0</v>
      </c>
      <c r="M969" t="s">
        <v>9</v>
      </c>
    </row>
    <row r="970" spans="1:13" x14ac:dyDescent="0.25">
      <c r="A970">
        <v>270618</v>
      </c>
      <c r="B970" t="s">
        <v>18</v>
      </c>
      <c r="C970">
        <v>10</v>
      </c>
      <c r="D970">
        <v>8</v>
      </c>
      <c r="E970">
        <f>385*2</f>
        <v>770</v>
      </c>
      <c r="F970">
        <v>9.3000000000000007</v>
      </c>
      <c r="J970" t="s">
        <v>0</v>
      </c>
      <c r="M970" t="s">
        <v>9</v>
      </c>
    </row>
    <row r="971" spans="1:13" x14ac:dyDescent="0.25">
      <c r="A971">
        <v>270618</v>
      </c>
      <c r="B971" t="s">
        <v>18</v>
      </c>
      <c r="C971" t="s">
        <v>27</v>
      </c>
      <c r="D971">
        <v>1</v>
      </c>
      <c r="E971">
        <f>40*2</f>
        <v>80</v>
      </c>
      <c r="F971">
        <v>8.9</v>
      </c>
      <c r="G971">
        <v>3.8</v>
      </c>
      <c r="H971">
        <v>4.8</v>
      </c>
      <c r="I971">
        <v>5.3</v>
      </c>
      <c r="K971">
        <f t="shared" si="108"/>
        <v>0.71698113207547165</v>
      </c>
      <c r="L971">
        <f t="shared" si="109"/>
        <v>0.5955056179775281</v>
      </c>
    </row>
    <row r="972" spans="1:13" x14ac:dyDescent="0.25">
      <c r="A972">
        <v>270618</v>
      </c>
      <c r="B972" t="s">
        <v>18</v>
      </c>
      <c r="C972" t="s">
        <v>27</v>
      </c>
      <c r="D972">
        <v>2</v>
      </c>
      <c r="E972">
        <f>44*2</f>
        <v>88</v>
      </c>
      <c r="F972">
        <v>9.3000000000000007</v>
      </c>
      <c r="G972">
        <v>3.4</v>
      </c>
      <c r="H972">
        <v>6</v>
      </c>
      <c r="I972">
        <v>2.8</v>
      </c>
      <c r="K972">
        <f t="shared" si="108"/>
        <v>1.2142857142857144</v>
      </c>
      <c r="L972">
        <f t="shared" si="109"/>
        <v>0.30107526881720426</v>
      </c>
    </row>
    <row r="973" spans="1:13" x14ac:dyDescent="0.25">
      <c r="A973">
        <v>270618</v>
      </c>
      <c r="B973" t="s">
        <v>18</v>
      </c>
      <c r="C973" t="s">
        <v>27</v>
      </c>
      <c r="D973">
        <v>3</v>
      </c>
      <c r="E973">
        <f>47*2</f>
        <v>94</v>
      </c>
      <c r="F973">
        <v>12.1</v>
      </c>
      <c r="M973" t="s">
        <v>2</v>
      </c>
    </row>
    <row r="974" spans="1:13" x14ac:dyDescent="0.25">
      <c r="A974">
        <v>270618</v>
      </c>
      <c r="B974" t="s">
        <v>18</v>
      </c>
      <c r="C974" t="s">
        <v>27</v>
      </c>
      <c r="D974">
        <v>4</v>
      </c>
      <c r="E974">
        <f>109*2</f>
        <v>218</v>
      </c>
      <c r="F974">
        <v>7.5</v>
      </c>
      <c r="G974">
        <v>4.3</v>
      </c>
      <c r="H974">
        <v>3.8</v>
      </c>
      <c r="I974">
        <v>4</v>
      </c>
      <c r="K974">
        <f t="shared" si="108"/>
        <v>1.075</v>
      </c>
      <c r="L974">
        <f t="shared" si="109"/>
        <v>0.53333333333333333</v>
      </c>
    </row>
    <row r="975" spans="1:13" x14ac:dyDescent="0.25">
      <c r="A975">
        <v>270618</v>
      </c>
      <c r="B975" t="s">
        <v>18</v>
      </c>
      <c r="C975" t="s">
        <v>27</v>
      </c>
      <c r="D975">
        <v>5</v>
      </c>
      <c r="E975">
        <f>112*2</f>
        <v>224</v>
      </c>
      <c r="F975">
        <v>6.5</v>
      </c>
      <c r="G975">
        <v>3.3</v>
      </c>
      <c r="H975">
        <v>3.9</v>
      </c>
      <c r="I975">
        <v>3.8</v>
      </c>
      <c r="K975">
        <f t="shared" si="108"/>
        <v>0.86842105263157898</v>
      </c>
      <c r="L975">
        <f t="shared" si="109"/>
        <v>0.58461538461538454</v>
      </c>
    </row>
    <row r="976" spans="1:13" x14ac:dyDescent="0.25">
      <c r="A976">
        <v>270618</v>
      </c>
      <c r="B976" t="s">
        <v>18</v>
      </c>
      <c r="C976" t="s">
        <v>27</v>
      </c>
      <c r="D976">
        <v>6</v>
      </c>
      <c r="E976">
        <f>135*2</f>
        <v>270</v>
      </c>
      <c r="F976">
        <v>3.1</v>
      </c>
      <c r="G976">
        <v>3.3</v>
      </c>
      <c r="H976">
        <v>5.9</v>
      </c>
      <c r="I976">
        <v>3.4</v>
      </c>
      <c r="K976">
        <f t="shared" si="108"/>
        <v>0.97058823529411764</v>
      </c>
      <c r="L976">
        <f t="shared" si="109"/>
        <v>1.096774193548387</v>
      </c>
    </row>
    <row r="977" spans="1:13" x14ac:dyDescent="0.25">
      <c r="A977">
        <v>270618</v>
      </c>
      <c r="B977" t="s">
        <v>18</v>
      </c>
      <c r="C977" t="s">
        <v>27</v>
      </c>
      <c r="D977">
        <v>7</v>
      </c>
      <c r="E977">
        <f>142*2</f>
        <v>284</v>
      </c>
      <c r="F977">
        <v>6.9</v>
      </c>
      <c r="G977">
        <v>4</v>
      </c>
      <c r="H977">
        <v>3</v>
      </c>
      <c r="I977">
        <v>4.0999999999999996</v>
      </c>
      <c r="K977">
        <f t="shared" si="108"/>
        <v>0.97560975609756106</v>
      </c>
      <c r="L977">
        <f t="shared" si="109"/>
        <v>0.5942028985507245</v>
      </c>
    </row>
    <row r="978" spans="1:13" x14ac:dyDescent="0.25">
      <c r="A978">
        <v>270618</v>
      </c>
      <c r="B978" t="s">
        <v>18</v>
      </c>
      <c r="C978" t="s">
        <v>27</v>
      </c>
      <c r="D978">
        <v>8</v>
      </c>
      <c r="E978">
        <f>164*2</f>
        <v>328</v>
      </c>
      <c r="F978">
        <v>6.3</v>
      </c>
      <c r="G978">
        <v>4.4000000000000004</v>
      </c>
      <c r="H978">
        <v>4.0999999999999996</v>
      </c>
      <c r="I978">
        <v>5</v>
      </c>
      <c r="K978">
        <f t="shared" si="108"/>
        <v>0.88000000000000012</v>
      </c>
      <c r="L978">
        <f t="shared" si="109"/>
        <v>0.79365079365079372</v>
      </c>
    </row>
    <row r="979" spans="1:13" x14ac:dyDescent="0.25">
      <c r="A979">
        <v>270618</v>
      </c>
      <c r="B979" t="s">
        <v>18</v>
      </c>
      <c r="C979" t="s">
        <v>27</v>
      </c>
      <c r="D979">
        <v>9</v>
      </c>
      <c r="E979">
        <f>174*2</f>
        <v>348</v>
      </c>
      <c r="F979">
        <v>7.7</v>
      </c>
      <c r="G979">
        <v>4.7</v>
      </c>
      <c r="H979">
        <v>8.1999999999999993</v>
      </c>
      <c r="I979">
        <v>5.9</v>
      </c>
      <c r="K979">
        <f t="shared" si="108"/>
        <v>0.79661016949152541</v>
      </c>
      <c r="L979">
        <f t="shared" si="109"/>
        <v>0.76623376623376627</v>
      </c>
    </row>
    <row r="980" spans="1:13" x14ac:dyDescent="0.25">
      <c r="A980">
        <v>270618</v>
      </c>
      <c r="B980" t="s">
        <v>18</v>
      </c>
      <c r="C980" t="s">
        <v>27</v>
      </c>
      <c r="D980">
        <v>10</v>
      </c>
      <c r="E980">
        <f>197*2</f>
        <v>394</v>
      </c>
      <c r="F980">
        <v>5.9</v>
      </c>
      <c r="G980">
        <v>5.3</v>
      </c>
      <c r="H980">
        <v>4</v>
      </c>
      <c r="I980">
        <f>(3.6+3.3)/2</f>
        <v>3.45</v>
      </c>
      <c r="K980">
        <f t="shared" si="108"/>
        <v>1.536231884057971</v>
      </c>
      <c r="L980">
        <f t="shared" si="109"/>
        <v>0.5847457627118644</v>
      </c>
    </row>
    <row r="981" spans="1:13" x14ac:dyDescent="0.25">
      <c r="A981">
        <v>270618</v>
      </c>
      <c r="B981" t="s">
        <v>18</v>
      </c>
      <c r="C981" t="s">
        <v>27</v>
      </c>
      <c r="D981">
        <v>11</v>
      </c>
      <c r="E981">
        <f>206*2</f>
        <v>412</v>
      </c>
      <c r="F981">
        <v>5.3</v>
      </c>
      <c r="G981">
        <v>3</v>
      </c>
      <c r="H981">
        <v>2.7</v>
      </c>
      <c r="I981">
        <v>3</v>
      </c>
      <c r="K981">
        <f t="shared" si="108"/>
        <v>1</v>
      </c>
      <c r="L981">
        <f t="shared" si="109"/>
        <v>0.56603773584905659</v>
      </c>
    </row>
    <row r="982" spans="1:13" x14ac:dyDescent="0.25">
      <c r="A982">
        <v>270618</v>
      </c>
      <c r="B982" t="s">
        <v>18</v>
      </c>
      <c r="C982">
        <v>11</v>
      </c>
      <c r="D982">
        <v>1</v>
      </c>
      <c r="E982">
        <f>28*2</f>
        <v>56</v>
      </c>
      <c r="F982">
        <v>16.3</v>
      </c>
      <c r="G982">
        <v>2.8</v>
      </c>
      <c r="H982">
        <v>5.4</v>
      </c>
      <c r="I982">
        <v>4.5999999999999996</v>
      </c>
      <c r="K982">
        <f t="shared" si="108"/>
        <v>0.60869565217391308</v>
      </c>
      <c r="L982">
        <f t="shared" si="109"/>
        <v>0.2822085889570552</v>
      </c>
    </row>
    <row r="983" spans="1:13" x14ac:dyDescent="0.25">
      <c r="A983">
        <v>270618</v>
      </c>
      <c r="B983" t="s">
        <v>18</v>
      </c>
      <c r="C983">
        <v>11</v>
      </c>
      <c r="D983">
        <v>2</v>
      </c>
      <c r="E983">
        <f>125*2</f>
        <v>250</v>
      </c>
      <c r="F983">
        <v>11.1</v>
      </c>
      <c r="G983">
        <v>3.8</v>
      </c>
      <c r="H983">
        <v>4.0999999999999996</v>
      </c>
      <c r="I983">
        <v>4.5</v>
      </c>
      <c r="K983">
        <f t="shared" si="108"/>
        <v>0.84444444444444444</v>
      </c>
      <c r="L983">
        <f t="shared" si="109"/>
        <v>0.40540540540540543</v>
      </c>
    </row>
    <row r="984" spans="1:13" x14ac:dyDescent="0.25">
      <c r="A984">
        <v>270618</v>
      </c>
      <c r="B984" t="s">
        <v>18</v>
      </c>
      <c r="C984">
        <v>11</v>
      </c>
      <c r="D984">
        <v>3</v>
      </c>
      <c r="E984">
        <f>136*2</f>
        <v>272</v>
      </c>
      <c r="F984">
        <v>9.3000000000000007</v>
      </c>
      <c r="G984">
        <v>4.2</v>
      </c>
      <c r="H984">
        <v>5.0999999999999996</v>
      </c>
      <c r="I984">
        <v>5.3</v>
      </c>
      <c r="K984">
        <f t="shared" si="108"/>
        <v>0.79245283018867929</v>
      </c>
      <c r="L984">
        <f t="shared" si="109"/>
        <v>0.56989247311827951</v>
      </c>
    </row>
    <row r="985" spans="1:13" x14ac:dyDescent="0.25">
      <c r="A985">
        <v>270618</v>
      </c>
      <c r="B985" t="s">
        <v>18</v>
      </c>
      <c r="C985">
        <v>11</v>
      </c>
      <c r="D985">
        <v>4</v>
      </c>
      <c r="E985">
        <f>140*2</f>
        <v>280</v>
      </c>
      <c r="F985">
        <v>10</v>
      </c>
      <c r="G985">
        <v>4.5999999999999996</v>
      </c>
      <c r="H985">
        <v>6.2</v>
      </c>
      <c r="I985">
        <v>4.9000000000000004</v>
      </c>
      <c r="K985">
        <f t="shared" si="108"/>
        <v>0.93877551020408145</v>
      </c>
      <c r="L985">
        <f t="shared" si="109"/>
        <v>0.49000000000000005</v>
      </c>
    </row>
    <row r="986" spans="1:13" x14ac:dyDescent="0.25">
      <c r="A986">
        <v>270618</v>
      </c>
      <c r="B986" t="s">
        <v>18</v>
      </c>
      <c r="C986">
        <v>11</v>
      </c>
      <c r="D986">
        <v>5</v>
      </c>
      <c r="E986">
        <f>208*2</f>
        <v>416</v>
      </c>
      <c r="F986">
        <v>8.3000000000000007</v>
      </c>
      <c r="G986">
        <v>5</v>
      </c>
      <c r="I986">
        <v>7.7</v>
      </c>
      <c r="K986">
        <f t="shared" si="108"/>
        <v>0.64935064935064934</v>
      </c>
      <c r="L986">
        <f t="shared" si="109"/>
        <v>0.92771084337349397</v>
      </c>
      <c r="M986" t="s">
        <v>2</v>
      </c>
    </row>
    <row r="987" spans="1:13" x14ac:dyDescent="0.25">
      <c r="A987">
        <v>270618</v>
      </c>
      <c r="B987" t="s">
        <v>18</v>
      </c>
      <c r="C987">
        <v>11</v>
      </c>
      <c r="D987">
        <v>6</v>
      </c>
      <c r="E987">
        <f>214*2</f>
        <v>428</v>
      </c>
      <c r="F987">
        <v>8</v>
      </c>
      <c r="G987">
        <v>5.9</v>
      </c>
      <c r="I987">
        <v>6.7</v>
      </c>
      <c r="K987">
        <f t="shared" si="108"/>
        <v>0.88059701492537312</v>
      </c>
      <c r="L987">
        <f t="shared" si="109"/>
        <v>0.83750000000000002</v>
      </c>
      <c r="M987" t="s">
        <v>2</v>
      </c>
    </row>
    <row r="988" spans="1:13" x14ac:dyDescent="0.25">
      <c r="A988">
        <v>270618</v>
      </c>
      <c r="B988" t="s">
        <v>18</v>
      </c>
      <c r="C988" t="s">
        <v>28</v>
      </c>
      <c r="D988">
        <v>1</v>
      </c>
      <c r="E988">
        <f>311*2</f>
        <v>622</v>
      </c>
      <c r="F988">
        <v>19.5</v>
      </c>
      <c r="G988">
        <v>10.199999999999999</v>
      </c>
      <c r="H988">
        <v>11</v>
      </c>
      <c r="I988">
        <v>9.3000000000000007</v>
      </c>
      <c r="K988">
        <f t="shared" si="108"/>
        <v>1.096774193548387</v>
      </c>
      <c r="L988">
        <f t="shared" si="109"/>
        <v>0.47692307692307695</v>
      </c>
    </row>
    <row r="989" spans="1:13" x14ac:dyDescent="0.25">
      <c r="A989">
        <v>270618</v>
      </c>
      <c r="B989" t="s">
        <v>18</v>
      </c>
      <c r="C989" t="s">
        <v>28</v>
      </c>
      <c r="D989">
        <v>2</v>
      </c>
      <c r="E989">
        <f>350*2</f>
        <v>700</v>
      </c>
      <c r="F989">
        <v>17.899999999999999</v>
      </c>
      <c r="G989">
        <v>7.9</v>
      </c>
      <c r="H989">
        <v>9.9</v>
      </c>
      <c r="I989">
        <v>9.1999999999999993</v>
      </c>
      <c r="K989">
        <f t="shared" si="108"/>
        <v>0.85869565217391319</v>
      </c>
      <c r="L989">
        <f t="shared" si="109"/>
        <v>0.51396648044692739</v>
      </c>
    </row>
    <row r="990" spans="1:13" x14ac:dyDescent="0.25">
      <c r="A990">
        <v>270618</v>
      </c>
      <c r="B990" t="s">
        <v>18</v>
      </c>
      <c r="C990">
        <v>12</v>
      </c>
      <c r="D990">
        <v>1</v>
      </c>
      <c r="E990">
        <f>59*2</f>
        <v>118</v>
      </c>
      <c r="F990">
        <v>21.4</v>
      </c>
      <c r="G990">
        <v>6</v>
      </c>
      <c r="H990">
        <v>8.6</v>
      </c>
      <c r="I990">
        <v>6.6</v>
      </c>
      <c r="K990">
        <f t="shared" si="108"/>
        <v>0.90909090909090917</v>
      </c>
      <c r="L990">
        <f t="shared" si="109"/>
        <v>0.30841121495327101</v>
      </c>
    </row>
    <row r="991" spans="1:13" x14ac:dyDescent="0.25">
      <c r="A991">
        <v>270618</v>
      </c>
      <c r="B991" t="s">
        <v>18</v>
      </c>
      <c r="C991">
        <v>12</v>
      </c>
      <c r="D991">
        <v>2</v>
      </c>
      <c r="E991">
        <f>241*2</f>
        <v>482</v>
      </c>
      <c r="F991">
        <v>23.3</v>
      </c>
      <c r="G991">
        <v>6.7</v>
      </c>
      <c r="H991">
        <v>8.3000000000000007</v>
      </c>
      <c r="I991">
        <v>5.4</v>
      </c>
      <c r="K991">
        <f t="shared" si="108"/>
        <v>1.2407407407407407</v>
      </c>
      <c r="L991">
        <f t="shared" si="109"/>
        <v>0.23175965665236054</v>
      </c>
    </row>
    <row r="992" spans="1:13" x14ac:dyDescent="0.25">
      <c r="A992">
        <v>270618</v>
      </c>
      <c r="B992" t="s">
        <v>18</v>
      </c>
      <c r="C992">
        <v>12</v>
      </c>
      <c r="D992">
        <v>3</v>
      </c>
      <c r="E992">
        <f>247*2</f>
        <v>494</v>
      </c>
      <c r="F992">
        <v>19.2</v>
      </c>
      <c r="G992">
        <v>7.5</v>
      </c>
      <c r="H992">
        <v>7.1</v>
      </c>
      <c r="I992">
        <v>5.8</v>
      </c>
      <c r="K992">
        <f t="shared" si="108"/>
        <v>1.2931034482758621</v>
      </c>
      <c r="L992">
        <f t="shared" si="109"/>
        <v>0.30208333333333331</v>
      </c>
      <c r="M992" t="s">
        <v>9</v>
      </c>
    </row>
    <row r="993" spans="1:12" x14ac:dyDescent="0.25">
      <c r="A993">
        <v>270618</v>
      </c>
      <c r="B993" t="s">
        <v>18</v>
      </c>
      <c r="C993">
        <v>13</v>
      </c>
      <c r="D993">
        <v>1</v>
      </c>
      <c r="E993">
        <f>110*2</f>
        <v>220</v>
      </c>
      <c r="F993">
        <v>9.4</v>
      </c>
      <c r="G993">
        <v>4.9000000000000004</v>
      </c>
      <c r="H993">
        <v>3.8</v>
      </c>
      <c r="I993">
        <v>4</v>
      </c>
      <c r="K993">
        <f t="shared" si="108"/>
        <v>1.2250000000000001</v>
      </c>
      <c r="L993">
        <f t="shared" si="109"/>
        <v>0.42553191489361702</v>
      </c>
    </row>
    <row r="994" spans="1:12" x14ac:dyDescent="0.25">
      <c r="A994">
        <v>270618</v>
      </c>
      <c r="B994" t="s">
        <v>18</v>
      </c>
      <c r="C994">
        <v>13</v>
      </c>
      <c r="D994">
        <v>2</v>
      </c>
      <c r="E994">
        <f>124*2</f>
        <v>248</v>
      </c>
      <c r="F994">
        <v>8.9</v>
      </c>
      <c r="G994">
        <v>4.8</v>
      </c>
      <c r="H994">
        <v>4.9000000000000004</v>
      </c>
      <c r="I994">
        <v>4.9000000000000004</v>
      </c>
      <c r="K994">
        <f t="shared" si="108"/>
        <v>0.97959183673469374</v>
      </c>
      <c r="L994">
        <f t="shared" si="109"/>
        <v>0.550561797752809</v>
      </c>
    </row>
    <row r="995" spans="1:12" x14ac:dyDescent="0.25">
      <c r="A995">
        <v>270618</v>
      </c>
      <c r="B995" t="s">
        <v>18</v>
      </c>
      <c r="C995">
        <v>13</v>
      </c>
      <c r="D995">
        <v>3</v>
      </c>
      <c r="E995">
        <f>188*2</f>
        <v>376</v>
      </c>
      <c r="F995">
        <v>9.4</v>
      </c>
      <c r="G995">
        <v>6.2</v>
      </c>
      <c r="H995">
        <v>6.1</v>
      </c>
      <c r="I995">
        <v>5.9</v>
      </c>
      <c r="K995">
        <f t="shared" si="108"/>
        <v>1.0508474576271185</v>
      </c>
      <c r="L995">
        <f t="shared" si="109"/>
        <v>0.62765957446808507</v>
      </c>
    </row>
    <row r="996" spans="1:12" x14ac:dyDescent="0.25">
      <c r="A996">
        <v>270618</v>
      </c>
      <c r="B996" t="s">
        <v>18</v>
      </c>
      <c r="C996">
        <v>13</v>
      </c>
      <c r="D996">
        <v>4</v>
      </c>
      <c r="E996">
        <f>229*2</f>
        <v>458</v>
      </c>
      <c r="F996">
        <v>9.1999999999999993</v>
      </c>
      <c r="J996" t="s">
        <v>0</v>
      </c>
    </row>
    <row r="997" spans="1:12" x14ac:dyDescent="0.25">
      <c r="A997">
        <v>270618</v>
      </c>
      <c r="B997" t="s">
        <v>18</v>
      </c>
      <c r="C997">
        <v>13</v>
      </c>
      <c r="D997">
        <v>5</v>
      </c>
      <c r="E997">
        <f>266*2</f>
        <v>532</v>
      </c>
      <c r="F997">
        <v>10.6</v>
      </c>
      <c r="J997" t="s">
        <v>0</v>
      </c>
    </row>
    <row r="998" spans="1:12" x14ac:dyDescent="0.25">
      <c r="A998">
        <v>270618</v>
      </c>
      <c r="B998" t="s">
        <v>18</v>
      </c>
      <c r="C998" t="s">
        <v>29</v>
      </c>
      <c r="D998">
        <v>1</v>
      </c>
      <c r="E998">
        <f>64*2</f>
        <v>128</v>
      </c>
      <c r="F998">
        <v>8.1999999999999993</v>
      </c>
      <c r="G998">
        <v>4.3</v>
      </c>
      <c r="H998">
        <v>6.4</v>
      </c>
      <c r="I998">
        <v>4.2</v>
      </c>
      <c r="K998">
        <f t="shared" si="108"/>
        <v>1.0238095238095237</v>
      </c>
      <c r="L998">
        <f t="shared" si="109"/>
        <v>0.51219512195121952</v>
      </c>
    </row>
    <row r="999" spans="1:12" x14ac:dyDescent="0.25">
      <c r="A999">
        <v>270618</v>
      </c>
      <c r="B999" t="s">
        <v>18</v>
      </c>
      <c r="C999" t="s">
        <v>29</v>
      </c>
      <c r="D999">
        <v>2</v>
      </c>
      <c r="E999">
        <f>174*2</f>
        <v>348</v>
      </c>
      <c r="F999">
        <v>9.6</v>
      </c>
      <c r="G999">
        <v>4.9000000000000004</v>
      </c>
      <c r="H999">
        <v>4.2</v>
      </c>
      <c r="I999">
        <v>3.9</v>
      </c>
      <c r="K999">
        <f t="shared" si="108"/>
        <v>1.2564102564102566</v>
      </c>
      <c r="L999">
        <f t="shared" si="109"/>
        <v>0.40625</v>
      </c>
    </row>
    <row r="1000" spans="1:12" x14ac:dyDescent="0.25">
      <c r="A1000">
        <v>270618</v>
      </c>
      <c r="B1000" t="s">
        <v>18</v>
      </c>
      <c r="C1000" t="s">
        <v>29</v>
      </c>
      <c r="D1000">
        <v>3</v>
      </c>
      <c r="E1000">
        <f>182*2</f>
        <v>364</v>
      </c>
      <c r="F1000">
        <v>10.7</v>
      </c>
      <c r="G1000">
        <v>5.3</v>
      </c>
      <c r="H1000">
        <v>5.8</v>
      </c>
      <c r="I1000">
        <v>6.2</v>
      </c>
      <c r="K1000">
        <f t="shared" si="108"/>
        <v>0.85483870967741926</v>
      </c>
      <c r="L1000">
        <f t="shared" si="109"/>
        <v>0.57943925233644866</v>
      </c>
    </row>
    <row r="1001" spans="1:12" x14ac:dyDescent="0.25">
      <c r="A1001">
        <v>270618</v>
      </c>
      <c r="B1001" t="s">
        <v>18</v>
      </c>
      <c r="C1001" t="s">
        <v>29</v>
      </c>
      <c r="D1001">
        <v>4</v>
      </c>
      <c r="E1001">
        <f>184*2</f>
        <v>368</v>
      </c>
      <c r="F1001">
        <v>11.3</v>
      </c>
      <c r="G1001">
        <v>6.4</v>
      </c>
      <c r="H1001">
        <v>6.5</v>
      </c>
      <c r="I1001">
        <v>5.2</v>
      </c>
      <c r="K1001">
        <f t="shared" si="108"/>
        <v>1.2307692307692308</v>
      </c>
      <c r="L1001">
        <f t="shared" si="109"/>
        <v>0.46017699115044247</v>
      </c>
    </row>
    <row r="1002" spans="1:12" x14ac:dyDescent="0.25">
      <c r="A1002">
        <v>270618</v>
      </c>
      <c r="B1002" t="s">
        <v>18</v>
      </c>
      <c r="C1002" t="s">
        <v>29</v>
      </c>
      <c r="D1002">
        <v>5</v>
      </c>
      <c r="E1002">
        <f>213*2</f>
        <v>426</v>
      </c>
      <c r="F1002">
        <v>8.6</v>
      </c>
      <c r="G1002">
        <v>4.8</v>
      </c>
      <c r="H1002">
        <v>5.5</v>
      </c>
      <c r="I1002">
        <v>6.4</v>
      </c>
      <c r="K1002">
        <f t="shared" si="108"/>
        <v>0.74999999999999989</v>
      </c>
      <c r="L1002">
        <f t="shared" si="109"/>
        <v>0.74418604651162801</v>
      </c>
    </row>
    <row r="1003" spans="1:12" x14ac:dyDescent="0.25">
      <c r="A1003">
        <v>270618</v>
      </c>
      <c r="B1003" t="s">
        <v>18</v>
      </c>
      <c r="C1003" t="s">
        <v>29</v>
      </c>
      <c r="D1003">
        <v>6</v>
      </c>
      <c r="E1003">
        <f>216*2</f>
        <v>432</v>
      </c>
      <c r="F1003">
        <v>9.1</v>
      </c>
      <c r="G1003">
        <v>5.8</v>
      </c>
      <c r="H1003">
        <v>4.8</v>
      </c>
      <c r="I1003">
        <v>3.7</v>
      </c>
      <c r="K1003">
        <f t="shared" si="108"/>
        <v>1.5675675675675675</v>
      </c>
      <c r="L1003">
        <f t="shared" si="109"/>
        <v>0.40659340659340665</v>
      </c>
    </row>
    <row r="1004" spans="1:12" x14ac:dyDescent="0.25">
      <c r="A1004">
        <v>270618</v>
      </c>
      <c r="B1004" t="s">
        <v>18</v>
      </c>
      <c r="C1004" t="s">
        <v>29</v>
      </c>
      <c r="D1004">
        <v>8</v>
      </c>
      <c r="E1004">
        <f>260*2</f>
        <v>520</v>
      </c>
      <c r="F1004">
        <v>7.8</v>
      </c>
      <c r="G1004">
        <v>3.5</v>
      </c>
      <c r="H1004">
        <v>3.9</v>
      </c>
      <c r="I1004">
        <v>4.5</v>
      </c>
      <c r="K1004">
        <f t="shared" ref="K1004:K1066" si="110">G1004/I1004</f>
        <v>0.77777777777777779</v>
      </c>
      <c r="L1004">
        <f t="shared" ref="L1004:L1066" si="111">I1004/F1004</f>
        <v>0.57692307692307698</v>
      </c>
    </row>
    <row r="1005" spans="1:12" x14ac:dyDescent="0.25">
      <c r="A1005">
        <v>270618</v>
      </c>
      <c r="B1005" t="s">
        <v>18</v>
      </c>
      <c r="C1005" t="s">
        <v>29</v>
      </c>
      <c r="D1005">
        <v>9</v>
      </c>
      <c r="E1005">
        <f>273*2</f>
        <v>546</v>
      </c>
      <c r="F1005">
        <v>7.7</v>
      </c>
      <c r="G1005">
        <v>6.4</v>
      </c>
      <c r="H1005">
        <v>7.6</v>
      </c>
      <c r="I1005">
        <v>4.5</v>
      </c>
      <c r="K1005">
        <f t="shared" si="110"/>
        <v>1.4222222222222223</v>
      </c>
      <c r="L1005">
        <f t="shared" si="111"/>
        <v>0.58441558441558439</v>
      </c>
    </row>
    <row r="1006" spans="1:12" x14ac:dyDescent="0.25">
      <c r="A1006">
        <v>270618</v>
      </c>
      <c r="B1006" t="s">
        <v>18</v>
      </c>
      <c r="C1006">
        <v>14</v>
      </c>
      <c r="D1006">
        <v>1</v>
      </c>
      <c r="E1006">
        <f>192*2</f>
        <v>384</v>
      </c>
      <c r="F1006">
        <v>12.1</v>
      </c>
      <c r="J1006" t="s">
        <v>0</v>
      </c>
    </row>
    <row r="1007" spans="1:12" x14ac:dyDescent="0.25">
      <c r="A1007">
        <v>270618</v>
      </c>
      <c r="B1007" t="s">
        <v>18</v>
      </c>
      <c r="C1007">
        <v>14</v>
      </c>
      <c r="D1007">
        <v>2</v>
      </c>
      <c r="E1007">
        <f>242*2</f>
        <v>484</v>
      </c>
      <c r="F1007">
        <v>10.3</v>
      </c>
      <c r="G1007">
        <v>5.7</v>
      </c>
      <c r="H1007">
        <v>6</v>
      </c>
      <c r="I1007">
        <v>5.8</v>
      </c>
      <c r="K1007">
        <f t="shared" si="110"/>
        <v>0.98275862068965525</v>
      </c>
      <c r="L1007">
        <f t="shared" si="111"/>
        <v>0.56310679611650483</v>
      </c>
    </row>
    <row r="1008" spans="1:12" x14ac:dyDescent="0.25">
      <c r="A1008">
        <v>270618</v>
      </c>
      <c r="B1008" t="s">
        <v>18</v>
      </c>
      <c r="C1008">
        <v>14</v>
      </c>
      <c r="D1008">
        <v>3</v>
      </c>
      <c r="E1008">
        <f>263*2</f>
        <v>526</v>
      </c>
      <c r="F1008">
        <v>10.199999999999999</v>
      </c>
      <c r="G1008">
        <v>3.6</v>
      </c>
      <c r="H1008">
        <v>6.2</v>
      </c>
      <c r="I1008">
        <v>6</v>
      </c>
      <c r="K1008">
        <f t="shared" si="110"/>
        <v>0.6</v>
      </c>
      <c r="L1008">
        <f t="shared" si="111"/>
        <v>0.58823529411764708</v>
      </c>
    </row>
    <row r="1009" spans="1:13" x14ac:dyDescent="0.25">
      <c r="A1009">
        <v>270618</v>
      </c>
      <c r="B1009" t="s">
        <v>18</v>
      </c>
      <c r="C1009">
        <v>14</v>
      </c>
      <c r="D1009">
        <v>4</v>
      </c>
      <c r="E1009">
        <f>267*2</f>
        <v>534</v>
      </c>
      <c r="F1009">
        <v>11.2</v>
      </c>
      <c r="G1009">
        <v>11.4</v>
      </c>
      <c r="H1009">
        <v>7.5</v>
      </c>
      <c r="I1009">
        <v>7.3</v>
      </c>
      <c r="K1009">
        <f t="shared" si="110"/>
        <v>1.5616438356164384</v>
      </c>
      <c r="L1009">
        <f t="shared" si="111"/>
        <v>0.6517857142857143</v>
      </c>
    </row>
    <row r="1010" spans="1:13" x14ac:dyDescent="0.25">
      <c r="A1010">
        <v>270618</v>
      </c>
      <c r="B1010" t="s">
        <v>18</v>
      </c>
      <c r="C1010">
        <v>14</v>
      </c>
      <c r="D1010">
        <v>5</v>
      </c>
      <c r="E1010">
        <f>324*2</f>
        <v>648</v>
      </c>
      <c r="F1010">
        <v>7.5</v>
      </c>
      <c r="G1010">
        <v>3.3</v>
      </c>
      <c r="H1010">
        <v>4.0999999999999996</v>
      </c>
      <c r="I1010">
        <v>3.5</v>
      </c>
      <c r="K1010">
        <f t="shared" si="110"/>
        <v>0.94285714285714284</v>
      </c>
      <c r="L1010">
        <f t="shared" si="111"/>
        <v>0.46666666666666667</v>
      </c>
      <c r="M1010" t="s">
        <v>9</v>
      </c>
    </row>
    <row r="1011" spans="1:13" x14ac:dyDescent="0.25">
      <c r="A1011">
        <v>270618</v>
      </c>
      <c r="B1011" t="s">
        <v>18</v>
      </c>
      <c r="C1011">
        <v>15</v>
      </c>
      <c r="D1011">
        <v>1</v>
      </c>
      <c r="E1011">
        <f>30*2</f>
        <v>60</v>
      </c>
      <c r="F1011">
        <v>13.9</v>
      </c>
      <c r="G1011">
        <v>5.0999999999999996</v>
      </c>
      <c r="H1011">
        <v>5.5</v>
      </c>
      <c r="I1011">
        <v>7.8</v>
      </c>
      <c r="K1011">
        <f t="shared" si="110"/>
        <v>0.65384615384615385</v>
      </c>
      <c r="L1011">
        <f t="shared" si="111"/>
        <v>0.5611510791366906</v>
      </c>
    </row>
    <row r="1012" spans="1:13" x14ac:dyDescent="0.25">
      <c r="A1012">
        <v>270618</v>
      </c>
      <c r="B1012" t="s">
        <v>18</v>
      </c>
      <c r="C1012">
        <v>15</v>
      </c>
      <c r="D1012">
        <v>2</v>
      </c>
      <c r="E1012">
        <f>64*2</f>
        <v>128</v>
      </c>
      <c r="F1012">
        <v>16.5</v>
      </c>
      <c r="G1012">
        <v>3.9</v>
      </c>
      <c r="H1012">
        <v>9.4</v>
      </c>
      <c r="I1012">
        <v>5.3</v>
      </c>
      <c r="K1012">
        <f t="shared" si="110"/>
        <v>0.73584905660377364</v>
      </c>
      <c r="L1012">
        <f t="shared" si="111"/>
        <v>0.32121212121212123</v>
      </c>
    </row>
    <row r="1013" spans="1:13" x14ac:dyDescent="0.25">
      <c r="A1013">
        <v>270618</v>
      </c>
      <c r="B1013" t="s">
        <v>18</v>
      </c>
      <c r="C1013">
        <v>15</v>
      </c>
      <c r="D1013">
        <v>3</v>
      </c>
      <c r="E1013">
        <f>281*2</f>
        <v>562</v>
      </c>
      <c r="F1013">
        <v>13.1</v>
      </c>
      <c r="G1013">
        <v>7.9</v>
      </c>
      <c r="H1013">
        <v>8.1999999999999993</v>
      </c>
      <c r="I1013">
        <v>4.8</v>
      </c>
      <c r="K1013">
        <f t="shared" si="110"/>
        <v>1.6458333333333335</v>
      </c>
      <c r="L1013">
        <f t="shared" si="111"/>
        <v>0.36641221374045801</v>
      </c>
      <c r="M1013" t="s">
        <v>9</v>
      </c>
    </row>
    <row r="1014" spans="1:13" x14ac:dyDescent="0.25">
      <c r="A1014">
        <v>280618</v>
      </c>
      <c r="B1014" t="s">
        <v>18</v>
      </c>
      <c r="C1014">
        <v>1</v>
      </c>
      <c r="D1014">
        <v>1</v>
      </c>
      <c r="E1014">
        <f>13*2</f>
        <v>26</v>
      </c>
      <c r="F1014">
        <v>4.9000000000000004</v>
      </c>
      <c r="G1014">
        <v>1.8</v>
      </c>
      <c r="H1014">
        <v>5</v>
      </c>
      <c r="I1014">
        <v>3.4</v>
      </c>
      <c r="K1014">
        <f t="shared" si="110"/>
        <v>0.52941176470588236</v>
      </c>
      <c r="L1014">
        <f t="shared" si="111"/>
        <v>0.69387755102040805</v>
      </c>
    </row>
    <row r="1015" spans="1:13" x14ac:dyDescent="0.25">
      <c r="A1015">
        <v>280618</v>
      </c>
      <c r="B1015" t="s">
        <v>18</v>
      </c>
      <c r="C1015">
        <v>1</v>
      </c>
      <c r="D1015">
        <v>2</v>
      </c>
      <c r="E1015">
        <f>104*2</f>
        <v>208</v>
      </c>
      <c r="F1015">
        <v>6.3</v>
      </c>
      <c r="G1015">
        <v>3.3</v>
      </c>
      <c r="H1015">
        <v>4.3</v>
      </c>
      <c r="I1015">
        <v>4.0999999999999996</v>
      </c>
      <c r="K1015">
        <f t="shared" si="110"/>
        <v>0.80487804878048785</v>
      </c>
      <c r="L1015">
        <f t="shared" si="111"/>
        <v>0.6507936507936507</v>
      </c>
    </row>
    <row r="1016" spans="1:13" x14ac:dyDescent="0.25">
      <c r="A1016">
        <v>280618</v>
      </c>
      <c r="B1016" t="s">
        <v>18</v>
      </c>
      <c r="C1016">
        <v>1</v>
      </c>
      <c r="D1016">
        <v>3</v>
      </c>
      <c r="E1016">
        <f>111*2</f>
        <v>222</v>
      </c>
      <c r="F1016">
        <v>9.3000000000000007</v>
      </c>
      <c r="G1016">
        <v>3.1</v>
      </c>
      <c r="H1016">
        <v>4</v>
      </c>
      <c r="I1016">
        <v>3.6</v>
      </c>
      <c r="K1016">
        <f t="shared" si="110"/>
        <v>0.86111111111111116</v>
      </c>
      <c r="L1016">
        <f t="shared" si="111"/>
        <v>0.38709677419354838</v>
      </c>
    </row>
    <row r="1017" spans="1:13" x14ac:dyDescent="0.25">
      <c r="A1017">
        <v>280618</v>
      </c>
      <c r="B1017" t="s">
        <v>18</v>
      </c>
      <c r="C1017">
        <v>1</v>
      </c>
      <c r="D1017">
        <v>4</v>
      </c>
      <c r="E1017">
        <f>133*2</f>
        <v>266</v>
      </c>
      <c r="F1017">
        <v>7.4</v>
      </c>
      <c r="G1017">
        <v>3.4</v>
      </c>
      <c r="H1017">
        <v>7.2</v>
      </c>
      <c r="I1017">
        <v>3.9</v>
      </c>
      <c r="K1017">
        <f t="shared" si="110"/>
        <v>0.87179487179487181</v>
      </c>
      <c r="L1017">
        <f t="shared" si="111"/>
        <v>0.52702702702702697</v>
      </c>
    </row>
    <row r="1018" spans="1:13" x14ac:dyDescent="0.25">
      <c r="A1018">
        <v>280618</v>
      </c>
      <c r="B1018" t="s">
        <v>18</v>
      </c>
      <c r="C1018">
        <v>1</v>
      </c>
      <c r="D1018">
        <v>5</v>
      </c>
      <c r="E1018">
        <f>170*2</f>
        <v>340</v>
      </c>
      <c r="F1018">
        <v>6.8</v>
      </c>
      <c r="G1018">
        <v>3.8</v>
      </c>
      <c r="H1018">
        <v>3.6</v>
      </c>
      <c r="I1018">
        <v>3.4</v>
      </c>
      <c r="K1018">
        <f t="shared" si="110"/>
        <v>1.1176470588235294</v>
      </c>
      <c r="L1018">
        <f t="shared" si="111"/>
        <v>0.5</v>
      </c>
    </row>
    <row r="1019" spans="1:13" x14ac:dyDescent="0.25">
      <c r="A1019">
        <v>280618</v>
      </c>
      <c r="B1019" t="s">
        <v>18</v>
      </c>
      <c r="C1019">
        <v>1</v>
      </c>
      <c r="D1019">
        <v>6</v>
      </c>
      <c r="E1019">
        <f>177*2</f>
        <v>354</v>
      </c>
      <c r="F1019">
        <v>6.7</v>
      </c>
      <c r="G1019">
        <v>5.9</v>
      </c>
      <c r="I1019">
        <v>5.4</v>
      </c>
      <c r="K1019">
        <f t="shared" si="110"/>
        <v>1.0925925925925926</v>
      </c>
      <c r="L1019">
        <f t="shared" si="111"/>
        <v>0.80597014925373134</v>
      </c>
      <c r="M1019" t="s">
        <v>2</v>
      </c>
    </row>
    <row r="1020" spans="1:13" x14ac:dyDescent="0.25">
      <c r="A1020">
        <v>280618</v>
      </c>
      <c r="B1020" t="s">
        <v>18</v>
      </c>
      <c r="C1020">
        <v>1</v>
      </c>
      <c r="D1020">
        <v>7</v>
      </c>
      <c r="E1020">
        <f>205*2</f>
        <v>410</v>
      </c>
      <c r="F1020">
        <v>5.7</v>
      </c>
      <c r="G1020">
        <v>3.7</v>
      </c>
      <c r="H1020">
        <v>3.5</v>
      </c>
      <c r="I1020">
        <v>3.4</v>
      </c>
      <c r="K1020">
        <f t="shared" si="110"/>
        <v>1.0882352941176472</v>
      </c>
      <c r="L1020">
        <f t="shared" si="111"/>
        <v>0.59649122807017541</v>
      </c>
    </row>
    <row r="1021" spans="1:13" x14ac:dyDescent="0.25">
      <c r="A1021">
        <v>280618</v>
      </c>
      <c r="B1021" t="s">
        <v>18</v>
      </c>
      <c r="C1021">
        <v>1</v>
      </c>
      <c r="D1021">
        <v>8</v>
      </c>
      <c r="E1021">
        <f>217*2</f>
        <v>434</v>
      </c>
      <c r="F1021">
        <v>6.6</v>
      </c>
      <c r="G1021">
        <v>6.1</v>
      </c>
      <c r="I1021">
        <v>4.9000000000000004</v>
      </c>
      <c r="K1021">
        <f t="shared" si="110"/>
        <v>1.2448979591836733</v>
      </c>
      <c r="L1021">
        <f t="shared" si="111"/>
        <v>0.74242424242424254</v>
      </c>
      <c r="M1021" t="s">
        <v>2</v>
      </c>
    </row>
    <row r="1022" spans="1:13" x14ac:dyDescent="0.25">
      <c r="A1022">
        <v>280618</v>
      </c>
      <c r="B1022" t="s">
        <v>18</v>
      </c>
      <c r="C1022">
        <v>2</v>
      </c>
      <c r="D1022">
        <v>1</v>
      </c>
      <c r="E1022">
        <f>302*2</f>
        <v>604</v>
      </c>
      <c r="F1022">
        <v>14.2</v>
      </c>
      <c r="G1022">
        <v>5</v>
      </c>
      <c r="H1022">
        <v>8.9</v>
      </c>
      <c r="I1022">
        <v>6.5</v>
      </c>
      <c r="K1022">
        <f t="shared" si="110"/>
        <v>0.76923076923076927</v>
      </c>
      <c r="L1022">
        <f t="shared" si="111"/>
        <v>0.45774647887323944</v>
      </c>
    </row>
    <row r="1023" spans="1:13" x14ac:dyDescent="0.25">
      <c r="A1023">
        <v>280618</v>
      </c>
      <c r="B1023" t="s">
        <v>18</v>
      </c>
      <c r="C1023">
        <v>3</v>
      </c>
      <c r="D1023">
        <v>1</v>
      </c>
      <c r="E1023">
        <f>85*2-(11*2)</f>
        <v>148</v>
      </c>
      <c r="F1023">
        <v>8.9</v>
      </c>
      <c r="G1023">
        <v>2.6</v>
      </c>
      <c r="H1023">
        <v>5.5</v>
      </c>
      <c r="I1023">
        <v>3.3</v>
      </c>
      <c r="K1023">
        <f t="shared" si="110"/>
        <v>0.78787878787878796</v>
      </c>
      <c r="L1023">
        <f t="shared" si="111"/>
        <v>0.37078651685393255</v>
      </c>
    </row>
    <row r="1024" spans="1:13" x14ac:dyDescent="0.25">
      <c r="A1024">
        <v>280618</v>
      </c>
      <c r="B1024" t="s">
        <v>18</v>
      </c>
      <c r="C1024">
        <v>3</v>
      </c>
      <c r="D1024">
        <v>2</v>
      </c>
      <c r="E1024">
        <f>187*2-(11*2)</f>
        <v>352</v>
      </c>
      <c r="F1024">
        <v>8.8000000000000007</v>
      </c>
      <c r="J1024" t="s">
        <v>0</v>
      </c>
    </row>
    <row r="1025" spans="1:13" x14ac:dyDescent="0.25">
      <c r="A1025">
        <v>280618</v>
      </c>
      <c r="B1025" t="s">
        <v>18</v>
      </c>
      <c r="C1025">
        <v>3</v>
      </c>
      <c r="D1025">
        <v>3</v>
      </c>
      <c r="E1025">
        <f>233*2-(11*2)</f>
        <v>444</v>
      </c>
      <c r="F1025">
        <v>8.1999999999999993</v>
      </c>
      <c r="G1025">
        <v>4.0999999999999996</v>
      </c>
      <c r="H1025">
        <v>3.8</v>
      </c>
      <c r="I1025">
        <v>5</v>
      </c>
      <c r="K1025">
        <f t="shared" si="110"/>
        <v>0.82</v>
      </c>
      <c r="L1025">
        <f t="shared" si="111"/>
        <v>0.60975609756097571</v>
      </c>
    </row>
    <row r="1026" spans="1:13" x14ac:dyDescent="0.25">
      <c r="A1026">
        <v>280618</v>
      </c>
      <c r="B1026" t="s">
        <v>18</v>
      </c>
      <c r="C1026">
        <v>3</v>
      </c>
      <c r="D1026">
        <v>4</v>
      </c>
      <c r="E1026">
        <f>258*2-(11*2)</f>
        <v>494</v>
      </c>
      <c r="F1026">
        <v>9</v>
      </c>
      <c r="G1026">
        <v>4.8</v>
      </c>
      <c r="H1026">
        <v>4.2</v>
      </c>
      <c r="I1026">
        <v>4.5</v>
      </c>
      <c r="K1026">
        <f t="shared" si="110"/>
        <v>1.0666666666666667</v>
      </c>
      <c r="L1026">
        <f t="shared" si="111"/>
        <v>0.5</v>
      </c>
    </row>
    <row r="1027" spans="1:13" x14ac:dyDescent="0.25">
      <c r="A1027">
        <v>280618</v>
      </c>
      <c r="B1027" t="s">
        <v>18</v>
      </c>
      <c r="C1027">
        <v>3</v>
      </c>
      <c r="D1027">
        <v>5</v>
      </c>
      <c r="E1027">
        <f>273*2-(11*2)</f>
        <v>524</v>
      </c>
      <c r="F1027">
        <v>4.7</v>
      </c>
      <c r="G1027">
        <v>6.5</v>
      </c>
      <c r="H1027">
        <v>4.9000000000000004</v>
      </c>
      <c r="I1027">
        <v>4.5999999999999996</v>
      </c>
      <c r="K1027">
        <f t="shared" si="110"/>
        <v>1.4130434782608696</v>
      </c>
      <c r="L1027">
        <f t="shared" si="111"/>
        <v>0.97872340425531901</v>
      </c>
    </row>
    <row r="1028" spans="1:13" x14ac:dyDescent="0.25">
      <c r="A1028">
        <v>280618</v>
      </c>
      <c r="B1028" t="s">
        <v>18</v>
      </c>
      <c r="C1028">
        <v>3</v>
      </c>
      <c r="D1028">
        <v>6</v>
      </c>
      <c r="E1028">
        <f>289*2-(11*2)</f>
        <v>556</v>
      </c>
      <c r="F1028">
        <v>7.1</v>
      </c>
      <c r="G1028">
        <v>5</v>
      </c>
      <c r="H1028">
        <v>6</v>
      </c>
      <c r="I1028">
        <v>4.5</v>
      </c>
      <c r="K1028">
        <f t="shared" si="110"/>
        <v>1.1111111111111112</v>
      </c>
      <c r="L1028">
        <f t="shared" si="111"/>
        <v>0.63380281690140849</v>
      </c>
    </row>
    <row r="1029" spans="1:13" x14ac:dyDescent="0.25">
      <c r="A1029">
        <v>280618</v>
      </c>
      <c r="B1029" t="s">
        <v>18</v>
      </c>
      <c r="C1029">
        <v>3</v>
      </c>
      <c r="D1029">
        <v>7</v>
      </c>
      <c r="E1029">
        <f>310*2-(11*2)</f>
        <v>598</v>
      </c>
      <c r="F1029">
        <v>7.8</v>
      </c>
      <c r="G1029">
        <v>6.3</v>
      </c>
      <c r="H1029">
        <v>6.1</v>
      </c>
      <c r="I1029">
        <v>6.2</v>
      </c>
      <c r="K1029">
        <f t="shared" si="110"/>
        <v>1.0161290322580645</v>
      </c>
      <c r="L1029">
        <f t="shared" si="111"/>
        <v>0.79487179487179493</v>
      </c>
    </row>
    <row r="1030" spans="1:13" x14ac:dyDescent="0.25">
      <c r="A1030">
        <v>280618</v>
      </c>
      <c r="B1030" t="s">
        <v>18</v>
      </c>
      <c r="C1030">
        <v>3</v>
      </c>
      <c r="D1030">
        <v>8</v>
      </c>
      <c r="E1030">
        <f>351*2-(11*2)</f>
        <v>680</v>
      </c>
      <c r="F1030">
        <v>6.4</v>
      </c>
      <c r="J1030" t="s">
        <v>0</v>
      </c>
    </row>
    <row r="1031" spans="1:13" x14ac:dyDescent="0.25">
      <c r="A1031">
        <v>280618</v>
      </c>
      <c r="B1031" t="s">
        <v>18</v>
      </c>
      <c r="C1031">
        <v>3</v>
      </c>
      <c r="D1031">
        <v>9</v>
      </c>
      <c r="E1031">
        <f>361*2-(11*2)</f>
        <v>700</v>
      </c>
      <c r="F1031">
        <v>6.6</v>
      </c>
      <c r="G1031">
        <v>3.4</v>
      </c>
      <c r="H1031">
        <v>3.4</v>
      </c>
      <c r="I1031">
        <v>4</v>
      </c>
      <c r="K1031">
        <f t="shared" si="110"/>
        <v>0.85</v>
      </c>
      <c r="L1031">
        <f t="shared" si="111"/>
        <v>0.60606060606060608</v>
      </c>
      <c r="M1031" t="s">
        <v>9</v>
      </c>
    </row>
    <row r="1032" spans="1:13" x14ac:dyDescent="0.25">
      <c r="A1032">
        <v>280618</v>
      </c>
      <c r="B1032" t="s">
        <v>18</v>
      </c>
      <c r="C1032">
        <v>3</v>
      </c>
      <c r="D1032">
        <v>10</v>
      </c>
      <c r="E1032">
        <f>388*2-(11*2)</f>
        <v>754</v>
      </c>
      <c r="F1032">
        <v>6.1</v>
      </c>
      <c r="G1032">
        <v>5.2</v>
      </c>
      <c r="H1032">
        <v>4.8</v>
      </c>
      <c r="I1032">
        <v>4.8</v>
      </c>
      <c r="K1032">
        <f t="shared" si="110"/>
        <v>1.0833333333333335</v>
      </c>
      <c r="L1032">
        <f t="shared" si="111"/>
        <v>0.78688524590163933</v>
      </c>
      <c r="M1032" t="s">
        <v>9</v>
      </c>
    </row>
    <row r="1033" spans="1:13" x14ac:dyDescent="0.25">
      <c r="A1033">
        <v>280618</v>
      </c>
      <c r="B1033" t="s">
        <v>18</v>
      </c>
      <c r="C1033">
        <v>3</v>
      </c>
      <c r="D1033">
        <v>11</v>
      </c>
      <c r="E1033">
        <f>391*2-(11*2)</f>
        <v>760</v>
      </c>
      <c r="F1033">
        <v>7.1</v>
      </c>
      <c r="G1033">
        <v>4.5</v>
      </c>
      <c r="H1033">
        <v>5.0999999999999996</v>
      </c>
      <c r="I1033">
        <v>5.5</v>
      </c>
      <c r="K1033">
        <f t="shared" si="110"/>
        <v>0.81818181818181823</v>
      </c>
      <c r="L1033">
        <f t="shared" si="111"/>
        <v>0.77464788732394374</v>
      </c>
      <c r="M1033" t="s">
        <v>9</v>
      </c>
    </row>
    <row r="1034" spans="1:13" x14ac:dyDescent="0.25">
      <c r="A1034">
        <v>280618</v>
      </c>
      <c r="B1034" t="s">
        <v>18</v>
      </c>
      <c r="C1034">
        <v>4</v>
      </c>
      <c r="D1034">
        <v>1</v>
      </c>
      <c r="E1034">
        <f>106*2</f>
        <v>212</v>
      </c>
      <c r="F1034">
        <v>11.7</v>
      </c>
      <c r="G1034">
        <v>4</v>
      </c>
      <c r="H1034">
        <v>5.8</v>
      </c>
      <c r="I1034">
        <v>5.8</v>
      </c>
      <c r="K1034">
        <f t="shared" si="110"/>
        <v>0.68965517241379315</v>
      </c>
      <c r="L1034">
        <f t="shared" si="111"/>
        <v>0.49572649572649574</v>
      </c>
    </row>
    <row r="1035" spans="1:13" x14ac:dyDescent="0.25">
      <c r="A1035">
        <v>280618</v>
      </c>
      <c r="B1035" t="s">
        <v>18</v>
      </c>
      <c r="C1035">
        <v>4</v>
      </c>
      <c r="D1035">
        <v>2</v>
      </c>
      <c r="E1035">
        <f>178*2</f>
        <v>356</v>
      </c>
      <c r="F1035">
        <v>10.199999999999999</v>
      </c>
      <c r="G1035">
        <v>4.5999999999999996</v>
      </c>
      <c r="H1035">
        <v>6.5</v>
      </c>
      <c r="I1035">
        <v>4.2</v>
      </c>
      <c r="K1035">
        <f t="shared" si="110"/>
        <v>1.0952380952380951</v>
      </c>
      <c r="L1035">
        <f t="shared" si="111"/>
        <v>0.41176470588235298</v>
      </c>
    </row>
    <row r="1036" spans="1:13" x14ac:dyDescent="0.25">
      <c r="A1036">
        <v>280618</v>
      </c>
      <c r="B1036" t="s">
        <v>18</v>
      </c>
      <c r="C1036">
        <v>4</v>
      </c>
      <c r="D1036">
        <v>3</v>
      </c>
      <c r="E1036">
        <f>237*2</f>
        <v>474</v>
      </c>
      <c r="F1036">
        <v>9.5</v>
      </c>
      <c r="G1036">
        <v>4</v>
      </c>
      <c r="H1036">
        <v>4.2</v>
      </c>
      <c r="I1036">
        <v>5.0999999999999996</v>
      </c>
      <c r="K1036">
        <f t="shared" si="110"/>
        <v>0.78431372549019618</v>
      </c>
      <c r="L1036">
        <f t="shared" si="111"/>
        <v>0.5368421052631579</v>
      </c>
    </row>
    <row r="1037" spans="1:13" x14ac:dyDescent="0.25">
      <c r="A1037">
        <v>280618</v>
      </c>
      <c r="B1037" t="s">
        <v>18</v>
      </c>
      <c r="C1037">
        <v>4</v>
      </c>
      <c r="D1037">
        <v>4</v>
      </c>
      <c r="E1037">
        <f>245*2</f>
        <v>490</v>
      </c>
      <c r="F1037">
        <v>10</v>
      </c>
      <c r="G1037">
        <v>3.4</v>
      </c>
      <c r="H1037">
        <v>3.6</v>
      </c>
      <c r="I1037">
        <v>4.0999999999999996</v>
      </c>
      <c r="K1037">
        <f t="shared" si="110"/>
        <v>0.8292682926829269</v>
      </c>
      <c r="L1037">
        <f t="shared" si="111"/>
        <v>0.41</v>
      </c>
    </row>
    <row r="1038" spans="1:13" x14ac:dyDescent="0.25">
      <c r="A1038">
        <v>280618</v>
      </c>
      <c r="B1038" t="s">
        <v>18</v>
      </c>
      <c r="C1038">
        <v>4</v>
      </c>
      <c r="D1038">
        <v>5</v>
      </c>
      <c r="E1038">
        <f>276*2</f>
        <v>552</v>
      </c>
      <c r="F1038">
        <v>8.5</v>
      </c>
      <c r="G1038">
        <v>3.1</v>
      </c>
      <c r="H1038">
        <v>4.9000000000000004</v>
      </c>
      <c r="I1038">
        <v>4.0999999999999996</v>
      </c>
      <c r="K1038">
        <f t="shared" si="110"/>
        <v>0.75609756097560987</v>
      </c>
      <c r="L1038">
        <f t="shared" si="111"/>
        <v>0.48235294117647054</v>
      </c>
    </row>
    <row r="1039" spans="1:13" x14ac:dyDescent="0.25">
      <c r="A1039">
        <v>280618</v>
      </c>
      <c r="B1039" t="s">
        <v>18</v>
      </c>
      <c r="C1039">
        <v>4</v>
      </c>
      <c r="D1039">
        <v>6</v>
      </c>
      <c r="E1039">
        <f>288*2</f>
        <v>576</v>
      </c>
      <c r="F1039">
        <v>8.5</v>
      </c>
      <c r="G1039">
        <v>3.1</v>
      </c>
      <c r="H1039">
        <v>3.7</v>
      </c>
      <c r="I1039">
        <v>3.5</v>
      </c>
      <c r="K1039">
        <f t="shared" si="110"/>
        <v>0.88571428571428579</v>
      </c>
      <c r="L1039">
        <f t="shared" si="111"/>
        <v>0.41176470588235292</v>
      </c>
    </row>
    <row r="1040" spans="1:13" x14ac:dyDescent="0.25">
      <c r="A1040">
        <v>280618</v>
      </c>
      <c r="B1040" t="s">
        <v>18</v>
      </c>
      <c r="C1040">
        <v>4</v>
      </c>
      <c r="D1040">
        <v>7</v>
      </c>
      <c r="E1040">
        <f>315*2</f>
        <v>630</v>
      </c>
      <c r="F1040">
        <v>7.2</v>
      </c>
      <c r="J1040" t="s">
        <v>0</v>
      </c>
    </row>
    <row r="1041" spans="1:13" x14ac:dyDescent="0.25">
      <c r="A1041">
        <v>280618</v>
      </c>
      <c r="B1041" t="s">
        <v>18</v>
      </c>
      <c r="C1041">
        <v>4</v>
      </c>
      <c r="D1041">
        <v>8</v>
      </c>
      <c r="E1041">
        <f>337*2</f>
        <v>674</v>
      </c>
      <c r="F1041">
        <v>7.4</v>
      </c>
      <c r="G1041">
        <v>3.6</v>
      </c>
      <c r="H1041">
        <v>4.0999999999999996</v>
      </c>
      <c r="I1041">
        <v>3.7</v>
      </c>
      <c r="K1041">
        <f t="shared" si="110"/>
        <v>0.97297297297297292</v>
      </c>
      <c r="L1041">
        <f t="shared" si="111"/>
        <v>0.5</v>
      </c>
    </row>
    <row r="1042" spans="1:13" x14ac:dyDescent="0.25">
      <c r="A1042">
        <v>280618</v>
      </c>
      <c r="B1042" t="s">
        <v>18</v>
      </c>
      <c r="C1042">
        <v>4</v>
      </c>
      <c r="D1042">
        <v>9</v>
      </c>
      <c r="E1042">
        <f>356*2</f>
        <v>712</v>
      </c>
      <c r="F1042">
        <v>8.5</v>
      </c>
      <c r="G1042">
        <v>4.5</v>
      </c>
      <c r="H1042">
        <v>4.2</v>
      </c>
      <c r="I1042">
        <v>5.3</v>
      </c>
      <c r="K1042">
        <f t="shared" si="110"/>
        <v>0.84905660377358494</v>
      </c>
      <c r="L1042">
        <f t="shared" si="111"/>
        <v>0.62352941176470589</v>
      </c>
    </row>
    <row r="1043" spans="1:13" x14ac:dyDescent="0.25">
      <c r="A1043">
        <v>280618</v>
      </c>
      <c r="B1043" t="s">
        <v>18</v>
      </c>
      <c r="C1043">
        <v>4</v>
      </c>
      <c r="D1043">
        <v>10</v>
      </c>
      <c r="E1043">
        <f>369*2</f>
        <v>738</v>
      </c>
      <c r="F1043">
        <v>6.8</v>
      </c>
      <c r="J1043" t="s">
        <v>0</v>
      </c>
    </row>
    <row r="1044" spans="1:13" x14ac:dyDescent="0.25">
      <c r="A1044">
        <v>280618</v>
      </c>
      <c r="B1044" t="s">
        <v>18</v>
      </c>
      <c r="C1044">
        <v>5</v>
      </c>
      <c r="D1044">
        <v>1</v>
      </c>
      <c r="E1044">
        <f>36*2</f>
        <v>72</v>
      </c>
      <c r="F1044">
        <v>7</v>
      </c>
      <c r="J1044" t="s">
        <v>0</v>
      </c>
    </row>
    <row r="1045" spans="1:13" x14ac:dyDescent="0.25">
      <c r="A1045">
        <v>280618</v>
      </c>
      <c r="B1045" t="s">
        <v>18</v>
      </c>
      <c r="C1045">
        <v>5</v>
      </c>
      <c r="D1045">
        <v>2</v>
      </c>
      <c r="E1045">
        <f>104*2</f>
        <v>208</v>
      </c>
      <c r="F1045">
        <v>8.6</v>
      </c>
      <c r="G1045">
        <v>3.2</v>
      </c>
      <c r="H1045">
        <v>2.9</v>
      </c>
      <c r="I1045">
        <v>3.1</v>
      </c>
      <c r="K1045">
        <f t="shared" si="110"/>
        <v>1.032258064516129</v>
      </c>
      <c r="L1045">
        <f t="shared" si="111"/>
        <v>0.3604651162790698</v>
      </c>
    </row>
    <row r="1046" spans="1:13" x14ac:dyDescent="0.25">
      <c r="A1046">
        <v>280618</v>
      </c>
      <c r="B1046" t="s">
        <v>18</v>
      </c>
      <c r="C1046">
        <v>5</v>
      </c>
      <c r="D1046">
        <v>3</v>
      </c>
      <c r="E1046">
        <f>116*2</f>
        <v>232</v>
      </c>
      <c r="F1046">
        <v>6.8</v>
      </c>
      <c r="M1046" t="s">
        <v>2</v>
      </c>
    </row>
    <row r="1047" spans="1:13" x14ac:dyDescent="0.25">
      <c r="A1047">
        <v>280618</v>
      </c>
      <c r="B1047" t="s">
        <v>18</v>
      </c>
      <c r="C1047">
        <v>5</v>
      </c>
      <c r="D1047">
        <v>4</v>
      </c>
      <c r="E1047">
        <f>133*2</f>
        <v>266</v>
      </c>
      <c r="F1047">
        <v>5.2</v>
      </c>
      <c r="G1047">
        <v>2.4</v>
      </c>
      <c r="H1047">
        <v>2.2999999999999998</v>
      </c>
      <c r="I1047">
        <v>2.7</v>
      </c>
      <c r="K1047">
        <f t="shared" si="110"/>
        <v>0.88888888888888884</v>
      </c>
      <c r="L1047">
        <f t="shared" si="111"/>
        <v>0.51923076923076927</v>
      </c>
    </row>
    <row r="1048" spans="1:13" x14ac:dyDescent="0.25">
      <c r="A1048">
        <v>280618</v>
      </c>
      <c r="B1048" t="s">
        <v>18</v>
      </c>
      <c r="C1048">
        <v>5</v>
      </c>
      <c r="D1048">
        <v>5</v>
      </c>
      <c r="E1048">
        <f>163*2</f>
        <v>326</v>
      </c>
      <c r="F1048">
        <v>6.3</v>
      </c>
      <c r="G1048">
        <v>3.1</v>
      </c>
      <c r="H1048">
        <v>4.2</v>
      </c>
      <c r="I1048">
        <v>4.0999999999999996</v>
      </c>
      <c r="K1048">
        <f t="shared" si="110"/>
        <v>0.75609756097560987</v>
      </c>
      <c r="L1048">
        <f t="shared" si="111"/>
        <v>0.6507936507936507</v>
      </c>
    </row>
    <row r="1049" spans="1:13" x14ac:dyDescent="0.25">
      <c r="A1049">
        <v>280618</v>
      </c>
      <c r="B1049" t="s">
        <v>18</v>
      </c>
      <c r="C1049">
        <v>5</v>
      </c>
      <c r="D1049">
        <v>6</v>
      </c>
      <c r="E1049">
        <f>166*2</f>
        <v>332</v>
      </c>
      <c r="F1049">
        <v>6.4</v>
      </c>
      <c r="G1049">
        <v>2.7</v>
      </c>
      <c r="H1049">
        <v>2.8</v>
      </c>
      <c r="I1049">
        <v>3.7</v>
      </c>
      <c r="K1049">
        <f t="shared" si="110"/>
        <v>0.72972972972972971</v>
      </c>
      <c r="L1049">
        <f t="shared" si="111"/>
        <v>0.578125</v>
      </c>
    </row>
    <row r="1050" spans="1:13" x14ac:dyDescent="0.25">
      <c r="A1050">
        <v>280618</v>
      </c>
      <c r="B1050" t="s">
        <v>18</v>
      </c>
      <c r="C1050">
        <v>5</v>
      </c>
      <c r="D1050">
        <v>7</v>
      </c>
      <c r="E1050">
        <f>180*2</f>
        <v>360</v>
      </c>
      <c r="F1050">
        <v>6</v>
      </c>
      <c r="G1050">
        <v>3</v>
      </c>
      <c r="H1050">
        <v>3.4</v>
      </c>
      <c r="I1050">
        <v>3</v>
      </c>
      <c r="K1050">
        <f t="shared" si="110"/>
        <v>1</v>
      </c>
      <c r="L1050">
        <f t="shared" si="111"/>
        <v>0.5</v>
      </c>
    </row>
    <row r="1051" spans="1:13" x14ac:dyDescent="0.25">
      <c r="A1051">
        <v>280618</v>
      </c>
      <c r="B1051" t="s">
        <v>18</v>
      </c>
      <c r="C1051">
        <v>5</v>
      </c>
      <c r="D1051">
        <v>8</v>
      </c>
      <c r="E1051">
        <f>186*2</f>
        <v>372</v>
      </c>
      <c r="F1051">
        <v>5.0999999999999996</v>
      </c>
      <c r="G1051">
        <v>2.7</v>
      </c>
      <c r="H1051">
        <v>3</v>
      </c>
      <c r="I1051">
        <v>3.1</v>
      </c>
      <c r="K1051">
        <f t="shared" si="110"/>
        <v>0.87096774193548387</v>
      </c>
      <c r="L1051">
        <f t="shared" si="111"/>
        <v>0.60784313725490202</v>
      </c>
    </row>
    <row r="1052" spans="1:13" x14ac:dyDescent="0.25">
      <c r="A1052">
        <v>280618</v>
      </c>
      <c r="B1052" t="s">
        <v>18</v>
      </c>
      <c r="C1052">
        <v>5</v>
      </c>
      <c r="D1052">
        <v>9</v>
      </c>
      <c r="E1052">
        <f>200*2</f>
        <v>400</v>
      </c>
      <c r="F1052">
        <v>5.7</v>
      </c>
      <c r="M1052" t="s">
        <v>2</v>
      </c>
    </row>
    <row r="1053" spans="1:13" x14ac:dyDescent="0.25">
      <c r="A1053">
        <v>280618</v>
      </c>
      <c r="B1053" t="s">
        <v>18</v>
      </c>
      <c r="C1053">
        <v>6</v>
      </c>
      <c r="D1053">
        <v>1</v>
      </c>
      <c r="E1053">
        <f>112*2</f>
        <v>224</v>
      </c>
      <c r="F1053">
        <v>15.5</v>
      </c>
      <c r="G1053">
        <v>3.4</v>
      </c>
      <c r="H1053">
        <v>7.3</v>
      </c>
      <c r="I1053">
        <v>4.8</v>
      </c>
      <c r="K1053">
        <f t="shared" si="110"/>
        <v>0.70833333333333337</v>
      </c>
      <c r="L1053">
        <f t="shared" si="111"/>
        <v>0.30967741935483872</v>
      </c>
    </row>
    <row r="1054" spans="1:13" x14ac:dyDescent="0.25">
      <c r="A1054">
        <v>280618</v>
      </c>
      <c r="B1054" t="s">
        <v>18</v>
      </c>
      <c r="C1054">
        <v>6</v>
      </c>
      <c r="D1054">
        <v>2</v>
      </c>
      <c r="E1054">
        <f>283*2</f>
        <v>566</v>
      </c>
      <c r="F1054">
        <v>15</v>
      </c>
      <c r="G1054">
        <v>3.4</v>
      </c>
      <c r="H1054">
        <v>4.3</v>
      </c>
      <c r="I1054">
        <v>4.3</v>
      </c>
      <c r="K1054">
        <f t="shared" si="110"/>
        <v>0.79069767441860461</v>
      </c>
      <c r="L1054">
        <f t="shared" si="111"/>
        <v>0.28666666666666668</v>
      </c>
    </row>
    <row r="1055" spans="1:13" x14ac:dyDescent="0.25">
      <c r="A1055">
        <v>280618</v>
      </c>
      <c r="B1055" t="s">
        <v>18</v>
      </c>
      <c r="C1055">
        <v>6</v>
      </c>
      <c r="D1055">
        <v>3</v>
      </c>
      <c r="E1055">
        <f>289*2</f>
        <v>578</v>
      </c>
      <c r="F1055">
        <v>15.6</v>
      </c>
      <c r="J1055" t="s">
        <v>0</v>
      </c>
    </row>
    <row r="1056" spans="1:13" x14ac:dyDescent="0.25">
      <c r="A1056">
        <v>280618</v>
      </c>
      <c r="B1056" t="s">
        <v>18</v>
      </c>
      <c r="C1056">
        <v>6</v>
      </c>
      <c r="D1056">
        <v>4</v>
      </c>
      <c r="E1056">
        <f>334*2</f>
        <v>668</v>
      </c>
      <c r="F1056">
        <v>14</v>
      </c>
      <c r="G1056">
        <v>8.3000000000000007</v>
      </c>
      <c r="H1056">
        <v>6.5</v>
      </c>
      <c r="I1056">
        <v>5.9</v>
      </c>
      <c r="K1056">
        <f t="shared" si="110"/>
        <v>1.4067796610169492</v>
      </c>
      <c r="L1056">
        <f t="shared" si="111"/>
        <v>0.42142857142857143</v>
      </c>
      <c r="M1056" t="s">
        <v>9</v>
      </c>
    </row>
    <row r="1057" spans="1:13" x14ac:dyDescent="0.25">
      <c r="A1057">
        <v>280618</v>
      </c>
      <c r="B1057" t="s">
        <v>18</v>
      </c>
      <c r="C1057">
        <v>7</v>
      </c>
      <c r="D1057">
        <v>1</v>
      </c>
      <c r="E1057">
        <f>227*2</f>
        <v>454</v>
      </c>
      <c r="F1057">
        <v>12.8</v>
      </c>
      <c r="G1057">
        <v>7.3</v>
      </c>
      <c r="H1057">
        <v>8.9</v>
      </c>
      <c r="I1057">
        <v>5.9</v>
      </c>
      <c r="K1057">
        <f t="shared" si="110"/>
        <v>1.2372881355932202</v>
      </c>
      <c r="L1057">
        <f t="shared" si="111"/>
        <v>0.4609375</v>
      </c>
    </row>
    <row r="1058" spans="1:13" x14ac:dyDescent="0.25">
      <c r="A1058">
        <v>280618</v>
      </c>
      <c r="B1058" t="s">
        <v>18</v>
      </c>
      <c r="C1058">
        <v>7</v>
      </c>
      <c r="D1058">
        <v>2</v>
      </c>
      <c r="E1058">
        <f>265*2</f>
        <v>530</v>
      </c>
      <c r="F1058">
        <v>12.5</v>
      </c>
      <c r="G1058">
        <v>5.0999999999999996</v>
      </c>
      <c r="I1058">
        <f>(3.4+5.4)/2</f>
        <v>4.4000000000000004</v>
      </c>
      <c r="K1058">
        <f t="shared" si="110"/>
        <v>1.1590909090909089</v>
      </c>
      <c r="L1058">
        <f t="shared" si="111"/>
        <v>0.35200000000000004</v>
      </c>
      <c r="M1058" t="s">
        <v>2</v>
      </c>
    </row>
    <row r="1059" spans="1:13" x14ac:dyDescent="0.25">
      <c r="A1059">
        <v>280618</v>
      </c>
      <c r="B1059" t="s">
        <v>18</v>
      </c>
      <c r="C1059">
        <v>8</v>
      </c>
      <c r="D1059">
        <v>1</v>
      </c>
      <c r="E1059">
        <f>121*2</f>
        <v>242</v>
      </c>
      <c r="F1059">
        <v>6.4</v>
      </c>
      <c r="G1059">
        <v>3.2</v>
      </c>
      <c r="H1059">
        <v>5.4</v>
      </c>
      <c r="I1059">
        <v>3.9</v>
      </c>
      <c r="K1059">
        <f t="shared" si="110"/>
        <v>0.8205128205128206</v>
      </c>
      <c r="L1059">
        <f t="shared" si="111"/>
        <v>0.609375</v>
      </c>
    </row>
    <row r="1060" spans="1:13" x14ac:dyDescent="0.25">
      <c r="A1060">
        <v>280618</v>
      </c>
      <c r="B1060" t="s">
        <v>18</v>
      </c>
      <c r="C1060">
        <v>8</v>
      </c>
      <c r="D1060">
        <v>2</v>
      </c>
      <c r="E1060">
        <f>217*2</f>
        <v>434</v>
      </c>
      <c r="F1060">
        <v>8.3000000000000007</v>
      </c>
      <c r="G1060">
        <v>4.5</v>
      </c>
      <c r="H1060">
        <v>5.4</v>
      </c>
      <c r="I1060">
        <v>3.9</v>
      </c>
      <c r="K1060">
        <f t="shared" si="110"/>
        <v>1.153846153846154</v>
      </c>
      <c r="L1060">
        <f t="shared" si="111"/>
        <v>0.46987951807228912</v>
      </c>
    </row>
    <row r="1061" spans="1:13" x14ac:dyDescent="0.25">
      <c r="A1061">
        <v>280618</v>
      </c>
      <c r="B1061" t="s">
        <v>18</v>
      </c>
      <c r="C1061">
        <v>8</v>
      </c>
      <c r="D1061">
        <v>3</v>
      </c>
      <c r="E1061">
        <f>247*2</f>
        <v>494</v>
      </c>
      <c r="F1061">
        <v>7.2</v>
      </c>
      <c r="G1061">
        <v>3.4</v>
      </c>
      <c r="H1061">
        <v>3.5</v>
      </c>
      <c r="I1061">
        <v>2.8</v>
      </c>
      <c r="K1061">
        <f t="shared" si="110"/>
        <v>1.2142857142857144</v>
      </c>
      <c r="L1061">
        <f t="shared" si="111"/>
        <v>0.38888888888888884</v>
      </c>
    </row>
    <row r="1062" spans="1:13" x14ac:dyDescent="0.25">
      <c r="A1062">
        <v>280618</v>
      </c>
      <c r="B1062" t="s">
        <v>18</v>
      </c>
      <c r="C1062">
        <v>8</v>
      </c>
      <c r="D1062">
        <v>4</v>
      </c>
      <c r="E1062">
        <f>261*2</f>
        <v>522</v>
      </c>
      <c r="F1062">
        <v>9.8000000000000007</v>
      </c>
      <c r="G1062">
        <v>4.9000000000000004</v>
      </c>
      <c r="H1062">
        <v>4.0999999999999996</v>
      </c>
      <c r="I1062">
        <v>3.9</v>
      </c>
      <c r="K1062">
        <f t="shared" si="110"/>
        <v>1.2564102564102566</v>
      </c>
      <c r="L1062">
        <f t="shared" si="111"/>
        <v>0.39795918367346933</v>
      </c>
    </row>
    <row r="1063" spans="1:13" x14ac:dyDescent="0.25">
      <c r="A1063">
        <v>280618</v>
      </c>
      <c r="B1063" t="s">
        <v>18</v>
      </c>
      <c r="C1063">
        <v>8</v>
      </c>
      <c r="D1063">
        <v>5</v>
      </c>
      <c r="E1063">
        <f>293*2</f>
        <v>586</v>
      </c>
      <c r="F1063">
        <v>7.7</v>
      </c>
      <c r="G1063">
        <v>4.4000000000000004</v>
      </c>
      <c r="H1063">
        <v>5</v>
      </c>
      <c r="I1063">
        <v>5.5</v>
      </c>
      <c r="K1063">
        <f t="shared" si="110"/>
        <v>0.8</v>
      </c>
      <c r="L1063">
        <f t="shared" si="111"/>
        <v>0.7142857142857143</v>
      </c>
    </row>
    <row r="1064" spans="1:13" x14ac:dyDescent="0.25">
      <c r="A1064">
        <v>280618</v>
      </c>
      <c r="B1064" t="s">
        <v>18</v>
      </c>
      <c r="C1064">
        <v>8</v>
      </c>
      <c r="D1064">
        <v>6</v>
      </c>
      <c r="E1064">
        <f>310*2</f>
        <v>620</v>
      </c>
      <c r="F1064">
        <v>8.1</v>
      </c>
      <c r="G1064">
        <v>4.5</v>
      </c>
      <c r="H1064">
        <v>5.7</v>
      </c>
      <c r="I1064">
        <v>4.5</v>
      </c>
      <c r="K1064">
        <f t="shared" si="110"/>
        <v>1</v>
      </c>
      <c r="L1064">
        <f t="shared" si="111"/>
        <v>0.55555555555555558</v>
      </c>
      <c r="M1064" t="s">
        <v>9</v>
      </c>
    </row>
    <row r="1065" spans="1:13" x14ac:dyDescent="0.25">
      <c r="A1065">
        <v>280618</v>
      </c>
      <c r="B1065" t="s">
        <v>18</v>
      </c>
      <c r="C1065">
        <v>8</v>
      </c>
      <c r="D1065">
        <v>7</v>
      </c>
      <c r="E1065">
        <f>342*2</f>
        <v>684</v>
      </c>
      <c r="F1065">
        <v>6.9</v>
      </c>
      <c r="G1065">
        <v>3.6</v>
      </c>
      <c r="H1065">
        <v>4.0999999999999996</v>
      </c>
      <c r="I1065">
        <v>3.9</v>
      </c>
      <c r="K1065">
        <f t="shared" si="110"/>
        <v>0.92307692307692313</v>
      </c>
      <c r="L1065">
        <f t="shared" si="111"/>
        <v>0.56521739130434778</v>
      </c>
      <c r="M1065" t="s">
        <v>9</v>
      </c>
    </row>
    <row r="1066" spans="1:13" x14ac:dyDescent="0.25">
      <c r="A1066">
        <v>280618</v>
      </c>
      <c r="B1066" t="s">
        <v>18</v>
      </c>
      <c r="C1066">
        <v>8</v>
      </c>
      <c r="D1066">
        <v>8</v>
      </c>
      <c r="E1066">
        <f>350*2</f>
        <v>700</v>
      </c>
      <c r="F1066">
        <v>4.8</v>
      </c>
      <c r="G1066">
        <v>4.2</v>
      </c>
      <c r="H1066">
        <v>6.1</v>
      </c>
      <c r="I1066">
        <v>4.5</v>
      </c>
      <c r="K1066">
        <f t="shared" si="110"/>
        <v>0.93333333333333335</v>
      </c>
      <c r="L1066">
        <f t="shared" si="111"/>
        <v>0.9375</v>
      </c>
      <c r="M1066" t="s">
        <v>9</v>
      </c>
    </row>
    <row r="1067" spans="1:13" x14ac:dyDescent="0.25">
      <c r="A1067">
        <v>30718</v>
      </c>
      <c r="B1067" t="s">
        <v>18</v>
      </c>
      <c r="C1067">
        <v>1</v>
      </c>
      <c r="D1067">
        <v>1</v>
      </c>
      <c r="E1067">
        <f>25*2</f>
        <v>50</v>
      </c>
      <c r="F1067">
        <v>15.9</v>
      </c>
      <c r="J1067" t="s">
        <v>0</v>
      </c>
    </row>
    <row r="1068" spans="1:13" x14ac:dyDescent="0.25">
      <c r="A1068">
        <v>30718</v>
      </c>
      <c r="B1068" t="s">
        <v>18</v>
      </c>
      <c r="C1068">
        <v>1</v>
      </c>
      <c r="D1068">
        <v>2</v>
      </c>
      <c r="E1068">
        <f>151*2</f>
        <v>302</v>
      </c>
      <c r="F1068">
        <v>18.2</v>
      </c>
      <c r="J1068" t="s">
        <v>0</v>
      </c>
    </row>
    <row r="1069" spans="1:13" x14ac:dyDescent="0.25">
      <c r="A1069">
        <v>30718</v>
      </c>
      <c r="B1069" t="s">
        <v>18</v>
      </c>
      <c r="C1069">
        <v>1</v>
      </c>
      <c r="D1069">
        <v>3</v>
      </c>
      <c r="E1069">
        <f>212*2</f>
        <v>424</v>
      </c>
      <c r="F1069">
        <v>12.8</v>
      </c>
      <c r="G1069">
        <v>6.1</v>
      </c>
      <c r="H1069">
        <v>9.1</v>
      </c>
      <c r="I1069">
        <v>9.8000000000000007</v>
      </c>
      <c r="K1069">
        <f t="shared" ref="K1069:K1131" si="112">G1069/I1069</f>
        <v>0.62244897959183665</v>
      </c>
      <c r="L1069">
        <f t="shared" ref="L1069:L1131" si="113">I1069/F1069</f>
        <v>0.765625</v>
      </c>
      <c r="M1069" t="s">
        <v>9</v>
      </c>
    </row>
    <row r="1070" spans="1:13" x14ac:dyDescent="0.25">
      <c r="A1070">
        <v>30718</v>
      </c>
      <c r="B1070" t="s">
        <v>18</v>
      </c>
      <c r="C1070">
        <v>2</v>
      </c>
      <c r="D1070">
        <v>1</v>
      </c>
      <c r="E1070">
        <f>37*2</f>
        <v>74</v>
      </c>
      <c r="F1070">
        <v>12</v>
      </c>
      <c r="G1070">
        <v>4.5999999999999996</v>
      </c>
      <c r="H1070">
        <v>9.1</v>
      </c>
      <c r="I1070">
        <v>5.9</v>
      </c>
      <c r="K1070">
        <f t="shared" si="112"/>
        <v>0.77966101694915246</v>
      </c>
      <c r="L1070">
        <f t="shared" si="113"/>
        <v>0.4916666666666667</v>
      </c>
    </row>
    <row r="1071" spans="1:13" x14ac:dyDescent="0.25">
      <c r="A1071">
        <v>30718</v>
      </c>
      <c r="B1071" t="s">
        <v>18</v>
      </c>
      <c r="C1071">
        <v>2</v>
      </c>
      <c r="D1071">
        <v>2</v>
      </c>
      <c r="E1071">
        <f>133*2</f>
        <v>266</v>
      </c>
      <c r="F1071">
        <v>8.8000000000000007</v>
      </c>
      <c r="G1071">
        <v>4.3</v>
      </c>
      <c r="H1071">
        <v>8.1</v>
      </c>
      <c r="I1071">
        <v>6.4</v>
      </c>
      <c r="K1071">
        <f t="shared" si="112"/>
        <v>0.67187499999999989</v>
      </c>
      <c r="L1071">
        <f t="shared" si="113"/>
        <v>0.72727272727272729</v>
      </c>
    </row>
    <row r="1072" spans="1:13" x14ac:dyDescent="0.25">
      <c r="A1072">
        <v>30718</v>
      </c>
      <c r="B1072" t="s">
        <v>18</v>
      </c>
      <c r="C1072">
        <v>2</v>
      </c>
      <c r="D1072">
        <v>3</v>
      </c>
      <c r="E1072">
        <f>135*2</f>
        <v>270</v>
      </c>
      <c r="F1072">
        <v>9.8000000000000007</v>
      </c>
      <c r="G1072">
        <v>5.2</v>
      </c>
      <c r="H1072">
        <v>8.6</v>
      </c>
      <c r="I1072">
        <v>6.3</v>
      </c>
      <c r="K1072">
        <f t="shared" si="112"/>
        <v>0.82539682539682546</v>
      </c>
      <c r="L1072">
        <f t="shared" si="113"/>
        <v>0.64285714285714279</v>
      </c>
    </row>
    <row r="1073" spans="1:13" x14ac:dyDescent="0.25">
      <c r="A1073">
        <v>30718</v>
      </c>
      <c r="B1073" t="s">
        <v>18</v>
      </c>
      <c r="C1073">
        <v>2</v>
      </c>
      <c r="D1073">
        <v>4</v>
      </c>
      <c r="E1073">
        <f>182*2</f>
        <v>364</v>
      </c>
      <c r="F1073">
        <v>8.8000000000000007</v>
      </c>
      <c r="J1073" t="s">
        <v>0</v>
      </c>
    </row>
    <row r="1074" spans="1:13" x14ac:dyDescent="0.25">
      <c r="A1074">
        <v>30718</v>
      </c>
      <c r="B1074" t="s">
        <v>18</v>
      </c>
      <c r="C1074">
        <v>2</v>
      </c>
      <c r="D1074">
        <v>5</v>
      </c>
      <c r="E1074">
        <f>214*2</f>
        <v>428</v>
      </c>
      <c r="F1074">
        <v>8</v>
      </c>
      <c r="M1074" t="s">
        <v>8</v>
      </c>
    </row>
    <row r="1075" spans="1:13" x14ac:dyDescent="0.25">
      <c r="A1075">
        <v>30718</v>
      </c>
      <c r="B1075" t="s">
        <v>18</v>
      </c>
      <c r="C1075">
        <v>3</v>
      </c>
      <c r="D1075">
        <v>1</v>
      </c>
      <c r="E1075">
        <f>61*2</f>
        <v>122</v>
      </c>
      <c r="F1075">
        <v>9</v>
      </c>
      <c r="G1075">
        <v>3</v>
      </c>
      <c r="H1075">
        <v>5.2</v>
      </c>
      <c r="I1075">
        <v>3.3</v>
      </c>
      <c r="K1075">
        <f t="shared" si="112"/>
        <v>0.90909090909090917</v>
      </c>
      <c r="L1075">
        <f t="shared" si="113"/>
        <v>0.36666666666666664</v>
      </c>
    </row>
    <row r="1076" spans="1:13" x14ac:dyDescent="0.25">
      <c r="A1076">
        <v>30718</v>
      </c>
      <c r="B1076" t="s">
        <v>18</v>
      </c>
      <c r="C1076">
        <v>3</v>
      </c>
      <c r="D1076">
        <v>2</v>
      </c>
      <c r="E1076">
        <f>141*2</f>
        <v>282</v>
      </c>
      <c r="F1076">
        <v>10.3</v>
      </c>
      <c r="G1076">
        <v>3.1</v>
      </c>
      <c r="H1076">
        <v>7.8</v>
      </c>
      <c r="I1076">
        <v>4.3</v>
      </c>
      <c r="K1076">
        <f t="shared" si="112"/>
        <v>0.72093023255813959</v>
      </c>
      <c r="L1076">
        <f t="shared" si="113"/>
        <v>0.41747572815533979</v>
      </c>
    </row>
    <row r="1077" spans="1:13" x14ac:dyDescent="0.25">
      <c r="A1077">
        <v>30718</v>
      </c>
      <c r="B1077" t="s">
        <v>18</v>
      </c>
      <c r="C1077">
        <v>3</v>
      </c>
      <c r="D1077">
        <v>3</v>
      </c>
      <c r="E1077">
        <f>142*2</f>
        <v>284</v>
      </c>
      <c r="F1077">
        <v>10.3</v>
      </c>
      <c r="G1077">
        <v>4</v>
      </c>
      <c r="H1077">
        <v>5.5</v>
      </c>
      <c r="I1077">
        <v>3</v>
      </c>
      <c r="K1077">
        <f t="shared" si="112"/>
        <v>1.3333333333333333</v>
      </c>
      <c r="L1077">
        <f t="shared" si="113"/>
        <v>0.29126213592233008</v>
      </c>
    </row>
    <row r="1078" spans="1:13" x14ac:dyDescent="0.25">
      <c r="A1078">
        <v>30718</v>
      </c>
      <c r="B1078" t="s">
        <v>18</v>
      </c>
      <c r="C1078">
        <v>3</v>
      </c>
      <c r="D1078">
        <v>4</v>
      </c>
      <c r="E1078">
        <f>153*2</f>
        <v>306</v>
      </c>
      <c r="F1078">
        <v>11.2</v>
      </c>
      <c r="G1078">
        <v>3.4</v>
      </c>
      <c r="H1078">
        <v>4.5</v>
      </c>
      <c r="I1078">
        <v>3.7</v>
      </c>
      <c r="K1078">
        <f t="shared" si="112"/>
        <v>0.91891891891891886</v>
      </c>
      <c r="L1078">
        <f t="shared" si="113"/>
        <v>0.3303571428571429</v>
      </c>
    </row>
    <row r="1079" spans="1:13" x14ac:dyDescent="0.25">
      <c r="A1079">
        <v>30718</v>
      </c>
      <c r="B1079" t="s">
        <v>18</v>
      </c>
      <c r="C1079">
        <v>3</v>
      </c>
      <c r="D1079">
        <v>5</v>
      </c>
      <c r="E1079">
        <f>207*2</f>
        <v>414</v>
      </c>
      <c r="F1079">
        <v>12.6</v>
      </c>
      <c r="G1079">
        <v>7.6</v>
      </c>
      <c r="H1079">
        <v>6.7</v>
      </c>
      <c r="I1079">
        <v>7.2</v>
      </c>
      <c r="K1079">
        <f t="shared" si="112"/>
        <v>1.0555555555555556</v>
      </c>
      <c r="L1079">
        <f t="shared" si="113"/>
        <v>0.57142857142857151</v>
      </c>
    </row>
    <row r="1080" spans="1:13" x14ac:dyDescent="0.25">
      <c r="A1080">
        <v>30718</v>
      </c>
      <c r="B1080" t="s">
        <v>18</v>
      </c>
      <c r="C1080">
        <v>3</v>
      </c>
      <c r="D1080">
        <v>6</v>
      </c>
      <c r="E1080">
        <f>209*2</f>
        <v>418</v>
      </c>
      <c r="F1080">
        <v>11.9</v>
      </c>
      <c r="G1080">
        <v>3.8</v>
      </c>
      <c r="H1080">
        <v>4</v>
      </c>
      <c r="I1080">
        <v>4.3</v>
      </c>
      <c r="K1080">
        <f t="shared" si="112"/>
        <v>0.88372093023255816</v>
      </c>
      <c r="L1080">
        <f t="shared" si="113"/>
        <v>0.36134453781512604</v>
      </c>
    </row>
    <row r="1081" spans="1:13" x14ac:dyDescent="0.25">
      <c r="A1081">
        <v>30718</v>
      </c>
      <c r="B1081" t="s">
        <v>18</v>
      </c>
      <c r="C1081">
        <v>3</v>
      </c>
      <c r="D1081">
        <v>7</v>
      </c>
      <c r="E1081">
        <f>224*2</f>
        <v>448</v>
      </c>
      <c r="F1081">
        <v>9.1</v>
      </c>
      <c r="M1081" t="s">
        <v>2</v>
      </c>
    </row>
    <row r="1082" spans="1:13" x14ac:dyDescent="0.25">
      <c r="A1082">
        <v>30718</v>
      </c>
      <c r="B1082" t="s">
        <v>18</v>
      </c>
      <c r="C1082">
        <v>3</v>
      </c>
      <c r="D1082">
        <v>8</v>
      </c>
      <c r="E1082">
        <f>247*2</f>
        <v>494</v>
      </c>
      <c r="F1082">
        <v>6.3</v>
      </c>
      <c r="J1082" t="s">
        <v>0</v>
      </c>
    </row>
    <row r="1083" spans="1:13" x14ac:dyDescent="0.25">
      <c r="A1083">
        <v>30718</v>
      </c>
      <c r="B1083" t="s">
        <v>18</v>
      </c>
      <c r="C1083">
        <v>3</v>
      </c>
      <c r="D1083">
        <v>9</v>
      </c>
      <c r="E1083">
        <f>261*2</f>
        <v>522</v>
      </c>
      <c r="F1083">
        <v>8.1999999999999993</v>
      </c>
      <c r="G1083">
        <v>4.7</v>
      </c>
      <c r="H1083">
        <v>5.2</v>
      </c>
      <c r="I1083">
        <v>5.2</v>
      </c>
      <c r="K1083">
        <f t="shared" si="112"/>
        <v>0.90384615384615385</v>
      </c>
      <c r="L1083">
        <f t="shared" si="113"/>
        <v>0.63414634146341475</v>
      </c>
    </row>
    <row r="1084" spans="1:13" x14ac:dyDescent="0.25">
      <c r="A1084">
        <v>30718</v>
      </c>
      <c r="B1084" t="s">
        <v>18</v>
      </c>
      <c r="C1084">
        <v>3</v>
      </c>
      <c r="D1084">
        <v>10</v>
      </c>
      <c r="E1084">
        <f>270*2</f>
        <v>540</v>
      </c>
      <c r="F1084">
        <v>7.3</v>
      </c>
      <c r="M1084" t="s">
        <v>2</v>
      </c>
    </row>
    <row r="1085" spans="1:13" x14ac:dyDescent="0.25">
      <c r="A1085">
        <v>30718</v>
      </c>
      <c r="B1085" t="s">
        <v>18</v>
      </c>
      <c r="C1085">
        <v>3</v>
      </c>
      <c r="D1085">
        <v>11</v>
      </c>
      <c r="E1085">
        <f>271*2</f>
        <v>542</v>
      </c>
      <c r="F1085">
        <v>5.8</v>
      </c>
      <c r="G1085">
        <v>3.4</v>
      </c>
      <c r="H1085">
        <v>3.5</v>
      </c>
      <c r="I1085">
        <v>4</v>
      </c>
      <c r="K1085">
        <f t="shared" si="112"/>
        <v>0.85</v>
      </c>
      <c r="L1085">
        <f t="shared" si="113"/>
        <v>0.68965517241379315</v>
      </c>
    </row>
    <row r="1086" spans="1:13" x14ac:dyDescent="0.25">
      <c r="A1086">
        <v>30718</v>
      </c>
      <c r="B1086" t="s">
        <v>18</v>
      </c>
      <c r="C1086">
        <v>3</v>
      </c>
      <c r="D1086">
        <v>12</v>
      </c>
      <c r="E1086">
        <f>286*2</f>
        <v>572</v>
      </c>
      <c r="F1086">
        <v>6.1</v>
      </c>
      <c r="M1086" t="s">
        <v>2</v>
      </c>
    </row>
    <row r="1087" spans="1:13" x14ac:dyDescent="0.25">
      <c r="A1087">
        <v>30718</v>
      </c>
      <c r="B1087" t="s">
        <v>18</v>
      </c>
      <c r="C1087">
        <v>4</v>
      </c>
      <c r="D1087">
        <v>1</v>
      </c>
      <c r="E1087">
        <f>19*2</f>
        <v>38</v>
      </c>
      <c r="F1087">
        <v>8.9</v>
      </c>
      <c r="G1087">
        <v>3.2</v>
      </c>
      <c r="H1087">
        <v>5</v>
      </c>
      <c r="I1087">
        <v>3.6</v>
      </c>
      <c r="K1087">
        <f t="shared" si="112"/>
        <v>0.88888888888888895</v>
      </c>
      <c r="L1087">
        <f t="shared" si="113"/>
        <v>0.4044943820224719</v>
      </c>
    </row>
    <row r="1088" spans="1:13" x14ac:dyDescent="0.25">
      <c r="A1088">
        <v>30718</v>
      </c>
      <c r="B1088" t="s">
        <v>18</v>
      </c>
      <c r="C1088">
        <v>4</v>
      </c>
      <c r="D1088">
        <v>2</v>
      </c>
      <c r="E1088">
        <f>93*2</f>
        <v>186</v>
      </c>
      <c r="F1088">
        <v>7.9</v>
      </c>
      <c r="M1088" t="s">
        <v>2</v>
      </c>
    </row>
    <row r="1089" spans="1:13" x14ac:dyDescent="0.25">
      <c r="A1089">
        <v>30718</v>
      </c>
      <c r="B1089" t="s">
        <v>18</v>
      </c>
      <c r="C1089">
        <v>4</v>
      </c>
      <c r="D1089">
        <v>3</v>
      </c>
      <c r="E1089">
        <f>113*2</f>
        <v>226</v>
      </c>
      <c r="F1089">
        <v>6.2</v>
      </c>
      <c r="G1089">
        <v>1.8</v>
      </c>
      <c r="H1089">
        <v>2.2999999999999998</v>
      </c>
      <c r="I1089">
        <v>1.8</v>
      </c>
      <c r="K1089">
        <f t="shared" si="112"/>
        <v>1</v>
      </c>
      <c r="L1089">
        <f t="shared" si="113"/>
        <v>0.29032258064516131</v>
      </c>
    </row>
    <row r="1090" spans="1:13" x14ac:dyDescent="0.25">
      <c r="A1090">
        <v>30718</v>
      </c>
      <c r="B1090" t="s">
        <v>18</v>
      </c>
      <c r="C1090">
        <v>4</v>
      </c>
      <c r="D1090">
        <v>4</v>
      </c>
      <c r="E1090">
        <f>162*2</f>
        <v>324</v>
      </c>
      <c r="F1090">
        <v>6.4</v>
      </c>
      <c r="G1090">
        <v>3.8</v>
      </c>
      <c r="H1090">
        <v>4.5999999999999996</v>
      </c>
      <c r="I1090">
        <v>4.9000000000000004</v>
      </c>
      <c r="K1090">
        <f t="shared" si="112"/>
        <v>0.77551020408163251</v>
      </c>
      <c r="L1090">
        <f t="shared" si="113"/>
        <v>0.765625</v>
      </c>
    </row>
    <row r="1091" spans="1:13" x14ac:dyDescent="0.25">
      <c r="A1091">
        <v>30718</v>
      </c>
      <c r="B1091" t="s">
        <v>18</v>
      </c>
      <c r="C1091">
        <v>4</v>
      </c>
      <c r="D1091">
        <v>5</v>
      </c>
      <c r="E1091">
        <f>210*2</f>
        <v>420</v>
      </c>
      <c r="F1091">
        <v>6.6</v>
      </c>
      <c r="J1091" t="s">
        <v>0</v>
      </c>
    </row>
    <row r="1092" spans="1:13" x14ac:dyDescent="0.25">
      <c r="A1092">
        <v>30718</v>
      </c>
      <c r="B1092" t="s">
        <v>18</v>
      </c>
      <c r="C1092">
        <v>4</v>
      </c>
      <c r="D1092">
        <v>6</v>
      </c>
      <c r="E1092">
        <f>257*2</f>
        <v>514</v>
      </c>
      <c r="F1092">
        <v>6</v>
      </c>
      <c r="G1092">
        <v>3.4</v>
      </c>
      <c r="H1092">
        <v>3.4</v>
      </c>
      <c r="I1092">
        <v>3.6</v>
      </c>
      <c r="K1092">
        <f t="shared" si="112"/>
        <v>0.94444444444444442</v>
      </c>
      <c r="L1092">
        <f t="shared" si="113"/>
        <v>0.6</v>
      </c>
    </row>
    <row r="1093" spans="1:13" x14ac:dyDescent="0.25">
      <c r="A1093">
        <v>30718</v>
      </c>
      <c r="B1093" t="s">
        <v>18</v>
      </c>
      <c r="C1093">
        <v>4</v>
      </c>
      <c r="D1093">
        <v>7</v>
      </c>
      <c r="E1093">
        <f>268*2</f>
        <v>536</v>
      </c>
      <c r="F1093">
        <v>5.5</v>
      </c>
      <c r="M1093" t="s">
        <v>2</v>
      </c>
    </row>
    <row r="1094" spans="1:13" x14ac:dyDescent="0.25">
      <c r="A1094">
        <v>30718</v>
      </c>
      <c r="B1094" t="s">
        <v>18</v>
      </c>
      <c r="C1094">
        <v>4</v>
      </c>
      <c r="D1094">
        <v>8</v>
      </c>
      <c r="E1094">
        <f>320*2</f>
        <v>640</v>
      </c>
      <c r="F1094">
        <v>3.7</v>
      </c>
      <c r="M1094" t="s">
        <v>2</v>
      </c>
    </row>
    <row r="1095" spans="1:13" x14ac:dyDescent="0.25">
      <c r="A1095">
        <v>30718</v>
      </c>
      <c r="B1095" t="s">
        <v>18</v>
      </c>
      <c r="C1095">
        <v>5</v>
      </c>
      <c r="D1095">
        <v>1</v>
      </c>
      <c r="E1095">
        <f>11*2</f>
        <v>22</v>
      </c>
      <c r="F1095">
        <v>14.5</v>
      </c>
      <c r="G1095">
        <v>5.8</v>
      </c>
      <c r="H1095">
        <v>8.6999999999999993</v>
      </c>
      <c r="I1095">
        <v>6.2</v>
      </c>
      <c r="K1095">
        <f t="shared" si="112"/>
        <v>0.93548387096774188</v>
      </c>
      <c r="L1095">
        <f t="shared" si="113"/>
        <v>0.42758620689655175</v>
      </c>
    </row>
    <row r="1096" spans="1:13" x14ac:dyDescent="0.25">
      <c r="A1096">
        <v>30718</v>
      </c>
      <c r="B1096" t="s">
        <v>18</v>
      </c>
      <c r="C1096">
        <v>5</v>
      </c>
      <c r="D1096">
        <v>2</v>
      </c>
      <c r="E1096">
        <f>117*2</f>
        <v>234</v>
      </c>
      <c r="F1096">
        <v>8.6999999999999993</v>
      </c>
      <c r="M1096" t="s">
        <v>2</v>
      </c>
    </row>
    <row r="1097" spans="1:13" x14ac:dyDescent="0.25">
      <c r="A1097">
        <v>30718</v>
      </c>
      <c r="B1097" t="s">
        <v>18</v>
      </c>
      <c r="C1097">
        <v>5</v>
      </c>
      <c r="D1097">
        <v>3</v>
      </c>
      <c r="E1097">
        <f>123*2</f>
        <v>246</v>
      </c>
      <c r="F1097">
        <v>8.5</v>
      </c>
      <c r="G1097">
        <v>3.6</v>
      </c>
      <c r="H1097">
        <v>6.1</v>
      </c>
      <c r="I1097">
        <v>4.9000000000000004</v>
      </c>
      <c r="K1097">
        <f t="shared" si="112"/>
        <v>0.73469387755102034</v>
      </c>
      <c r="L1097">
        <f t="shared" si="113"/>
        <v>0.57647058823529418</v>
      </c>
    </row>
    <row r="1098" spans="1:13" x14ac:dyDescent="0.25">
      <c r="A1098">
        <v>30718</v>
      </c>
      <c r="B1098" t="s">
        <v>18</v>
      </c>
      <c r="C1098">
        <v>5</v>
      </c>
      <c r="D1098">
        <v>4</v>
      </c>
      <c r="E1098">
        <f>148*2</f>
        <v>296</v>
      </c>
      <c r="F1098">
        <v>8.9</v>
      </c>
      <c r="G1098">
        <v>3.3</v>
      </c>
      <c r="H1098">
        <v>5.4</v>
      </c>
      <c r="I1098">
        <v>4.0999999999999996</v>
      </c>
      <c r="K1098">
        <f t="shared" si="112"/>
        <v>0.80487804878048785</v>
      </c>
      <c r="L1098">
        <f t="shared" si="113"/>
        <v>0.46067415730337075</v>
      </c>
    </row>
    <row r="1099" spans="1:13" x14ac:dyDescent="0.25">
      <c r="A1099">
        <v>30718</v>
      </c>
      <c r="B1099" t="s">
        <v>18</v>
      </c>
      <c r="C1099">
        <v>5</v>
      </c>
      <c r="D1099">
        <v>5</v>
      </c>
      <c r="E1099">
        <f>155*2</f>
        <v>310</v>
      </c>
      <c r="F1099">
        <v>6.5</v>
      </c>
      <c r="G1099">
        <v>3.6</v>
      </c>
      <c r="H1099">
        <v>4.0999999999999996</v>
      </c>
      <c r="I1099">
        <v>4.9000000000000004</v>
      </c>
      <c r="K1099">
        <f t="shared" si="112"/>
        <v>0.73469387755102034</v>
      </c>
      <c r="L1099">
        <f t="shared" si="113"/>
        <v>0.75384615384615394</v>
      </c>
    </row>
    <row r="1100" spans="1:13" x14ac:dyDescent="0.25">
      <c r="A1100">
        <v>30718</v>
      </c>
      <c r="B1100" t="s">
        <v>18</v>
      </c>
      <c r="C1100">
        <v>5</v>
      </c>
      <c r="D1100">
        <v>6</v>
      </c>
      <c r="E1100">
        <f>177*2</f>
        <v>354</v>
      </c>
      <c r="F1100">
        <v>6</v>
      </c>
      <c r="G1100">
        <v>4</v>
      </c>
      <c r="H1100">
        <v>4.4000000000000004</v>
      </c>
      <c r="I1100">
        <v>3.7</v>
      </c>
      <c r="K1100">
        <f t="shared" si="112"/>
        <v>1.0810810810810809</v>
      </c>
      <c r="L1100">
        <f t="shared" si="113"/>
        <v>0.6166666666666667</v>
      </c>
    </row>
    <row r="1101" spans="1:13" x14ac:dyDescent="0.25">
      <c r="A1101">
        <v>30718</v>
      </c>
      <c r="B1101" t="s">
        <v>18</v>
      </c>
      <c r="C1101">
        <v>5</v>
      </c>
      <c r="D1101">
        <v>7</v>
      </c>
      <c r="E1101">
        <f>199*2</f>
        <v>398</v>
      </c>
      <c r="F1101">
        <v>5.7</v>
      </c>
      <c r="G1101">
        <v>3.7</v>
      </c>
      <c r="H1101">
        <v>4.5999999999999996</v>
      </c>
      <c r="I1101">
        <v>3.9</v>
      </c>
      <c r="K1101">
        <f t="shared" si="112"/>
        <v>0.94871794871794879</v>
      </c>
      <c r="L1101">
        <f t="shared" si="113"/>
        <v>0.68421052631578949</v>
      </c>
    </row>
    <row r="1102" spans="1:13" x14ac:dyDescent="0.25">
      <c r="A1102">
        <v>30718</v>
      </c>
      <c r="B1102" t="s">
        <v>18</v>
      </c>
      <c r="C1102">
        <v>5</v>
      </c>
      <c r="D1102">
        <v>8</v>
      </c>
      <c r="E1102">
        <f>203*2</f>
        <v>406</v>
      </c>
      <c r="F1102">
        <v>5.8</v>
      </c>
      <c r="G1102">
        <v>4.5</v>
      </c>
      <c r="H1102">
        <v>3.6</v>
      </c>
      <c r="I1102">
        <v>3.5</v>
      </c>
      <c r="K1102">
        <f t="shared" si="112"/>
        <v>1.2857142857142858</v>
      </c>
      <c r="L1102">
        <f t="shared" si="113"/>
        <v>0.60344827586206895</v>
      </c>
    </row>
    <row r="1103" spans="1:13" x14ac:dyDescent="0.25">
      <c r="A1103">
        <v>30718</v>
      </c>
      <c r="B1103" t="s">
        <v>18</v>
      </c>
      <c r="C1103">
        <v>5</v>
      </c>
      <c r="D1103">
        <v>9</v>
      </c>
      <c r="E1103">
        <f>206*2</f>
        <v>412</v>
      </c>
      <c r="F1103">
        <v>6.1</v>
      </c>
      <c r="G1103">
        <v>2.7</v>
      </c>
      <c r="H1103">
        <v>2.4</v>
      </c>
      <c r="I1103">
        <v>2.5</v>
      </c>
      <c r="K1103">
        <f t="shared" si="112"/>
        <v>1.08</v>
      </c>
      <c r="L1103">
        <f t="shared" si="113"/>
        <v>0.4098360655737705</v>
      </c>
    </row>
    <row r="1104" spans="1:13" x14ac:dyDescent="0.25">
      <c r="A1104">
        <v>30718</v>
      </c>
      <c r="B1104" t="s">
        <v>18</v>
      </c>
      <c r="C1104">
        <v>6</v>
      </c>
      <c r="D1104">
        <v>1</v>
      </c>
      <c r="E1104">
        <f>124*2</f>
        <v>248</v>
      </c>
      <c r="F1104">
        <v>9.1</v>
      </c>
      <c r="G1104">
        <v>4.3</v>
      </c>
      <c r="H1104">
        <v>6.2</v>
      </c>
      <c r="I1104">
        <v>5.2</v>
      </c>
      <c r="K1104">
        <f t="shared" si="112"/>
        <v>0.82692307692307687</v>
      </c>
      <c r="L1104">
        <f t="shared" si="113"/>
        <v>0.57142857142857151</v>
      </c>
    </row>
    <row r="1105" spans="1:13" x14ac:dyDescent="0.25">
      <c r="A1105">
        <v>30718</v>
      </c>
      <c r="B1105" t="s">
        <v>18</v>
      </c>
      <c r="C1105">
        <v>6</v>
      </c>
      <c r="D1105">
        <v>2</v>
      </c>
      <c r="E1105">
        <f>151*2</f>
        <v>302</v>
      </c>
      <c r="F1105">
        <v>10</v>
      </c>
      <c r="G1105">
        <v>5</v>
      </c>
      <c r="H1105">
        <v>4.7</v>
      </c>
      <c r="I1105">
        <v>6.1</v>
      </c>
      <c r="K1105">
        <f t="shared" si="112"/>
        <v>0.81967213114754101</v>
      </c>
      <c r="L1105">
        <f t="shared" si="113"/>
        <v>0.61</v>
      </c>
    </row>
    <row r="1106" spans="1:13" x14ac:dyDescent="0.25">
      <c r="A1106">
        <v>30718</v>
      </c>
      <c r="B1106" t="s">
        <v>18</v>
      </c>
      <c r="C1106">
        <v>6</v>
      </c>
      <c r="D1106">
        <v>3</v>
      </c>
      <c r="E1106">
        <f>199*2</f>
        <v>398</v>
      </c>
      <c r="M1106" t="s">
        <v>8</v>
      </c>
    </row>
    <row r="1107" spans="1:13" x14ac:dyDescent="0.25">
      <c r="A1107">
        <v>30718</v>
      </c>
      <c r="B1107" t="s">
        <v>18</v>
      </c>
      <c r="C1107">
        <v>6</v>
      </c>
      <c r="D1107">
        <v>4</v>
      </c>
      <c r="E1107">
        <f>223*2</f>
        <v>446</v>
      </c>
      <c r="F1107">
        <v>5.5</v>
      </c>
      <c r="G1107">
        <v>3.6</v>
      </c>
      <c r="H1107">
        <v>3.9</v>
      </c>
      <c r="I1107">
        <v>3.3</v>
      </c>
      <c r="K1107">
        <f t="shared" si="112"/>
        <v>1.0909090909090911</v>
      </c>
      <c r="L1107">
        <f t="shared" si="113"/>
        <v>0.6</v>
      </c>
    </row>
    <row r="1108" spans="1:13" x14ac:dyDescent="0.25">
      <c r="A1108">
        <v>30718</v>
      </c>
      <c r="B1108" t="s">
        <v>18</v>
      </c>
      <c r="C1108">
        <v>7</v>
      </c>
      <c r="D1108">
        <v>1</v>
      </c>
      <c r="E1108">
        <f>133*2</f>
        <v>266</v>
      </c>
      <c r="F1108">
        <v>16.8</v>
      </c>
      <c r="J1108" t="s">
        <v>0</v>
      </c>
    </row>
    <row r="1109" spans="1:13" x14ac:dyDescent="0.25">
      <c r="A1109">
        <v>30718</v>
      </c>
      <c r="B1109" t="s">
        <v>18</v>
      </c>
      <c r="C1109">
        <v>7</v>
      </c>
      <c r="D1109">
        <v>2</v>
      </c>
      <c r="E1109">
        <f>229*2</f>
        <v>458</v>
      </c>
      <c r="F1109">
        <v>13.8</v>
      </c>
      <c r="G1109">
        <v>4.2</v>
      </c>
      <c r="H1109">
        <v>8.5</v>
      </c>
      <c r="I1109">
        <v>7.5</v>
      </c>
      <c r="K1109">
        <f t="shared" si="112"/>
        <v>0.56000000000000005</v>
      </c>
      <c r="L1109">
        <f t="shared" si="113"/>
        <v>0.54347826086956519</v>
      </c>
    </row>
    <row r="1110" spans="1:13" x14ac:dyDescent="0.25">
      <c r="A1110">
        <v>30718</v>
      </c>
      <c r="B1110" t="s">
        <v>18</v>
      </c>
      <c r="C1110">
        <v>7</v>
      </c>
      <c r="D1110">
        <v>3</v>
      </c>
      <c r="E1110">
        <f>274*2</f>
        <v>548</v>
      </c>
      <c r="F1110">
        <v>14.4</v>
      </c>
      <c r="G1110">
        <v>4.5</v>
      </c>
      <c r="H1110">
        <v>6.9</v>
      </c>
      <c r="I1110">
        <v>3.7</v>
      </c>
      <c r="K1110">
        <f t="shared" si="112"/>
        <v>1.2162162162162162</v>
      </c>
      <c r="L1110">
        <f t="shared" si="113"/>
        <v>0.25694444444444448</v>
      </c>
    </row>
    <row r="1111" spans="1:13" x14ac:dyDescent="0.25">
      <c r="A1111">
        <v>30718</v>
      </c>
      <c r="B1111" t="s">
        <v>18</v>
      </c>
      <c r="C1111">
        <v>7</v>
      </c>
      <c r="D1111">
        <v>4</v>
      </c>
      <c r="E1111">
        <f>306*2</f>
        <v>612</v>
      </c>
      <c r="F1111">
        <v>15.1</v>
      </c>
      <c r="G1111">
        <v>3.3</v>
      </c>
      <c r="H1111">
        <v>5.6</v>
      </c>
      <c r="I1111">
        <v>4</v>
      </c>
      <c r="K1111">
        <f t="shared" si="112"/>
        <v>0.82499999999999996</v>
      </c>
      <c r="L1111">
        <f t="shared" si="113"/>
        <v>0.26490066225165565</v>
      </c>
    </row>
    <row r="1112" spans="1:13" x14ac:dyDescent="0.25">
      <c r="A1112">
        <v>30718</v>
      </c>
      <c r="B1112" t="s">
        <v>18</v>
      </c>
      <c r="C1112">
        <v>7</v>
      </c>
      <c r="D1112">
        <v>5</v>
      </c>
      <c r="E1112">
        <f>309*2</f>
        <v>618</v>
      </c>
      <c r="F1112">
        <v>14.9</v>
      </c>
      <c r="G1112">
        <v>6.7</v>
      </c>
      <c r="H1112">
        <v>6.8</v>
      </c>
      <c r="I1112">
        <v>6.8</v>
      </c>
      <c r="K1112">
        <f t="shared" si="112"/>
        <v>0.98529411764705888</v>
      </c>
      <c r="L1112">
        <f t="shared" si="113"/>
        <v>0.45637583892617445</v>
      </c>
    </row>
    <row r="1113" spans="1:13" x14ac:dyDescent="0.25">
      <c r="A1113">
        <v>30718</v>
      </c>
      <c r="B1113" t="s">
        <v>18</v>
      </c>
      <c r="C1113">
        <v>7</v>
      </c>
      <c r="D1113">
        <v>6</v>
      </c>
      <c r="E1113">
        <f>309*2</f>
        <v>618</v>
      </c>
      <c r="F1113">
        <v>15.1</v>
      </c>
      <c r="G1113">
        <v>3.5</v>
      </c>
      <c r="H1113">
        <v>4.7</v>
      </c>
      <c r="I1113">
        <v>4.0999999999999996</v>
      </c>
      <c r="K1113">
        <f t="shared" si="112"/>
        <v>0.85365853658536595</v>
      </c>
      <c r="L1113">
        <f t="shared" si="113"/>
        <v>0.27152317880794702</v>
      </c>
    </row>
    <row r="1114" spans="1:13" x14ac:dyDescent="0.25">
      <c r="A1114">
        <v>30718</v>
      </c>
      <c r="B1114" t="s">
        <v>18</v>
      </c>
      <c r="C1114">
        <v>7</v>
      </c>
      <c r="D1114">
        <v>7</v>
      </c>
      <c r="E1114">
        <f>377*2</f>
        <v>754</v>
      </c>
      <c r="F1114">
        <v>12.6</v>
      </c>
      <c r="G1114">
        <v>5.3</v>
      </c>
      <c r="H1114">
        <v>5.9</v>
      </c>
      <c r="I1114">
        <v>5</v>
      </c>
      <c r="K1114">
        <f t="shared" si="112"/>
        <v>1.06</v>
      </c>
      <c r="L1114">
        <f t="shared" si="113"/>
        <v>0.39682539682539686</v>
      </c>
    </row>
    <row r="1115" spans="1:13" x14ac:dyDescent="0.25">
      <c r="A1115">
        <v>30718</v>
      </c>
      <c r="B1115" t="s">
        <v>18</v>
      </c>
      <c r="C1115">
        <v>7</v>
      </c>
      <c r="D1115">
        <v>8</v>
      </c>
      <c r="E1115">
        <f>389*2</f>
        <v>778</v>
      </c>
      <c r="F1115">
        <v>14.1</v>
      </c>
      <c r="G1115">
        <v>3.6</v>
      </c>
      <c r="H1115">
        <v>5.3</v>
      </c>
      <c r="I1115">
        <v>5.9</v>
      </c>
      <c r="K1115">
        <f t="shared" si="112"/>
        <v>0.61016949152542366</v>
      </c>
      <c r="L1115">
        <f t="shared" si="113"/>
        <v>0.41843971631205679</v>
      </c>
    </row>
    <row r="1116" spans="1:13" x14ac:dyDescent="0.25">
      <c r="A1116">
        <v>30718</v>
      </c>
      <c r="B1116" t="s">
        <v>18</v>
      </c>
      <c r="C1116">
        <v>7</v>
      </c>
      <c r="D1116">
        <v>9</v>
      </c>
      <c r="E1116">
        <f>402*2</f>
        <v>804</v>
      </c>
      <c r="F1116">
        <v>10.3</v>
      </c>
      <c r="G1116">
        <v>5.3</v>
      </c>
      <c r="H1116">
        <v>7.1</v>
      </c>
      <c r="I1116">
        <v>7.8</v>
      </c>
      <c r="K1116">
        <f t="shared" si="112"/>
        <v>0.67948717948717952</v>
      </c>
      <c r="L1116">
        <f t="shared" si="113"/>
        <v>0.75728155339805814</v>
      </c>
    </row>
    <row r="1117" spans="1:13" x14ac:dyDescent="0.25">
      <c r="A1117">
        <v>30718</v>
      </c>
      <c r="B1117" t="s">
        <v>18</v>
      </c>
      <c r="C1117">
        <v>7</v>
      </c>
      <c r="D1117">
        <v>10</v>
      </c>
      <c r="E1117">
        <f>447*2</f>
        <v>894</v>
      </c>
      <c r="F1117">
        <v>10.7</v>
      </c>
      <c r="G1117">
        <v>5</v>
      </c>
      <c r="H1117">
        <v>5</v>
      </c>
      <c r="I1117">
        <v>4.0999999999999996</v>
      </c>
      <c r="K1117">
        <f t="shared" si="112"/>
        <v>1.2195121951219514</v>
      </c>
      <c r="L1117">
        <f t="shared" si="113"/>
        <v>0.38317757009345793</v>
      </c>
      <c r="M1117" t="s">
        <v>9</v>
      </c>
    </row>
    <row r="1118" spans="1:13" x14ac:dyDescent="0.25">
      <c r="A1118">
        <v>30718</v>
      </c>
      <c r="B1118" t="s">
        <v>18</v>
      </c>
      <c r="C1118">
        <v>8</v>
      </c>
      <c r="D1118">
        <v>1</v>
      </c>
      <c r="E1118">
        <f>45*2</f>
        <v>90</v>
      </c>
      <c r="F1118">
        <v>11.9</v>
      </c>
      <c r="J1118" t="s">
        <v>0</v>
      </c>
    </row>
    <row r="1119" spans="1:13" x14ac:dyDescent="0.25">
      <c r="A1119">
        <v>30718</v>
      </c>
      <c r="B1119" t="s">
        <v>18</v>
      </c>
      <c r="C1119">
        <v>8</v>
      </c>
      <c r="D1119">
        <v>2</v>
      </c>
      <c r="E1119">
        <f>127*2</f>
        <v>254</v>
      </c>
      <c r="F1119">
        <v>11.8</v>
      </c>
      <c r="G1119">
        <v>4.0999999999999996</v>
      </c>
      <c r="H1119">
        <v>8.1999999999999993</v>
      </c>
      <c r="I1119">
        <v>4.5999999999999996</v>
      </c>
      <c r="K1119">
        <f t="shared" si="112"/>
        <v>0.89130434782608692</v>
      </c>
      <c r="L1119">
        <f t="shared" si="113"/>
        <v>0.38983050847457623</v>
      </c>
    </row>
    <row r="1120" spans="1:13" x14ac:dyDescent="0.25">
      <c r="A1120">
        <v>30718</v>
      </c>
      <c r="B1120" t="s">
        <v>18</v>
      </c>
      <c r="C1120">
        <v>8</v>
      </c>
      <c r="D1120">
        <v>3</v>
      </c>
      <c r="E1120">
        <f>219*2</f>
        <v>438</v>
      </c>
      <c r="F1120">
        <v>9</v>
      </c>
      <c r="G1120">
        <v>3.1</v>
      </c>
      <c r="H1120">
        <v>5.2</v>
      </c>
      <c r="I1120">
        <v>3.9</v>
      </c>
      <c r="K1120">
        <f t="shared" si="112"/>
        <v>0.79487179487179493</v>
      </c>
      <c r="L1120">
        <f t="shared" si="113"/>
        <v>0.43333333333333335</v>
      </c>
    </row>
    <row r="1121" spans="1:13" x14ac:dyDescent="0.25">
      <c r="A1121">
        <v>30718</v>
      </c>
      <c r="B1121" t="s">
        <v>18</v>
      </c>
      <c r="C1121">
        <v>8</v>
      </c>
      <c r="D1121">
        <v>4</v>
      </c>
      <c r="E1121">
        <f>236*2</f>
        <v>472</v>
      </c>
      <c r="F1121">
        <v>11.9</v>
      </c>
      <c r="G1121">
        <v>4.5999999999999996</v>
      </c>
      <c r="H1121">
        <v>7.8</v>
      </c>
      <c r="I1121">
        <v>5.7</v>
      </c>
      <c r="K1121">
        <f t="shared" si="112"/>
        <v>0.80701754385964908</v>
      </c>
      <c r="L1121">
        <f t="shared" si="113"/>
        <v>0.47899159663865548</v>
      </c>
    </row>
    <row r="1122" spans="1:13" x14ac:dyDescent="0.25">
      <c r="A1122">
        <v>30718</v>
      </c>
      <c r="B1122" t="s">
        <v>18</v>
      </c>
      <c r="C1122">
        <v>8</v>
      </c>
      <c r="D1122">
        <v>5</v>
      </c>
      <c r="E1122">
        <f>238*2</f>
        <v>476</v>
      </c>
      <c r="F1122">
        <v>12.8</v>
      </c>
      <c r="G1122">
        <v>2.7</v>
      </c>
      <c r="H1122">
        <v>3.7</v>
      </c>
      <c r="I1122">
        <v>4.7</v>
      </c>
      <c r="K1122">
        <f t="shared" si="112"/>
        <v>0.57446808510638303</v>
      </c>
      <c r="L1122">
        <f t="shared" si="113"/>
        <v>0.3671875</v>
      </c>
    </row>
    <row r="1123" spans="1:13" x14ac:dyDescent="0.25">
      <c r="A1123">
        <v>30718</v>
      </c>
      <c r="B1123" t="s">
        <v>18</v>
      </c>
      <c r="C1123">
        <v>8</v>
      </c>
      <c r="D1123">
        <v>6</v>
      </c>
      <c r="E1123">
        <f>256*2</f>
        <v>512</v>
      </c>
      <c r="F1123">
        <v>11.3</v>
      </c>
      <c r="G1123">
        <v>4.0999999999999996</v>
      </c>
      <c r="H1123">
        <v>3.8</v>
      </c>
      <c r="I1123">
        <v>4.5</v>
      </c>
      <c r="K1123">
        <f t="shared" si="112"/>
        <v>0.91111111111111098</v>
      </c>
      <c r="L1123">
        <f t="shared" si="113"/>
        <v>0.39823008849557517</v>
      </c>
    </row>
    <row r="1124" spans="1:13" x14ac:dyDescent="0.25">
      <c r="A1124">
        <v>30718</v>
      </c>
      <c r="B1124" t="s">
        <v>18</v>
      </c>
      <c r="C1124">
        <v>8</v>
      </c>
      <c r="D1124">
        <v>7</v>
      </c>
      <c r="E1124">
        <f>291*2</f>
        <v>582</v>
      </c>
      <c r="F1124">
        <v>10.3</v>
      </c>
      <c r="G1124">
        <v>4.7</v>
      </c>
      <c r="H1124">
        <v>4.2</v>
      </c>
      <c r="I1124">
        <v>4.4000000000000004</v>
      </c>
      <c r="K1124">
        <f t="shared" si="112"/>
        <v>1.0681818181818181</v>
      </c>
      <c r="L1124">
        <f t="shared" si="113"/>
        <v>0.42718446601941751</v>
      </c>
    </row>
    <row r="1125" spans="1:13" x14ac:dyDescent="0.25">
      <c r="A1125">
        <v>30718</v>
      </c>
      <c r="B1125" t="s">
        <v>18</v>
      </c>
      <c r="C1125">
        <v>8</v>
      </c>
      <c r="D1125">
        <v>8</v>
      </c>
      <c r="E1125">
        <f>327*2</f>
        <v>654</v>
      </c>
      <c r="F1125">
        <v>12.5</v>
      </c>
      <c r="G1125">
        <v>3.7</v>
      </c>
      <c r="H1125">
        <v>4.8</v>
      </c>
      <c r="I1125">
        <v>4.5999999999999996</v>
      </c>
      <c r="K1125">
        <f t="shared" si="112"/>
        <v>0.80434782608695665</v>
      </c>
      <c r="L1125">
        <f t="shared" si="113"/>
        <v>0.36799999999999999</v>
      </c>
    </row>
    <row r="1126" spans="1:13" x14ac:dyDescent="0.25">
      <c r="A1126">
        <v>30718</v>
      </c>
      <c r="B1126" t="s">
        <v>18</v>
      </c>
      <c r="C1126">
        <v>8</v>
      </c>
      <c r="D1126">
        <v>9</v>
      </c>
      <c r="E1126">
        <f>330*2</f>
        <v>660</v>
      </c>
      <c r="F1126">
        <v>12.1</v>
      </c>
      <c r="G1126">
        <v>6.9</v>
      </c>
      <c r="H1126">
        <v>5.0999999999999996</v>
      </c>
      <c r="I1126">
        <v>5.2</v>
      </c>
      <c r="K1126">
        <f t="shared" si="112"/>
        <v>1.3269230769230769</v>
      </c>
      <c r="L1126">
        <f t="shared" si="113"/>
        <v>0.42975206611570249</v>
      </c>
    </row>
    <row r="1127" spans="1:13" x14ac:dyDescent="0.25">
      <c r="A1127">
        <v>30718</v>
      </c>
      <c r="B1127" t="s">
        <v>18</v>
      </c>
      <c r="C1127">
        <v>8</v>
      </c>
      <c r="D1127">
        <v>10</v>
      </c>
      <c r="E1127">
        <f>371*2</f>
        <v>742</v>
      </c>
      <c r="F1127">
        <v>9.4</v>
      </c>
      <c r="G1127">
        <v>4.5999999999999996</v>
      </c>
      <c r="H1127">
        <v>4.4000000000000004</v>
      </c>
      <c r="I1127">
        <v>5.2</v>
      </c>
      <c r="K1127">
        <f t="shared" si="112"/>
        <v>0.88461538461538447</v>
      </c>
      <c r="L1127">
        <f t="shared" si="113"/>
        <v>0.55319148936170215</v>
      </c>
    </row>
    <row r="1128" spans="1:13" x14ac:dyDescent="0.25">
      <c r="A1128">
        <v>30718</v>
      </c>
      <c r="B1128" t="s">
        <v>18</v>
      </c>
      <c r="C1128">
        <v>8</v>
      </c>
      <c r="D1128">
        <v>11</v>
      </c>
      <c r="E1128">
        <f>407*2</f>
        <v>814</v>
      </c>
      <c r="F1128">
        <v>10</v>
      </c>
      <c r="G1128">
        <v>3.1</v>
      </c>
      <c r="H1128">
        <v>4.5</v>
      </c>
      <c r="I1128">
        <v>4.0999999999999996</v>
      </c>
      <c r="K1128">
        <f t="shared" si="112"/>
        <v>0.75609756097560987</v>
      </c>
      <c r="L1128">
        <f t="shared" si="113"/>
        <v>0.41</v>
      </c>
    </row>
    <row r="1129" spans="1:13" x14ac:dyDescent="0.25">
      <c r="A1129">
        <v>30718</v>
      </c>
      <c r="B1129" t="s">
        <v>18</v>
      </c>
      <c r="C1129">
        <v>8</v>
      </c>
      <c r="D1129">
        <v>12</v>
      </c>
      <c r="E1129">
        <f>415*2</f>
        <v>830</v>
      </c>
      <c r="F1129">
        <v>10</v>
      </c>
      <c r="G1129">
        <v>4.2</v>
      </c>
      <c r="H1129">
        <v>5.0999999999999996</v>
      </c>
      <c r="I1129">
        <v>3.9</v>
      </c>
      <c r="K1129">
        <f t="shared" si="112"/>
        <v>1.0769230769230771</v>
      </c>
      <c r="L1129">
        <f t="shared" si="113"/>
        <v>0.39</v>
      </c>
    </row>
    <row r="1130" spans="1:13" x14ac:dyDescent="0.25">
      <c r="A1130">
        <v>30718</v>
      </c>
      <c r="B1130" t="s">
        <v>18</v>
      </c>
      <c r="C1130">
        <v>9</v>
      </c>
      <c r="D1130">
        <v>1</v>
      </c>
      <c r="E1130">
        <f>136*2</f>
        <v>272</v>
      </c>
      <c r="F1130">
        <v>16.8</v>
      </c>
      <c r="G1130">
        <v>3.5</v>
      </c>
      <c r="H1130">
        <v>7.7</v>
      </c>
      <c r="I1130">
        <v>5.6</v>
      </c>
      <c r="K1130">
        <f t="shared" si="112"/>
        <v>0.625</v>
      </c>
      <c r="L1130">
        <f t="shared" si="113"/>
        <v>0.33333333333333331</v>
      </c>
    </row>
    <row r="1131" spans="1:13" x14ac:dyDescent="0.25">
      <c r="A1131">
        <v>30718</v>
      </c>
      <c r="B1131" t="s">
        <v>18</v>
      </c>
      <c r="C1131">
        <v>9</v>
      </c>
      <c r="D1131">
        <v>2</v>
      </c>
      <c r="E1131">
        <f>254*2</f>
        <v>508</v>
      </c>
      <c r="F1131">
        <v>14.3</v>
      </c>
      <c r="G1131">
        <v>5.3</v>
      </c>
      <c r="H1131">
        <v>8.5</v>
      </c>
      <c r="I1131">
        <v>5.4</v>
      </c>
      <c r="K1131">
        <f t="shared" si="112"/>
        <v>0.9814814814814814</v>
      </c>
      <c r="L1131">
        <f t="shared" si="113"/>
        <v>0.3776223776223776</v>
      </c>
    </row>
    <row r="1132" spans="1:13" x14ac:dyDescent="0.25">
      <c r="A1132">
        <v>30718</v>
      </c>
      <c r="B1132" t="s">
        <v>18</v>
      </c>
      <c r="C1132">
        <v>9</v>
      </c>
      <c r="D1132">
        <v>3</v>
      </c>
      <c r="E1132">
        <f>274*2</f>
        <v>548</v>
      </c>
      <c r="F1132">
        <v>14.9</v>
      </c>
      <c r="G1132">
        <v>4.3</v>
      </c>
      <c r="H1132">
        <v>7.1</v>
      </c>
      <c r="I1132">
        <v>6.7</v>
      </c>
      <c r="K1132">
        <f t="shared" ref="K1132:K1195" si="114">G1132/I1132</f>
        <v>0.64179104477611937</v>
      </c>
      <c r="L1132">
        <f t="shared" ref="L1132:L1195" si="115">I1132/F1132</f>
        <v>0.44966442953020136</v>
      </c>
    </row>
    <row r="1133" spans="1:13" x14ac:dyDescent="0.25">
      <c r="A1133">
        <v>30718</v>
      </c>
      <c r="B1133" t="s">
        <v>18</v>
      </c>
      <c r="C1133">
        <v>9</v>
      </c>
      <c r="D1133">
        <v>4</v>
      </c>
      <c r="E1133">
        <f>306*2</f>
        <v>612</v>
      </c>
      <c r="F1133">
        <v>13.9</v>
      </c>
      <c r="G1133">
        <v>4.9000000000000004</v>
      </c>
      <c r="H1133">
        <v>5</v>
      </c>
      <c r="I1133">
        <v>4.5999999999999996</v>
      </c>
      <c r="K1133">
        <f t="shared" si="114"/>
        <v>1.0652173913043479</v>
      </c>
      <c r="L1133">
        <f t="shared" si="115"/>
        <v>0.33093525179856109</v>
      </c>
      <c r="M1133" t="s">
        <v>9</v>
      </c>
    </row>
    <row r="1134" spans="1:13" x14ac:dyDescent="0.25">
      <c r="A1134">
        <v>30718</v>
      </c>
      <c r="B1134" t="s">
        <v>18</v>
      </c>
      <c r="C1134">
        <v>9</v>
      </c>
      <c r="D1134">
        <v>5</v>
      </c>
      <c r="E1134">
        <f>332*2</f>
        <v>664</v>
      </c>
      <c r="F1134">
        <v>11.6</v>
      </c>
      <c r="G1134">
        <v>3.8</v>
      </c>
      <c r="H1134">
        <v>4.0999999999999996</v>
      </c>
      <c r="I1134">
        <v>5</v>
      </c>
      <c r="K1134">
        <f t="shared" si="114"/>
        <v>0.76</v>
      </c>
      <c r="L1134">
        <f t="shared" si="115"/>
        <v>0.43103448275862072</v>
      </c>
    </row>
    <row r="1135" spans="1:13" x14ac:dyDescent="0.25">
      <c r="A1135">
        <v>30718</v>
      </c>
      <c r="B1135" t="s">
        <v>18</v>
      </c>
      <c r="C1135">
        <v>9</v>
      </c>
      <c r="D1135">
        <v>6</v>
      </c>
      <c r="E1135">
        <f>338*2</f>
        <v>676</v>
      </c>
      <c r="F1135">
        <v>12.1</v>
      </c>
      <c r="G1135">
        <v>5.5</v>
      </c>
      <c r="H1135">
        <v>6.4</v>
      </c>
      <c r="I1135">
        <v>5.9</v>
      </c>
      <c r="K1135">
        <f t="shared" si="114"/>
        <v>0.93220338983050843</v>
      </c>
      <c r="L1135">
        <f t="shared" si="115"/>
        <v>0.48760330578512401</v>
      </c>
    </row>
    <row r="1136" spans="1:13" x14ac:dyDescent="0.25">
      <c r="A1136">
        <v>30718</v>
      </c>
      <c r="B1136" t="s">
        <v>18</v>
      </c>
      <c r="C1136">
        <v>9</v>
      </c>
      <c r="D1136">
        <v>7</v>
      </c>
      <c r="E1136">
        <f>387*2</f>
        <v>774</v>
      </c>
      <c r="F1136">
        <v>13.2</v>
      </c>
      <c r="G1136">
        <v>7.6</v>
      </c>
      <c r="H1136">
        <v>8.4</v>
      </c>
      <c r="I1136">
        <v>7.8</v>
      </c>
      <c r="K1136">
        <f t="shared" si="114"/>
        <v>0.97435897435897434</v>
      </c>
      <c r="L1136">
        <f t="shared" si="115"/>
        <v>0.59090909090909094</v>
      </c>
      <c r="M1136" t="s">
        <v>9</v>
      </c>
    </row>
    <row r="1137" spans="1:13" x14ac:dyDescent="0.25">
      <c r="A1137">
        <v>30718</v>
      </c>
      <c r="B1137" t="s">
        <v>18</v>
      </c>
      <c r="C1137">
        <v>10</v>
      </c>
      <c r="D1137">
        <v>1</v>
      </c>
      <c r="E1137">
        <f>253*2</f>
        <v>506</v>
      </c>
      <c r="F1137">
        <v>12.1</v>
      </c>
      <c r="G1137">
        <v>3.4</v>
      </c>
      <c r="H1137">
        <v>5.6</v>
      </c>
      <c r="I1137">
        <v>4.0999999999999996</v>
      </c>
      <c r="K1137">
        <f t="shared" si="114"/>
        <v>0.8292682926829269</v>
      </c>
      <c r="L1137">
        <f t="shared" si="115"/>
        <v>0.33884297520661155</v>
      </c>
    </row>
    <row r="1138" spans="1:13" x14ac:dyDescent="0.25">
      <c r="A1138">
        <v>30718</v>
      </c>
      <c r="B1138" t="s">
        <v>18</v>
      </c>
      <c r="C1138">
        <v>10</v>
      </c>
      <c r="D1138">
        <v>2</v>
      </c>
      <c r="E1138">
        <f>278*2</f>
        <v>556</v>
      </c>
      <c r="F1138">
        <v>15</v>
      </c>
      <c r="G1138">
        <v>8</v>
      </c>
      <c r="H1138">
        <v>6.6</v>
      </c>
      <c r="I1138">
        <v>7.7</v>
      </c>
      <c r="K1138">
        <f t="shared" si="114"/>
        <v>1.0389610389610389</v>
      </c>
      <c r="L1138">
        <f t="shared" si="115"/>
        <v>0.51333333333333331</v>
      </c>
    </row>
    <row r="1139" spans="1:13" x14ac:dyDescent="0.25">
      <c r="A1139">
        <v>30718</v>
      </c>
      <c r="B1139" t="s">
        <v>18</v>
      </c>
      <c r="C1139">
        <v>10</v>
      </c>
      <c r="D1139">
        <v>3</v>
      </c>
      <c r="E1139">
        <f>291*2</f>
        <v>582</v>
      </c>
      <c r="F1139">
        <v>10.8</v>
      </c>
      <c r="J1139" t="s">
        <v>0</v>
      </c>
    </row>
    <row r="1140" spans="1:13" x14ac:dyDescent="0.25">
      <c r="A1140">
        <v>30718</v>
      </c>
      <c r="B1140" t="s">
        <v>18</v>
      </c>
      <c r="C1140">
        <v>10</v>
      </c>
      <c r="D1140">
        <v>4</v>
      </c>
      <c r="E1140">
        <f>325*2</f>
        <v>650</v>
      </c>
      <c r="F1140">
        <v>13.1</v>
      </c>
      <c r="G1140">
        <v>6</v>
      </c>
      <c r="H1140">
        <v>8.3000000000000007</v>
      </c>
      <c r="I1140">
        <v>6.3</v>
      </c>
      <c r="K1140">
        <f t="shared" si="114"/>
        <v>0.95238095238095244</v>
      </c>
      <c r="L1140">
        <f t="shared" si="115"/>
        <v>0.48091603053435117</v>
      </c>
    </row>
    <row r="1141" spans="1:13" x14ac:dyDescent="0.25">
      <c r="A1141">
        <v>30718</v>
      </c>
      <c r="B1141" t="s">
        <v>18</v>
      </c>
      <c r="C1141">
        <v>10</v>
      </c>
      <c r="D1141">
        <v>5</v>
      </c>
      <c r="E1141">
        <f>402*2</f>
        <v>804</v>
      </c>
      <c r="F1141">
        <v>10.5</v>
      </c>
      <c r="G1141">
        <v>6.6</v>
      </c>
      <c r="H1141">
        <v>6.9</v>
      </c>
      <c r="I1141">
        <v>7.9</v>
      </c>
      <c r="K1141">
        <f t="shared" si="114"/>
        <v>0.83544303797468344</v>
      </c>
      <c r="L1141">
        <f t="shared" si="115"/>
        <v>0.75238095238095237</v>
      </c>
      <c r="M1141" t="s">
        <v>9</v>
      </c>
    </row>
    <row r="1142" spans="1:13" x14ac:dyDescent="0.25">
      <c r="A1142">
        <v>30718</v>
      </c>
      <c r="B1142" t="s">
        <v>18</v>
      </c>
      <c r="C1142">
        <v>11</v>
      </c>
      <c r="D1142">
        <v>1</v>
      </c>
      <c r="E1142">
        <f>285*2</f>
        <v>570</v>
      </c>
      <c r="F1142">
        <v>17.899999999999999</v>
      </c>
      <c r="G1142">
        <v>6.9</v>
      </c>
      <c r="H1142">
        <v>8.1</v>
      </c>
      <c r="I1142">
        <v>6.2</v>
      </c>
      <c r="K1142">
        <f t="shared" si="114"/>
        <v>1.1129032258064517</v>
      </c>
      <c r="L1142">
        <f t="shared" si="115"/>
        <v>0.34636871508379891</v>
      </c>
      <c r="M1142" t="s">
        <v>9</v>
      </c>
    </row>
    <row r="1143" spans="1:13" x14ac:dyDescent="0.25">
      <c r="A1143">
        <v>30718</v>
      </c>
      <c r="B1143" t="s">
        <v>18</v>
      </c>
      <c r="C1143">
        <v>12</v>
      </c>
      <c r="D1143">
        <v>1</v>
      </c>
      <c r="E1143">
        <f>156*2</f>
        <v>312</v>
      </c>
      <c r="F1143">
        <v>11.5</v>
      </c>
      <c r="G1143">
        <v>5.6</v>
      </c>
      <c r="H1143">
        <v>8</v>
      </c>
      <c r="I1143">
        <v>7.3</v>
      </c>
      <c r="K1143">
        <f t="shared" si="114"/>
        <v>0.76712328767123283</v>
      </c>
      <c r="L1143">
        <f t="shared" si="115"/>
        <v>0.63478260869565217</v>
      </c>
    </row>
    <row r="1144" spans="1:13" x14ac:dyDescent="0.25">
      <c r="A1144">
        <v>30718</v>
      </c>
      <c r="B1144" t="s">
        <v>18</v>
      </c>
      <c r="C1144">
        <v>12</v>
      </c>
      <c r="D1144">
        <v>2</v>
      </c>
      <c r="E1144">
        <f>178*2</f>
        <v>356</v>
      </c>
      <c r="F1144">
        <v>9</v>
      </c>
      <c r="G1144">
        <v>7.5</v>
      </c>
      <c r="H1144">
        <v>9.3000000000000007</v>
      </c>
      <c r="I1144">
        <v>7.8</v>
      </c>
      <c r="K1144">
        <f t="shared" si="114"/>
        <v>0.96153846153846156</v>
      </c>
      <c r="L1144">
        <f t="shared" si="115"/>
        <v>0.8666666666666667</v>
      </c>
    </row>
    <row r="1145" spans="1:13" x14ac:dyDescent="0.25">
      <c r="A1145">
        <v>30718</v>
      </c>
      <c r="B1145" t="s">
        <v>18</v>
      </c>
      <c r="C1145">
        <v>12</v>
      </c>
      <c r="D1145">
        <v>3</v>
      </c>
      <c r="E1145">
        <f>197*2</f>
        <v>394</v>
      </c>
      <c r="F1145">
        <v>10</v>
      </c>
      <c r="G1145">
        <v>2.7</v>
      </c>
      <c r="H1145">
        <v>3.9</v>
      </c>
      <c r="I1145">
        <v>3.2</v>
      </c>
      <c r="K1145">
        <f t="shared" si="114"/>
        <v>0.84375</v>
      </c>
      <c r="L1145">
        <f t="shared" si="115"/>
        <v>0.32</v>
      </c>
    </row>
    <row r="1146" spans="1:13" x14ac:dyDescent="0.25">
      <c r="A1146">
        <v>30718</v>
      </c>
      <c r="B1146" t="s">
        <v>18</v>
      </c>
      <c r="C1146">
        <v>12</v>
      </c>
      <c r="D1146">
        <v>4</v>
      </c>
      <c r="E1146">
        <f>211*2</f>
        <v>422</v>
      </c>
      <c r="F1146">
        <v>9.6</v>
      </c>
      <c r="G1146">
        <v>2.7</v>
      </c>
      <c r="H1146">
        <v>3.3</v>
      </c>
      <c r="I1146">
        <v>4.5</v>
      </c>
      <c r="K1146">
        <f t="shared" si="114"/>
        <v>0.60000000000000009</v>
      </c>
      <c r="L1146">
        <f t="shared" si="115"/>
        <v>0.46875</v>
      </c>
    </row>
    <row r="1147" spans="1:13" x14ac:dyDescent="0.25">
      <c r="A1147">
        <v>30718</v>
      </c>
      <c r="B1147" t="s">
        <v>18</v>
      </c>
      <c r="C1147">
        <v>12</v>
      </c>
      <c r="D1147">
        <v>5</v>
      </c>
      <c r="E1147">
        <f>238*2</f>
        <v>476</v>
      </c>
      <c r="F1147">
        <v>9.6999999999999993</v>
      </c>
      <c r="J1147" t="s">
        <v>0</v>
      </c>
    </row>
    <row r="1148" spans="1:13" x14ac:dyDescent="0.25">
      <c r="A1148">
        <v>30718</v>
      </c>
      <c r="B1148" t="s">
        <v>18</v>
      </c>
      <c r="C1148">
        <v>12</v>
      </c>
      <c r="D1148">
        <v>6</v>
      </c>
      <c r="E1148">
        <f>256*2</f>
        <v>512</v>
      </c>
      <c r="F1148">
        <v>10</v>
      </c>
      <c r="G1148">
        <v>3.9</v>
      </c>
      <c r="H1148">
        <v>3</v>
      </c>
      <c r="I1148">
        <v>3.3</v>
      </c>
      <c r="K1148">
        <f t="shared" si="114"/>
        <v>1.1818181818181819</v>
      </c>
      <c r="L1148">
        <f t="shared" si="115"/>
        <v>0.32999999999999996</v>
      </c>
    </row>
    <row r="1149" spans="1:13" x14ac:dyDescent="0.25">
      <c r="A1149">
        <v>30718</v>
      </c>
      <c r="B1149" t="s">
        <v>18</v>
      </c>
      <c r="C1149">
        <v>12</v>
      </c>
      <c r="D1149">
        <v>7</v>
      </c>
      <c r="E1149">
        <f>279*2</f>
        <v>558</v>
      </c>
      <c r="F1149">
        <v>7.9</v>
      </c>
      <c r="J1149" t="s">
        <v>0</v>
      </c>
    </row>
    <row r="1150" spans="1:13" x14ac:dyDescent="0.25">
      <c r="A1150">
        <v>30718</v>
      </c>
      <c r="B1150" t="s">
        <v>18</v>
      </c>
      <c r="C1150">
        <v>12</v>
      </c>
      <c r="D1150">
        <v>8</v>
      </c>
      <c r="E1150">
        <f>316*2</f>
        <v>632</v>
      </c>
      <c r="F1150">
        <v>10.5</v>
      </c>
      <c r="G1150">
        <v>3.9</v>
      </c>
      <c r="H1150">
        <v>4.9000000000000004</v>
      </c>
      <c r="I1150">
        <v>5.3</v>
      </c>
      <c r="K1150">
        <f t="shared" si="114"/>
        <v>0.73584905660377364</v>
      </c>
      <c r="L1150">
        <f t="shared" si="115"/>
        <v>0.50476190476190474</v>
      </c>
    </row>
    <row r="1151" spans="1:13" x14ac:dyDescent="0.25">
      <c r="A1151">
        <v>30718</v>
      </c>
      <c r="B1151" t="s">
        <v>18</v>
      </c>
      <c r="C1151">
        <v>12</v>
      </c>
      <c r="D1151">
        <v>9</v>
      </c>
      <c r="E1151">
        <f>335*2</f>
        <v>670</v>
      </c>
      <c r="F1151">
        <v>8.5</v>
      </c>
      <c r="M1151" t="s">
        <v>2</v>
      </c>
    </row>
    <row r="1152" spans="1:13" x14ac:dyDescent="0.25">
      <c r="A1152">
        <v>30718</v>
      </c>
      <c r="B1152" t="s">
        <v>18</v>
      </c>
      <c r="C1152">
        <v>13</v>
      </c>
      <c r="D1152">
        <v>1</v>
      </c>
      <c r="E1152">
        <f>46*2</f>
        <v>92</v>
      </c>
      <c r="F1152">
        <v>19.3</v>
      </c>
      <c r="G1152">
        <v>3.6</v>
      </c>
      <c r="H1152">
        <v>4.8</v>
      </c>
      <c r="I1152">
        <v>6.5</v>
      </c>
      <c r="K1152">
        <f t="shared" si="114"/>
        <v>0.55384615384615388</v>
      </c>
      <c r="L1152">
        <f t="shared" si="115"/>
        <v>0.33678756476683935</v>
      </c>
    </row>
    <row r="1153" spans="1:13" x14ac:dyDescent="0.25">
      <c r="A1153">
        <v>30718</v>
      </c>
      <c r="B1153" t="s">
        <v>18</v>
      </c>
      <c r="C1153">
        <v>13</v>
      </c>
      <c r="D1153">
        <v>2</v>
      </c>
      <c r="E1153">
        <f>79*2</f>
        <v>158</v>
      </c>
      <c r="F1153">
        <v>17.600000000000001</v>
      </c>
      <c r="G1153">
        <v>3.3</v>
      </c>
      <c r="H1153">
        <v>8.1999999999999993</v>
      </c>
      <c r="I1153">
        <v>5.7</v>
      </c>
      <c r="K1153">
        <f t="shared" si="114"/>
        <v>0.57894736842105254</v>
      </c>
      <c r="L1153">
        <f t="shared" si="115"/>
        <v>0.32386363636363635</v>
      </c>
    </row>
    <row r="1154" spans="1:13" x14ac:dyDescent="0.25">
      <c r="A1154">
        <v>30718</v>
      </c>
      <c r="B1154" t="s">
        <v>18</v>
      </c>
      <c r="C1154">
        <v>13</v>
      </c>
      <c r="D1154">
        <v>3</v>
      </c>
      <c r="E1154">
        <f>207*2</f>
        <v>414</v>
      </c>
      <c r="F1154">
        <v>19.8</v>
      </c>
      <c r="G1154">
        <v>4.7</v>
      </c>
      <c r="H1154">
        <v>6.7</v>
      </c>
      <c r="I1154">
        <v>5.7</v>
      </c>
      <c r="K1154">
        <f t="shared" si="114"/>
        <v>0.82456140350877194</v>
      </c>
      <c r="L1154">
        <f t="shared" si="115"/>
        <v>0.2878787878787879</v>
      </c>
    </row>
    <row r="1155" spans="1:13" x14ac:dyDescent="0.25">
      <c r="A1155">
        <v>30718</v>
      </c>
      <c r="B1155" t="s">
        <v>18</v>
      </c>
      <c r="C1155">
        <v>13</v>
      </c>
      <c r="D1155">
        <v>4</v>
      </c>
      <c r="E1155">
        <f>293*2</f>
        <v>586</v>
      </c>
      <c r="F1155">
        <v>19.899999999999999</v>
      </c>
      <c r="G1155">
        <v>7</v>
      </c>
      <c r="H1155">
        <v>8.1</v>
      </c>
      <c r="I1155">
        <v>6.5</v>
      </c>
      <c r="K1155">
        <f t="shared" si="114"/>
        <v>1.0769230769230769</v>
      </c>
      <c r="L1155">
        <f t="shared" si="115"/>
        <v>0.32663316582914576</v>
      </c>
    </row>
    <row r="1156" spans="1:13" x14ac:dyDescent="0.25">
      <c r="A1156">
        <v>30718</v>
      </c>
      <c r="B1156" t="s">
        <v>18</v>
      </c>
      <c r="C1156">
        <v>13</v>
      </c>
      <c r="D1156">
        <v>5</v>
      </c>
      <c r="E1156">
        <f>325*2</f>
        <v>650</v>
      </c>
      <c r="F1156">
        <v>16.8</v>
      </c>
      <c r="G1156">
        <v>4.0999999999999996</v>
      </c>
      <c r="H1156">
        <v>8.8000000000000007</v>
      </c>
      <c r="I1156">
        <v>5.4</v>
      </c>
      <c r="K1156">
        <f t="shared" si="114"/>
        <v>0.75925925925925919</v>
      </c>
      <c r="L1156">
        <f t="shared" si="115"/>
        <v>0.32142857142857145</v>
      </c>
    </row>
    <row r="1157" spans="1:13" x14ac:dyDescent="0.25">
      <c r="A1157">
        <v>30718</v>
      </c>
      <c r="B1157" t="s">
        <v>18</v>
      </c>
      <c r="C1157">
        <v>14</v>
      </c>
      <c r="D1157">
        <v>1</v>
      </c>
      <c r="E1157">
        <f>182*2</f>
        <v>364</v>
      </c>
      <c r="F1157">
        <v>13.3</v>
      </c>
      <c r="G1157">
        <v>4.0999999999999996</v>
      </c>
      <c r="H1157">
        <v>4.3</v>
      </c>
      <c r="I1157">
        <v>6.7</v>
      </c>
      <c r="K1157">
        <f t="shared" si="114"/>
        <v>0.61194029850746257</v>
      </c>
      <c r="L1157">
        <f t="shared" si="115"/>
        <v>0.50375939849624063</v>
      </c>
    </row>
    <row r="1158" spans="1:13" x14ac:dyDescent="0.25">
      <c r="A1158">
        <v>30718</v>
      </c>
      <c r="B1158" t="s">
        <v>18</v>
      </c>
      <c r="C1158">
        <v>14</v>
      </c>
      <c r="D1158">
        <v>2</v>
      </c>
      <c r="E1158">
        <f>218*2</f>
        <v>436</v>
      </c>
      <c r="F1158">
        <v>11.7</v>
      </c>
      <c r="G1158">
        <v>4</v>
      </c>
      <c r="H1158">
        <v>5.7</v>
      </c>
      <c r="I1158">
        <v>4.4000000000000004</v>
      </c>
      <c r="K1158">
        <f t="shared" si="114"/>
        <v>0.90909090909090906</v>
      </c>
      <c r="L1158">
        <f t="shared" si="115"/>
        <v>0.37606837606837612</v>
      </c>
    </row>
    <row r="1159" spans="1:13" x14ac:dyDescent="0.25">
      <c r="A1159">
        <v>30718</v>
      </c>
      <c r="B1159" t="s">
        <v>18</v>
      </c>
      <c r="C1159">
        <v>14</v>
      </c>
      <c r="D1159">
        <v>3</v>
      </c>
      <c r="E1159">
        <f>266*2</f>
        <v>532</v>
      </c>
      <c r="F1159">
        <v>10.199999999999999</v>
      </c>
      <c r="G1159">
        <v>4.3</v>
      </c>
      <c r="H1159">
        <v>4.4000000000000004</v>
      </c>
      <c r="I1159">
        <v>5.0999999999999996</v>
      </c>
      <c r="K1159">
        <f t="shared" si="114"/>
        <v>0.84313725490196079</v>
      </c>
      <c r="L1159">
        <f t="shared" si="115"/>
        <v>0.5</v>
      </c>
    </row>
    <row r="1160" spans="1:13" x14ac:dyDescent="0.25">
      <c r="A1160">
        <v>30718</v>
      </c>
      <c r="B1160" t="s">
        <v>18</v>
      </c>
      <c r="C1160">
        <v>14</v>
      </c>
      <c r="D1160">
        <v>4</v>
      </c>
      <c r="E1160">
        <f>268*2</f>
        <v>536</v>
      </c>
      <c r="F1160">
        <v>12.2</v>
      </c>
      <c r="G1160">
        <v>2.9</v>
      </c>
      <c r="H1160">
        <v>4.0999999999999996</v>
      </c>
      <c r="I1160">
        <v>4.4000000000000004</v>
      </c>
      <c r="K1160">
        <f t="shared" si="114"/>
        <v>0.65909090909090906</v>
      </c>
      <c r="L1160">
        <f t="shared" si="115"/>
        <v>0.3606557377049181</v>
      </c>
    </row>
    <row r="1161" spans="1:13" x14ac:dyDescent="0.25">
      <c r="A1161">
        <v>30718</v>
      </c>
      <c r="B1161" t="s">
        <v>18</v>
      </c>
      <c r="C1161">
        <v>14</v>
      </c>
      <c r="D1161">
        <v>5</v>
      </c>
      <c r="E1161">
        <f>294*2</f>
        <v>588</v>
      </c>
      <c r="F1161">
        <v>12.7</v>
      </c>
      <c r="J1161" t="s">
        <v>0</v>
      </c>
    </row>
    <row r="1162" spans="1:13" x14ac:dyDescent="0.25">
      <c r="A1162">
        <v>30718</v>
      </c>
      <c r="B1162" t="s">
        <v>18</v>
      </c>
      <c r="C1162">
        <v>14</v>
      </c>
      <c r="D1162">
        <v>6</v>
      </c>
      <c r="E1162">
        <f>328*2</f>
        <v>656</v>
      </c>
      <c r="F1162">
        <v>9.1</v>
      </c>
      <c r="G1162">
        <v>4.4000000000000004</v>
      </c>
      <c r="H1162">
        <v>3.9</v>
      </c>
      <c r="I1162">
        <v>3</v>
      </c>
      <c r="K1162">
        <f t="shared" si="114"/>
        <v>1.4666666666666668</v>
      </c>
      <c r="L1162">
        <f t="shared" si="115"/>
        <v>0.32967032967032966</v>
      </c>
    </row>
    <row r="1163" spans="1:13" x14ac:dyDescent="0.25">
      <c r="A1163">
        <v>30718</v>
      </c>
      <c r="B1163" t="s">
        <v>18</v>
      </c>
      <c r="C1163">
        <v>14</v>
      </c>
      <c r="D1163">
        <v>7</v>
      </c>
      <c r="E1163">
        <f>365*2</f>
        <v>730</v>
      </c>
      <c r="F1163">
        <v>10.1</v>
      </c>
      <c r="G1163">
        <v>4.3</v>
      </c>
      <c r="H1163">
        <v>4.3</v>
      </c>
      <c r="I1163">
        <v>4.8</v>
      </c>
      <c r="K1163">
        <f t="shared" si="114"/>
        <v>0.89583333333333337</v>
      </c>
      <c r="L1163">
        <f t="shared" si="115"/>
        <v>0.47524752475247523</v>
      </c>
      <c r="M1163" t="s">
        <v>9</v>
      </c>
    </row>
    <row r="1164" spans="1:13" x14ac:dyDescent="0.25">
      <c r="A1164">
        <v>30718</v>
      </c>
      <c r="B1164" t="s">
        <v>18</v>
      </c>
      <c r="C1164">
        <v>14</v>
      </c>
      <c r="D1164">
        <v>8</v>
      </c>
      <c r="E1164">
        <f>369*2</f>
        <v>738</v>
      </c>
      <c r="F1164">
        <v>9.6999999999999993</v>
      </c>
      <c r="G1164">
        <v>4.5</v>
      </c>
      <c r="H1164">
        <v>4.8</v>
      </c>
      <c r="I1164">
        <v>4.5</v>
      </c>
      <c r="K1164">
        <f t="shared" si="114"/>
        <v>1</v>
      </c>
      <c r="L1164">
        <f t="shared" si="115"/>
        <v>0.46391752577319589</v>
      </c>
      <c r="M1164" t="s">
        <v>9</v>
      </c>
    </row>
    <row r="1165" spans="1:13" x14ac:dyDescent="0.25">
      <c r="A1165">
        <v>30718</v>
      </c>
      <c r="B1165" t="s">
        <v>18</v>
      </c>
      <c r="C1165">
        <v>14</v>
      </c>
      <c r="D1165">
        <v>9</v>
      </c>
      <c r="E1165">
        <f>389*2</f>
        <v>778</v>
      </c>
      <c r="F1165">
        <v>8.9</v>
      </c>
      <c r="M1165" t="s">
        <v>2</v>
      </c>
    </row>
    <row r="1166" spans="1:13" x14ac:dyDescent="0.25">
      <c r="A1166">
        <v>30718</v>
      </c>
      <c r="B1166" t="s">
        <v>18</v>
      </c>
      <c r="C1166">
        <v>15</v>
      </c>
      <c r="D1166">
        <v>1</v>
      </c>
      <c r="E1166">
        <f>62*2</f>
        <v>124</v>
      </c>
      <c r="F1166">
        <v>16.5</v>
      </c>
      <c r="J1166" t="s">
        <v>0</v>
      </c>
    </row>
    <row r="1167" spans="1:13" x14ac:dyDescent="0.25">
      <c r="A1167">
        <v>30718</v>
      </c>
      <c r="B1167" t="s">
        <v>18</v>
      </c>
      <c r="C1167">
        <v>15</v>
      </c>
      <c r="D1167">
        <v>2</v>
      </c>
      <c r="E1167">
        <f>179*2</f>
        <v>358</v>
      </c>
      <c r="F1167">
        <v>13.8</v>
      </c>
      <c r="G1167">
        <v>3.1</v>
      </c>
      <c r="H1167">
        <v>7</v>
      </c>
      <c r="I1167">
        <v>5.8</v>
      </c>
      <c r="K1167">
        <f t="shared" si="114"/>
        <v>0.53448275862068972</v>
      </c>
      <c r="L1167">
        <f t="shared" si="115"/>
        <v>0.42028985507246375</v>
      </c>
    </row>
    <row r="1168" spans="1:13" x14ac:dyDescent="0.25">
      <c r="A1168">
        <v>30718</v>
      </c>
      <c r="B1168" t="s">
        <v>18</v>
      </c>
      <c r="C1168">
        <v>15</v>
      </c>
      <c r="D1168">
        <v>3</v>
      </c>
      <c r="E1168">
        <f>210*2</f>
        <v>420</v>
      </c>
      <c r="F1168">
        <v>11.4</v>
      </c>
      <c r="G1168">
        <v>2.9</v>
      </c>
      <c r="H1168">
        <v>6.4</v>
      </c>
      <c r="I1168">
        <v>5.7</v>
      </c>
      <c r="K1168">
        <f t="shared" si="114"/>
        <v>0.50877192982456132</v>
      </c>
      <c r="L1168">
        <f t="shared" si="115"/>
        <v>0.5</v>
      </c>
    </row>
    <row r="1169" spans="1:13" x14ac:dyDescent="0.25">
      <c r="A1169">
        <v>30718</v>
      </c>
      <c r="B1169" t="s">
        <v>18</v>
      </c>
      <c r="C1169">
        <v>15</v>
      </c>
      <c r="D1169">
        <v>4</v>
      </c>
      <c r="E1169">
        <f>238*2</f>
        <v>476</v>
      </c>
      <c r="F1169">
        <v>14.6</v>
      </c>
      <c r="G1169">
        <v>3.7</v>
      </c>
      <c r="H1169">
        <v>5.4</v>
      </c>
      <c r="I1169">
        <v>5.7</v>
      </c>
      <c r="K1169">
        <f t="shared" si="114"/>
        <v>0.64912280701754388</v>
      </c>
      <c r="L1169">
        <f t="shared" si="115"/>
        <v>0.3904109589041096</v>
      </c>
    </row>
    <row r="1170" spans="1:13" x14ac:dyDescent="0.25">
      <c r="A1170">
        <v>30718</v>
      </c>
      <c r="B1170" t="s">
        <v>18</v>
      </c>
      <c r="C1170">
        <v>15</v>
      </c>
      <c r="D1170">
        <v>5</v>
      </c>
      <c r="E1170">
        <f>240*2</f>
        <v>480</v>
      </c>
      <c r="F1170">
        <v>15</v>
      </c>
      <c r="G1170">
        <v>4.7</v>
      </c>
      <c r="H1170">
        <v>5.5</v>
      </c>
      <c r="I1170">
        <v>5.2</v>
      </c>
      <c r="K1170">
        <f t="shared" si="114"/>
        <v>0.90384615384615385</v>
      </c>
      <c r="L1170">
        <f t="shared" si="115"/>
        <v>0.34666666666666668</v>
      </c>
    </row>
    <row r="1171" spans="1:13" x14ac:dyDescent="0.25">
      <c r="A1171">
        <v>30718</v>
      </c>
      <c r="B1171" t="s">
        <v>18</v>
      </c>
      <c r="C1171">
        <v>15</v>
      </c>
      <c r="D1171">
        <v>6</v>
      </c>
      <c r="E1171">
        <f>320*2</f>
        <v>640</v>
      </c>
      <c r="F1171">
        <v>11.4</v>
      </c>
      <c r="J1171" t="s">
        <v>0</v>
      </c>
    </row>
    <row r="1172" spans="1:13" x14ac:dyDescent="0.25">
      <c r="A1172">
        <v>30718</v>
      </c>
      <c r="B1172" t="s">
        <v>18</v>
      </c>
      <c r="C1172">
        <v>15</v>
      </c>
      <c r="D1172">
        <v>7</v>
      </c>
      <c r="E1172">
        <f>340*2</f>
        <v>680</v>
      </c>
      <c r="F1172">
        <v>14.1</v>
      </c>
      <c r="J1172" t="s">
        <v>0</v>
      </c>
    </row>
    <row r="1173" spans="1:13" x14ac:dyDescent="0.25">
      <c r="A1173">
        <v>30718</v>
      </c>
      <c r="B1173" t="s">
        <v>18</v>
      </c>
      <c r="C1173">
        <v>15</v>
      </c>
      <c r="D1173">
        <v>8</v>
      </c>
      <c r="E1173">
        <f>381*2</f>
        <v>762</v>
      </c>
      <c r="F1173">
        <v>12.4</v>
      </c>
      <c r="G1173">
        <v>3</v>
      </c>
      <c r="H1173">
        <v>4</v>
      </c>
      <c r="I1173">
        <v>3.3</v>
      </c>
      <c r="K1173">
        <f t="shared" si="114"/>
        <v>0.90909090909090917</v>
      </c>
      <c r="L1173">
        <f t="shared" si="115"/>
        <v>0.2661290322580645</v>
      </c>
    </row>
    <row r="1174" spans="1:13" x14ac:dyDescent="0.25">
      <c r="A1174">
        <v>30718</v>
      </c>
      <c r="B1174" t="s">
        <v>18</v>
      </c>
      <c r="C1174">
        <v>15</v>
      </c>
      <c r="D1174">
        <v>9</v>
      </c>
      <c r="E1174">
        <f>398*2</f>
        <v>796</v>
      </c>
      <c r="F1174">
        <v>9.4</v>
      </c>
      <c r="G1174">
        <v>2.7</v>
      </c>
      <c r="H1174">
        <v>3.2</v>
      </c>
      <c r="I1174">
        <v>3.1</v>
      </c>
      <c r="K1174">
        <f t="shared" si="114"/>
        <v>0.87096774193548387</v>
      </c>
      <c r="L1174">
        <f t="shared" si="115"/>
        <v>0.32978723404255317</v>
      </c>
    </row>
    <row r="1175" spans="1:13" x14ac:dyDescent="0.25">
      <c r="A1175">
        <v>30718</v>
      </c>
      <c r="B1175" t="s">
        <v>18</v>
      </c>
      <c r="C1175">
        <v>16</v>
      </c>
      <c r="D1175">
        <v>1</v>
      </c>
      <c r="E1175">
        <f>17*2</f>
        <v>34</v>
      </c>
      <c r="F1175">
        <v>15.4</v>
      </c>
      <c r="G1175">
        <v>7.7</v>
      </c>
      <c r="H1175">
        <v>8.4</v>
      </c>
      <c r="I1175">
        <v>8.1</v>
      </c>
      <c r="K1175">
        <f t="shared" si="114"/>
        <v>0.9506172839506174</v>
      </c>
      <c r="L1175">
        <f t="shared" si="115"/>
        <v>0.52597402597402598</v>
      </c>
    </row>
    <row r="1176" spans="1:13" x14ac:dyDescent="0.25">
      <c r="A1176">
        <v>30718</v>
      </c>
      <c r="B1176" t="s">
        <v>18</v>
      </c>
      <c r="C1176">
        <v>16</v>
      </c>
      <c r="D1176">
        <v>2</v>
      </c>
      <c r="E1176">
        <f>125*2</f>
        <v>250</v>
      </c>
      <c r="F1176">
        <v>13.1</v>
      </c>
      <c r="G1176">
        <v>5.6</v>
      </c>
      <c r="H1176">
        <v>5.6</v>
      </c>
      <c r="I1176">
        <v>8.6</v>
      </c>
      <c r="K1176">
        <f t="shared" si="114"/>
        <v>0.65116279069767435</v>
      </c>
      <c r="L1176">
        <f t="shared" si="115"/>
        <v>0.65648854961832059</v>
      </c>
    </row>
    <row r="1177" spans="1:13" x14ac:dyDescent="0.25">
      <c r="A1177">
        <v>30718</v>
      </c>
      <c r="B1177" t="s">
        <v>18</v>
      </c>
      <c r="C1177">
        <v>16</v>
      </c>
      <c r="D1177">
        <v>3</v>
      </c>
      <c r="E1177">
        <f>141*2</f>
        <v>282</v>
      </c>
      <c r="F1177">
        <v>12.8</v>
      </c>
      <c r="G1177">
        <v>5.0999999999999996</v>
      </c>
      <c r="H1177">
        <v>7</v>
      </c>
      <c r="I1177">
        <v>7.1</v>
      </c>
      <c r="K1177">
        <f t="shared" si="114"/>
        <v>0.71830985915492951</v>
      </c>
      <c r="L1177">
        <f t="shared" si="115"/>
        <v>0.55468749999999989</v>
      </c>
    </row>
    <row r="1178" spans="1:13" x14ac:dyDescent="0.25">
      <c r="A1178">
        <v>30718</v>
      </c>
      <c r="B1178" t="s">
        <v>18</v>
      </c>
      <c r="C1178">
        <v>16</v>
      </c>
      <c r="D1178">
        <v>4</v>
      </c>
      <c r="E1178">
        <f>315*2</f>
        <v>630</v>
      </c>
      <c r="F1178">
        <v>14.1</v>
      </c>
      <c r="G1178">
        <v>5</v>
      </c>
      <c r="H1178">
        <v>4.8</v>
      </c>
      <c r="I1178">
        <v>5</v>
      </c>
      <c r="K1178">
        <f t="shared" si="114"/>
        <v>1</v>
      </c>
      <c r="L1178">
        <f t="shared" si="115"/>
        <v>0.3546099290780142</v>
      </c>
    </row>
    <row r="1179" spans="1:13" x14ac:dyDescent="0.25">
      <c r="A1179">
        <v>30718</v>
      </c>
      <c r="B1179" t="s">
        <v>18</v>
      </c>
      <c r="C1179">
        <v>16</v>
      </c>
      <c r="D1179">
        <v>5</v>
      </c>
      <c r="E1179">
        <f>351*2</f>
        <v>702</v>
      </c>
      <c r="F1179">
        <v>14.6</v>
      </c>
      <c r="G1179">
        <v>6.5</v>
      </c>
      <c r="H1179">
        <v>6</v>
      </c>
      <c r="I1179">
        <v>5.2</v>
      </c>
      <c r="K1179">
        <f t="shared" si="114"/>
        <v>1.25</v>
      </c>
      <c r="L1179">
        <f t="shared" si="115"/>
        <v>0.35616438356164387</v>
      </c>
    </row>
    <row r="1180" spans="1:13" x14ac:dyDescent="0.25">
      <c r="A1180">
        <v>30718</v>
      </c>
      <c r="B1180" t="s">
        <v>18</v>
      </c>
      <c r="C1180">
        <v>16</v>
      </c>
      <c r="D1180">
        <v>6</v>
      </c>
      <c r="E1180">
        <f>355*2</f>
        <v>710</v>
      </c>
      <c r="F1180">
        <v>12.4</v>
      </c>
      <c r="G1180">
        <v>4</v>
      </c>
      <c r="H1180">
        <v>6.3</v>
      </c>
      <c r="I1180">
        <v>5.0999999999999996</v>
      </c>
      <c r="K1180">
        <f t="shared" si="114"/>
        <v>0.78431372549019618</v>
      </c>
      <c r="L1180">
        <f t="shared" si="115"/>
        <v>0.41129032258064513</v>
      </c>
    </row>
    <row r="1181" spans="1:13" x14ac:dyDescent="0.25">
      <c r="A1181">
        <v>30718</v>
      </c>
      <c r="B1181" t="s">
        <v>18</v>
      </c>
      <c r="C1181">
        <v>16</v>
      </c>
      <c r="D1181">
        <v>7</v>
      </c>
      <c r="E1181">
        <f>356*2</f>
        <v>712</v>
      </c>
      <c r="F1181">
        <v>13.2</v>
      </c>
      <c r="G1181">
        <v>4.8</v>
      </c>
      <c r="H1181">
        <v>5.6</v>
      </c>
      <c r="I1181">
        <v>4.4000000000000004</v>
      </c>
      <c r="K1181">
        <f t="shared" si="114"/>
        <v>1.0909090909090908</v>
      </c>
      <c r="L1181">
        <f t="shared" si="115"/>
        <v>0.33333333333333337</v>
      </c>
    </row>
    <row r="1182" spans="1:13" x14ac:dyDescent="0.25">
      <c r="A1182">
        <v>30718</v>
      </c>
      <c r="B1182" t="s">
        <v>18</v>
      </c>
      <c r="C1182">
        <v>16</v>
      </c>
      <c r="D1182">
        <v>8</v>
      </c>
      <c r="E1182">
        <f>386*2</f>
        <v>772</v>
      </c>
      <c r="F1182">
        <v>11.2</v>
      </c>
      <c r="M1182" t="s">
        <v>2</v>
      </c>
    </row>
    <row r="1183" spans="1:13" x14ac:dyDescent="0.25">
      <c r="A1183">
        <v>30718</v>
      </c>
      <c r="B1183" t="s">
        <v>18</v>
      </c>
      <c r="C1183">
        <v>16</v>
      </c>
      <c r="D1183">
        <v>9</v>
      </c>
      <c r="E1183">
        <f>400*2</f>
        <v>800</v>
      </c>
      <c r="F1183">
        <v>12.8</v>
      </c>
      <c r="G1183">
        <v>9.3000000000000007</v>
      </c>
      <c r="H1183">
        <v>8.1</v>
      </c>
      <c r="I1183">
        <v>8.8000000000000007</v>
      </c>
      <c r="K1183">
        <f t="shared" si="114"/>
        <v>1.0568181818181819</v>
      </c>
      <c r="L1183">
        <f t="shared" si="115"/>
        <v>0.6875</v>
      </c>
    </row>
    <row r="1184" spans="1:13" x14ac:dyDescent="0.25">
      <c r="A1184">
        <v>40718</v>
      </c>
      <c r="B1184" t="s">
        <v>18</v>
      </c>
      <c r="C1184">
        <v>1</v>
      </c>
      <c r="D1184">
        <v>1</v>
      </c>
      <c r="E1184">
        <f>26*2</f>
        <v>52</v>
      </c>
      <c r="F1184">
        <v>14.5</v>
      </c>
      <c r="G1184">
        <v>3.8</v>
      </c>
      <c r="H1184">
        <v>9</v>
      </c>
      <c r="I1184">
        <v>6.9</v>
      </c>
      <c r="K1184">
        <f t="shared" si="114"/>
        <v>0.55072463768115931</v>
      </c>
      <c r="L1184">
        <f t="shared" si="115"/>
        <v>0.47586206896551725</v>
      </c>
    </row>
    <row r="1185" spans="1:13" x14ac:dyDescent="0.25">
      <c r="A1185">
        <v>40718</v>
      </c>
      <c r="B1185" t="s">
        <v>18</v>
      </c>
      <c r="C1185">
        <v>1</v>
      </c>
      <c r="D1185">
        <v>2</v>
      </c>
      <c r="E1185">
        <f>131*2</f>
        <v>262</v>
      </c>
      <c r="F1185">
        <v>15</v>
      </c>
      <c r="G1185">
        <v>6.2</v>
      </c>
      <c r="H1185">
        <v>7.3</v>
      </c>
      <c r="I1185">
        <v>5.7</v>
      </c>
      <c r="K1185">
        <f t="shared" si="114"/>
        <v>1.0877192982456141</v>
      </c>
      <c r="L1185">
        <f t="shared" si="115"/>
        <v>0.38</v>
      </c>
    </row>
    <row r="1186" spans="1:13" x14ac:dyDescent="0.25">
      <c r="A1186">
        <v>40718</v>
      </c>
      <c r="B1186" t="s">
        <v>18</v>
      </c>
      <c r="C1186">
        <v>1</v>
      </c>
      <c r="D1186">
        <v>3</v>
      </c>
      <c r="E1186">
        <f>205*2</f>
        <v>410</v>
      </c>
      <c r="F1186">
        <v>14.9</v>
      </c>
      <c r="G1186">
        <v>6.3</v>
      </c>
      <c r="H1186">
        <v>6.3</v>
      </c>
      <c r="I1186">
        <v>6.9</v>
      </c>
      <c r="K1186">
        <f t="shared" si="114"/>
        <v>0.91304347826086951</v>
      </c>
      <c r="L1186">
        <f t="shared" si="115"/>
        <v>0.46308724832214765</v>
      </c>
    </row>
    <row r="1187" spans="1:13" x14ac:dyDescent="0.25">
      <c r="A1187">
        <v>40718</v>
      </c>
      <c r="B1187" t="s">
        <v>18</v>
      </c>
      <c r="C1187">
        <v>1</v>
      </c>
      <c r="D1187">
        <v>4</v>
      </c>
      <c r="E1187">
        <f>220*2</f>
        <v>440</v>
      </c>
      <c r="F1187">
        <v>13.1</v>
      </c>
      <c r="J1187" t="s">
        <v>0</v>
      </c>
      <c r="M1187" t="s">
        <v>9</v>
      </c>
    </row>
    <row r="1188" spans="1:13" x14ac:dyDescent="0.25">
      <c r="A1188">
        <v>40718</v>
      </c>
      <c r="B1188" t="s">
        <v>18</v>
      </c>
      <c r="C1188">
        <v>1</v>
      </c>
      <c r="D1188">
        <v>5</v>
      </c>
      <c r="E1188">
        <f>254*2</f>
        <v>508</v>
      </c>
      <c r="F1188">
        <v>11.5</v>
      </c>
      <c r="G1188">
        <v>4.9000000000000004</v>
      </c>
      <c r="H1188">
        <v>8.1999999999999993</v>
      </c>
      <c r="I1188">
        <v>6.6</v>
      </c>
      <c r="K1188">
        <f t="shared" si="114"/>
        <v>0.74242424242424254</v>
      </c>
      <c r="L1188">
        <f t="shared" si="115"/>
        <v>0.57391304347826089</v>
      </c>
      <c r="M1188" t="s">
        <v>9</v>
      </c>
    </row>
    <row r="1189" spans="1:13" x14ac:dyDescent="0.25">
      <c r="A1189">
        <v>40718</v>
      </c>
      <c r="B1189" t="s">
        <v>18</v>
      </c>
      <c r="C1189">
        <v>1</v>
      </c>
      <c r="D1189">
        <v>6</v>
      </c>
      <c r="E1189">
        <f>276*2</f>
        <v>552</v>
      </c>
      <c r="F1189">
        <v>10.7</v>
      </c>
      <c r="G1189">
        <v>4.5</v>
      </c>
      <c r="H1189">
        <v>5.5</v>
      </c>
      <c r="I1189">
        <v>4.3</v>
      </c>
      <c r="K1189">
        <f t="shared" si="114"/>
        <v>1.0465116279069768</v>
      </c>
      <c r="L1189">
        <f t="shared" si="115"/>
        <v>0.40186915887850466</v>
      </c>
      <c r="M1189" t="s">
        <v>9</v>
      </c>
    </row>
    <row r="1190" spans="1:13" x14ac:dyDescent="0.25">
      <c r="A1190">
        <v>40718</v>
      </c>
      <c r="B1190" t="s">
        <v>18</v>
      </c>
      <c r="C1190">
        <v>1</v>
      </c>
      <c r="D1190">
        <v>7</v>
      </c>
      <c r="E1190">
        <f>278*2</f>
        <v>556</v>
      </c>
      <c r="F1190">
        <v>14.9</v>
      </c>
      <c r="G1190">
        <v>3.9</v>
      </c>
      <c r="H1190">
        <v>7.8</v>
      </c>
      <c r="I1190">
        <v>6.1</v>
      </c>
      <c r="K1190">
        <f t="shared" si="114"/>
        <v>0.63934426229508201</v>
      </c>
      <c r="L1190">
        <f t="shared" si="115"/>
        <v>0.40939597315436238</v>
      </c>
      <c r="M1190" t="s">
        <v>9</v>
      </c>
    </row>
    <row r="1191" spans="1:13" x14ac:dyDescent="0.25">
      <c r="A1191">
        <v>40718</v>
      </c>
      <c r="B1191" t="s">
        <v>18</v>
      </c>
      <c r="C1191">
        <v>2</v>
      </c>
      <c r="D1191">
        <v>1</v>
      </c>
      <c r="E1191">
        <f>292*2</f>
        <v>584</v>
      </c>
      <c r="F1191">
        <v>20.100000000000001</v>
      </c>
      <c r="G1191">
        <v>4.5</v>
      </c>
      <c r="H1191">
        <v>6.6</v>
      </c>
      <c r="I1191">
        <v>4.9000000000000004</v>
      </c>
      <c r="K1191">
        <f t="shared" si="114"/>
        <v>0.91836734693877542</v>
      </c>
      <c r="L1191">
        <f t="shared" si="115"/>
        <v>0.24378109452736318</v>
      </c>
    </row>
    <row r="1192" spans="1:13" x14ac:dyDescent="0.25">
      <c r="A1192">
        <v>40718</v>
      </c>
      <c r="B1192" t="s">
        <v>18</v>
      </c>
      <c r="C1192">
        <v>2</v>
      </c>
      <c r="D1192">
        <v>2</v>
      </c>
      <c r="E1192">
        <f>300*2</f>
        <v>600</v>
      </c>
      <c r="F1192">
        <v>18.100000000000001</v>
      </c>
      <c r="G1192">
        <v>4.8</v>
      </c>
      <c r="H1192">
        <v>10.1</v>
      </c>
      <c r="I1192">
        <v>7.2</v>
      </c>
      <c r="K1192">
        <f t="shared" si="114"/>
        <v>0.66666666666666663</v>
      </c>
      <c r="L1192">
        <f t="shared" si="115"/>
        <v>0.39779005524861877</v>
      </c>
    </row>
    <row r="1193" spans="1:13" x14ac:dyDescent="0.25">
      <c r="A1193">
        <v>40718</v>
      </c>
      <c r="B1193" t="s">
        <v>18</v>
      </c>
      <c r="C1193">
        <v>2</v>
      </c>
      <c r="D1193">
        <v>3</v>
      </c>
      <c r="E1193">
        <f>376*2</f>
        <v>752</v>
      </c>
      <c r="F1193">
        <v>16.2</v>
      </c>
      <c r="G1193">
        <v>6.9</v>
      </c>
      <c r="H1193">
        <v>8.5</v>
      </c>
      <c r="I1193">
        <v>8.3000000000000007</v>
      </c>
      <c r="K1193">
        <f t="shared" si="114"/>
        <v>0.83132530120481929</v>
      </c>
      <c r="L1193">
        <f t="shared" si="115"/>
        <v>0.51234567901234573</v>
      </c>
      <c r="M1193" t="s">
        <v>9</v>
      </c>
    </row>
    <row r="1194" spans="1:13" x14ac:dyDescent="0.25">
      <c r="A1194">
        <v>40718</v>
      </c>
      <c r="B1194" t="s">
        <v>18</v>
      </c>
      <c r="C1194">
        <v>3</v>
      </c>
      <c r="D1194">
        <v>1</v>
      </c>
      <c r="E1194">
        <f>52*2</f>
        <v>104</v>
      </c>
      <c r="F1194">
        <v>12.4</v>
      </c>
      <c r="G1194">
        <v>3.8</v>
      </c>
      <c r="H1194">
        <v>6.8</v>
      </c>
      <c r="I1194">
        <v>4.9000000000000004</v>
      </c>
      <c r="K1194">
        <f t="shared" si="114"/>
        <v>0.77551020408163251</v>
      </c>
      <c r="L1194">
        <f t="shared" si="115"/>
        <v>0.39516129032258068</v>
      </c>
    </row>
    <row r="1195" spans="1:13" x14ac:dyDescent="0.25">
      <c r="A1195">
        <v>40718</v>
      </c>
      <c r="B1195" t="s">
        <v>18</v>
      </c>
      <c r="C1195">
        <v>3</v>
      </c>
      <c r="D1195">
        <v>2</v>
      </c>
      <c r="E1195">
        <f>55*2</f>
        <v>110</v>
      </c>
      <c r="F1195">
        <v>13.1</v>
      </c>
      <c r="G1195">
        <v>3.6</v>
      </c>
      <c r="H1195">
        <v>7.5</v>
      </c>
      <c r="I1195">
        <v>4.2</v>
      </c>
      <c r="K1195">
        <f t="shared" si="114"/>
        <v>0.8571428571428571</v>
      </c>
      <c r="L1195">
        <f t="shared" si="115"/>
        <v>0.3206106870229008</v>
      </c>
    </row>
    <row r="1196" spans="1:13" x14ac:dyDescent="0.25">
      <c r="A1196">
        <v>40718</v>
      </c>
      <c r="B1196" t="s">
        <v>18</v>
      </c>
      <c r="C1196">
        <v>3</v>
      </c>
      <c r="D1196">
        <v>3</v>
      </c>
      <c r="E1196">
        <f>138*2</f>
        <v>276</v>
      </c>
      <c r="F1196">
        <v>10.3</v>
      </c>
      <c r="G1196">
        <v>1.9</v>
      </c>
      <c r="H1196">
        <v>4.4000000000000004</v>
      </c>
      <c r="I1196">
        <v>3.5</v>
      </c>
      <c r="K1196">
        <f t="shared" ref="K1196:K1259" si="116">G1196/I1196</f>
        <v>0.54285714285714282</v>
      </c>
      <c r="L1196">
        <f t="shared" ref="L1196:L1259" si="117">I1196/F1196</f>
        <v>0.33980582524271841</v>
      </c>
    </row>
    <row r="1197" spans="1:13" x14ac:dyDescent="0.25">
      <c r="A1197">
        <v>40718</v>
      </c>
      <c r="B1197" t="s">
        <v>18</v>
      </c>
      <c r="C1197">
        <v>3</v>
      </c>
      <c r="D1197">
        <v>4</v>
      </c>
      <c r="E1197">
        <f>166*2</f>
        <v>332</v>
      </c>
      <c r="F1197">
        <v>10.5</v>
      </c>
      <c r="G1197">
        <v>5.6</v>
      </c>
      <c r="H1197">
        <v>5.8</v>
      </c>
      <c r="I1197">
        <v>5.7</v>
      </c>
      <c r="K1197">
        <f t="shared" si="116"/>
        <v>0.98245614035087714</v>
      </c>
      <c r="L1197">
        <f t="shared" si="117"/>
        <v>0.54285714285714293</v>
      </c>
    </row>
    <row r="1198" spans="1:13" x14ac:dyDescent="0.25">
      <c r="A1198">
        <v>40718</v>
      </c>
      <c r="B1198" t="s">
        <v>18</v>
      </c>
      <c r="C1198">
        <v>3</v>
      </c>
      <c r="D1198">
        <v>5</v>
      </c>
      <c r="E1198">
        <f>210*2</f>
        <v>420</v>
      </c>
      <c r="F1198">
        <v>11.1</v>
      </c>
      <c r="G1198">
        <v>3.7</v>
      </c>
      <c r="H1198">
        <v>4.2</v>
      </c>
      <c r="I1198">
        <v>4.2</v>
      </c>
      <c r="K1198">
        <f t="shared" si="116"/>
        <v>0.88095238095238093</v>
      </c>
      <c r="L1198">
        <f t="shared" si="117"/>
        <v>0.3783783783783784</v>
      </c>
    </row>
    <row r="1199" spans="1:13" x14ac:dyDescent="0.25">
      <c r="A1199">
        <v>40718</v>
      </c>
      <c r="B1199" t="s">
        <v>18</v>
      </c>
      <c r="C1199">
        <v>3</v>
      </c>
      <c r="D1199">
        <v>6</v>
      </c>
      <c r="E1199">
        <f>232*2</f>
        <v>464</v>
      </c>
      <c r="F1199">
        <v>10.5</v>
      </c>
      <c r="G1199">
        <v>5.7</v>
      </c>
      <c r="H1199">
        <v>4.9000000000000004</v>
      </c>
      <c r="I1199">
        <v>5.6</v>
      </c>
      <c r="K1199">
        <f t="shared" si="116"/>
        <v>1.017857142857143</v>
      </c>
      <c r="L1199">
        <f t="shared" si="117"/>
        <v>0.53333333333333333</v>
      </c>
    </row>
    <row r="1200" spans="1:13" x14ac:dyDescent="0.25">
      <c r="A1200">
        <v>40718</v>
      </c>
      <c r="B1200" t="s">
        <v>18</v>
      </c>
      <c r="C1200">
        <v>3</v>
      </c>
      <c r="D1200">
        <v>7</v>
      </c>
      <c r="E1200">
        <f>232*2</f>
        <v>464</v>
      </c>
      <c r="F1200">
        <v>10.5</v>
      </c>
      <c r="G1200">
        <v>4.3</v>
      </c>
      <c r="H1200">
        <v>5.0999999999999996</v>
      </c>
      <c r="I1200">
        <v>3.6</v>
      </c>
      <c r="K1200">
        <f t="shared" si="116"/>
        <v>1.1944444444444444</v>
      </c>
      <c r="L1200">
        <f t="shared" si="117"/>
        <v>0.34285714285714286</v>
      </c>
    </row>
    <row r="1201" spans="1:13" x14ac:dyDescent="0.25">
      <c r="A1201">
        <v>40718</v>
      </c>
      <c r="B1201" t="s">
        <v>18</v>
      </c>
      <c r="C1201">
        <v>3</v>
      </c>
      <c r="D1201">
        <v>8</v>
      </c>
      <c r="E1201">
        <f>252*2</f>
        <v>504</v>
      </c>
      <c r="F1201">
        <v>9.6</v>
      </c>
      <c r="G1201">
        <v>2.2999999999999998</v>
      </c>
      <c r="H1201">
        <v>3.6</v>
      </c>
      <c r="I1201">
        <v>3.4</v>
      </c>
      <c r="K1201">
        <f t="shared" si="116"/>
        <v>0.67647058823529405</v>
      </c>
      <c r="L1201">
        <f t="shared" si="117"/>
        <v>0.35416666666666669</v>
      </c>
    </row>
    <row r="1202" spans="1:13" x14ac:dyDescent="0.25">
      <c r="A1202">
        <v>40718</v>
      </c>
      <c r="B1202" t="s">
        <v>18</v>
      </c>
      <c r="C1202">
        <v>3</v>
      </c>
      <c r="D1202">
        <v>9</v>
      </c>
      <c r="E1202">
        <f>278*2</f>
        <v>556</v>
      </c>
      <c r="F1202">
        <v>9.3000000000000007</v>
      </c>
      <c r="G1202">
        <v>4.5999999999999996</v>
      </c>
      <c r="H1202">
        <v>4.3</v>
      </c>
      <c r="I1202">
        <v>4.3</v>
      </c>
      <c r="K1202">
        <f t="shared" si="116"/>
        <v>1.069767441860465</v>
      </c>
      <c r="L1202">
        <f t="shared" si="117"/>
        <v>0.46236559139784938</v>
      </c>
    </row>
    <row r="1203" spans="1:13" x14ac:dyDescent="0.25">
      <c r="A1203">
        <v>40718</v>
      </c>
      <c r="B1203" t="s">
        <v>18</v>
      </c>
      <c r="C1203">
        <v>3</v>
      </c>
      <c r="D1203">
        <v>10</v>
      </c>
      <c r="E1203">
        <f>286*2</f>
        <v>572</v>
      </c>
      <c r="F1203">
        <v>7.4</v>
      </c>
      <c r="G1203">
        <v>4.8</v>
      </c>
      <c r="H1203">
        <v>5.5</v>
      </c>
      <c r="I1203">
        <v>3.8</v>
      </c>
      <c r="K1203">
        <f t="shared" si="116"/>
        <v>1.263157894736842</v>
      </c>
      <c r="L1203">
        <f t="shared" si="117"/>
        <v>0.51351351351351349</v>
      </c>
    </row>
    <row r="1204" spans="1:13" x14ac:dyDescent="0.25">
      <c r="A1204">
        <v>40718</v>
      </c>
      <c r="B1204" t="s">
        <v>18</v>
      </c>
      <c r="C1204">
        <v>3</v>
      </c>
      <c r="D1204">
        <v>11</v>
      </c>
      <c r="E1204">
        <f>291*2</f>
        <v>582</v>
      </c>
      <c r="F1204">
        <v>7.1</v>
      </c>
      <c r="G1204">
        <v>3</v>
      </c>
      <c r="H1204">
        <v>2.4</v>
      </c>
      <c r="I1204">
        <v>3</v>
      </c>
      <c r="K1204">
        <f t="shared" si="116"/>
        <v>1</v>
      </c>
      <c r="L1204">
        <f t="shared" si="117"/>
        <v>0.42253521126760568</v>
      </c>
    </row>
    <row r="1205" spans="1:13" x14ac:dyDescent="0.25">
      <c r="A1205">
        <v>40718</v>
      </c>
      <c r="B1205" t="s">
        <v>18</v>
      </c>
      <c r="C1205">
        <v>3</v>
      </c>
      <c r="D1205">
        <v>12</v>
      </c>
      <c r="E1205">
        <f>298*2</f>
        <v>596</v>
      </c>
      <c r="F1205">
        <v>6.8</v>
      </c>
      <c r="J1205" t="s">
        <v>0</v>
      </c>
      <c r="M1205" t="s">
        <v>9</v>
      </c>
    </row>
    <row r="1206" spans="1:13" x14ac:dyDescent="0.25">
      <c r="A1206">
        <v>40718</v>
      </c>
      <c r="B1206" t="s">
        <v>18</v>
      </c>
      <c r="C1206">
        <v>3</v>
      </c>
      <c r="D1206">
        <v>13</v>
      </c>
      <c r="E1206">
        <f>314*2</f>
        <v>628</v>
      </c>
      <c r="F1206">
        <v>7.2</v>
      </c>
      <c r="G1206">
        <v>3.8</v>
      </c>
      <c r="H1206">
        <v>3.8</v>
      </c>
      <c r="I1206">
        <v>4.5</v>
      </c>
      <c r="K1206">
        <f t="shared" si="116"/>
        <v>0.84444444444444444</v>
      </c>
      <c r="L1206">
        <f t="shared" si="117"/>
        <v>0.625</v>
      </c>
    </row>
    <row r="1207" spans="1:13" x14ac:dyDescent="0.25">
      <c r="A1207">
        <v>40718</v>
      </c>
      <c r="B1207" t="s">
        <v>18</v>
      </c>
      <c r="C1207">
        <v>4</v>
      </c>
      <c r="D1207">
        <v>1</v>
      </c>
      <c r="E1207">
        <f>102*2</f>
        <v>204</v>
      </c>
      <c r="F1207">
        <v>6.7</v>
      </c>
      <c r="G1207">
        <v>3.8</v>
      </c>
      <c r="H1207">
        <v>3.9</v>
      </c>
      <c r="I1207">
        <v>3.6</v>
      </c>
      <c r="K1207">
        <f t="shared" si="116"/>
        <v>1.0555555555555556</v>
      </c>
      <c r="L1207">
        <f t="shared" si="117"/>
        <v>0.53731343283582089</v>
      </c>
    </row>
    <row r="1208" spans="1:13" x14ac:dyDescent="0.25">
      <c r="A1208">
        <v>40718</v>
      </c>
      <c r="B1208" t="s">
        <v>18</v>
      </c>
      <c r="C1208">
        <v>4</v>
      </c>
      <c r="D1208">
        <v>2</v>
      </c>
      <c r="E1208">
        <f>120*2</f>
        <v>240</v>
      </c>
      <c r="F1208">
        <v>9.9</v>
      </c>
      <c r="M1208" t="s">
        <v>2</v>
      </c>
    </row>
    <row r="1209" spans="1:13" x14ac:dyDescent="0.25">
      <c r="A1209">
        <v>40718</v>
      </c>
      <c r="B1209" t="s">
        <v>18</v>
      </c>
      <c r="C1209">
        <v>4</v>
      </c>
      <c r="D1209">
        <v>3</v>
      </c>
      <c r="E1209">
        <f>133*2</f>
        <v>266</v>
      </c>
      <c r="F1209">
        <v>7</v>
      </c>
      <c r="G1209">
        <v>2.4</v>
      </c>
      <c r="H1209">
        <v>3.3</v>
      </c>
      <c r="I1209">
        <v>2.7</v>
      </c>
      <c r="K1209">
        <f t="shared" si="116"/>
        <v>0.88888888888888884</v>
      </c>
      <c r="L1209">
        <f t="shared" si="117"/>
        <v>0.38571428571428573</v>
      </c>
    </row>
    <row r="1210" spans="1:13" x14ac:dyDescent="0.25">
      <c r="A1210">
        <v>40718</v>
      </c>
      <c r="B1210" t="s">
        <v>18</v>
      </c>
      <c r="C1210">
        <v>4</v>
      </c>
      <c r="D1210">
        <v>4</v>
      </c>
      <c r="E1210">
        <f>146*2</f>
        <v>292</v>
      </c>
      <c r="F1210">
        <v>8</v>
      </c>
      <c r="M1210" t="s">
        <v>2</v>
      </c>
    </row>
    <row r="1211" spans="1:13" x14ac:dyDescent="0.25">
      <c r="A1211">
        <v>40718</v>
      </c>
      <c r="B1211" t="s">
        <v>18</v>
      </c>
      <c r="C1211">
        <v>4</v>
      </c>
      <c r="D1211">
        <v>5</v>
      </c>
      <c r="E1211">
        <f>172*2</f>
        <v>344</v>
      </c>
      <c r="F1211">
        <v>6.4</v>
      </c>
      <c r="J1211" t="s">
        <v>0</v>
      </c>
    </row>
    <row r="1212" spans="1:13" x14ac:dyDescent="0.25">
      <c r="A1212">
        <v>40718</v>
      </c>
      <c r="B1212" t="s">
        <v>18</v>
      </c>
      <c r="C1212">
        <v>4</v>
      </c>
      <c r="D1212">
        <v>6</v>
      </c>
      <c r="E1212">
        <f>213*2</f>
        <v>426</v>
      </c>
      <c r="F1212">
        <v>5.0999999999999996</v>
      </c>
      <c r="G1212">
        <v>5.5</v>
      </c>
      <c r="H1212">
        <v>4.7</v>
      </c>
      <c r="I1212">
        <v>5.5</v>
      </c>
      <c r="K1212">
        <f t="shared" si="116"/>
        <v>1</v>
      </c>
      <c r="L1212">
        <f t="shared" si="117"/>
        <v>1.0784313725490198</v>
      </c>
    </row>
    <row r="1213" spans="1:13" x14ac:dyDescent="0.25">
      <c r="A1213">
        <v>40718</v>
      </c>
      <c r="B1213" t="s">
        <v>18</v>
      </c>
      <c r="C1213">
        <v>4</v>
      </c>
      <c r="D1213">
        <v>7</v>
      </c>
      <c r="E1213">
        <f>227*2</f>
        <v>454</v>
      </c>
      <c r="F1213">
        <v>6.1</v>
      </c>
      <c r="M1213" t="s">
        <v>2</v>
      </c>
    </row>
    <row r="1214" spans="1:13" x14ac:dyDescent="0.25">
      <c r="A1214">
        <v>40718</v>
      </c>
      <c r="B1214" t="s">
        <v>18</v>
      </c>
      <c r="C1214">
        <v>5</v>
      </c>
      <c r="D1214">
        <v>1</v>
      </c>
      <c r="E1214">
        <f>137*2</f>
        <v>274</v>
      </c>
      <c r="F1214">
        <v>15.2</v>
      </c>
      <c r="G1214">
        <v>4.7</v>
      </c>
      <c r="H1214">
        <v>8.6</v>
      </c>
      <c r="I1214">
        <v>7.5</v>
      </c>
      <c r="K1214">
        <f t="shared" si="116"/>
        <v>0.62666666666666671</v>
      </c>
      <c r="L1214">
        <f t="shared" si="117"/>
        <v>0.49342105263157898</v>
      </c>
    </row>
    <row r="1215" spans="1:13" x14ac:dyDescent="0.25">
      <c r="A1215">
        <v>40718</v>
      </c>
      <c r="B1215" t="s">
        <v>18</v>
      </c>
      <c r="C1215">
        <v>5</v>
      </c>
      <c r="D1215">
        <v>2</v>
      </c>
      <c r="E1215">
        <f>298*2</f>
        <v>596</v>
      </c>
      <c r="F1215">
        <v>11.5</v>
      </c>
      <c r="G1215">
        <v>4.7</v>
      </c>
      <c r="H1215">
        <v>6.3</v>
      </c>
      <c r="I1215">
        <v>6.7</v>
      </c>
      <c r="K1215">
        <f t="shared" si="116"/>
        <v>0.70149253731343286</v>
      </c>
      <c r="L1215">
        <f t="shared" si="117"/>
        <v>0.58260869565217388</v>
      </c>
    </row>
    <row r="1216" spans="1:13" x14ac:dyDescent="0.25">
      <c r="A1216">
        <v>40718</v>
      </c>
      <c r="B1216" t="s">
        <v>18</v>
      </c>
      <c r="C1216">
        <v>6</v>
      </c>
      <c r="D1216">
        <v>1</v>
      </c>
      <c r="E1216">
        <f>34*2</f>
        <v>68</v>
      </c>
      <c r="F1216">
        <v>6.9</v>
      </c>
      <c r="G1216">
        <v>4.3</v>
      </c>
      <c r="H1216">
        <v>4.9000000000000004</v>
      </c>
      <c r="I1216">
        <v>3.8</v>
      </c>
      <c r="K1216">
        <f t="shared" si="116"/>
        <v>1.131578947368421</v>
      </c>
      <c r="L1216">
        <f t="shared" si="117"/>
        <v>0.55072463768115931</v>
      </c>
    </row>
    <row r="1217" spans="1:13" x14ac:dyDescent="0.25">
      <c r="A1217">
        <v>40718</v>
      </c>
      <c r="B1217" t="s">
        <v>18</v>
      </c>
      <c r="C1217">
        <v>6</v>
      </c>
      <c r="D1217">
        <v>2</v>
      </c>
      <c r="E1217">
        <f>58*2</f>
        <v>116</v>
      </c>
      <c r="F1217">
        <v>6.8</v>
      </c>
      <c r="G1217">
        <v>4.2</v>
      </c>
      <c r="H1217">
        <v>5.3</v>
      </c>
      <c r="I1217">
        <v>4.2</v>
      </c>
      <c r="K1217">
        <f t="shared" si="116"/>
        <v>1</v>
      </c>
      <c r="L1217">
        <f t="shared" si="117"/>
        <v>0.61764705882352944</v>
      </c>
    </row>
    <row r="1218" spans="1:13" x14ac:dyDescent="0.25">
      <c r="A1218">
        <v>40718</v>
      </c>
      <c r="B1218" t="s">
        <v>18</v>
      </c>
      <c r="C1218">
        <v>6</v>
      </c>
      <c r="D1218">
        <v>3</v>
      </c>
      <c r="E1218">
        <f>97*2</f>
        <v>194</v>
      </c>
      <c r="F1218">
        <v>6.4</v>
      </c>
      <c r="M1218" t="s">
        <v>2</v>
      </c>
    </row>
    <row r="1219" spans="1:13" x14ac:dyDescent="0.25">
      <c r="A1219">
        <v>40718</v>
      </c>
      <c r="B1219" t="s">
        <v>18</v>
      </c>
      <c r="C1219">
        <v>6</v>
      </c>
      <c r="D1219">
        <v>4</v>
      </c>
      <c r="E1219">
        <f>105*2</f>
        <v>210</v>
      </c>
      <c r="F1219">
        <v>6.6</v>
      </c>
      <c r="M1219" t="s">
        <v>2</v>
      </c>
    </row>
    <row r="1220" spans="1:13" x14ac:dyDescent="0.25">
      <c r="A1220">
        <v>40718</v>
      </c>
      <c r="B1220" t="s">
        <v>18</v>
      </c>
      <c r="C1220">
        <v>7</v>
      </c>
      <c r="D1220">
        <v>1</v>
      </c>
      <c r="E1220">
        <f>110*2</f>
        <v>220</v>
      </c>
      <c r="F1220">
        <v>16.5</v>
      </c>
      <c r="G1220">
        <v>3</v>
      </c>
      <c r="H1220">
        <v>5.0999999999999996</v>
      </c>
      <c r="I1220">
        <v>6.4</v>
      </c>
      <c r="K1220">
        <f t="shared" si="116"/>
        <v>0.46875</v>
      </c>
      <c r="L1220">
        <f t="shared" si="117"/>
        <v>0.38787878787878788</v>
      </c>
    </row>
    <row r="1221" spans="1:13" x14ac:dyDescent="0.25">
      <c r="A1221">
        <v>40718</v>
      </c>
      <c r="B1221" t="s">
        <v>18</v>
      </c>
      <c r="C1221">
        <v>7</v>
      </c>
      <c r="D1221">
        <v>2</v>
      </c>
      <c r="E1221">
        <f>128*2</f>
        <v>256</v>
      </c>
      <c r="F1221">
        <v>14.9</v>
      </c>
      <c r="G1221">
        <v>2.1</v>
      </c>
      <c r="H1221">
        <v>6.5</v>
      </c>
      <c r="I1221">
        <v>4.8</v>
      </c>
      <c r="K1221">
        <f t="shared" si="116"/>
        <v>0.43750000000000006</v>
      </c>
      <c r="L1221">
        <f t="shared" si="117"/>
        <v>0.32214765100671139</v>
      </c>
    </row>
    <row r="1222" spans="1:13" x14ac:dyDescent="0.25">
      <c r="A1222">
        <v>40718</v>
      </c>
      <c r="B1222" t="s">
        <v>18</v>
      </c>
      <c r="C1222">
        <v>7</v>
      </c>
      <c r="D1222">
        <v>3</v>
      </c>
      <c r="E1222">
        <f>174*2</f>
        <v>348</v>
      </c>
      <c r="F1222">
        <f>13.3</f>
        <v>13.3</v>
      </c>
      <c r="G1222">
        <v>3.2</v>
      </c>
      <c r="H1222">
        <v>5.6</v>
      </c>
      <c r="I1222">
        <v>5</v>
      </c>
      <c r="K1222">
        <f t="shared" si="116"/>
        <v>0.64</v>
      </c>
      <c r="L1222">
        <f t="shared" si="117"/>
        <v>0.37593984962406013</v>
      </c>
    </row>
    <row r="1223" spans="1:13" x14ac:dyDescent="0.25">
      <c r="A1223">
        <v>40718</v>
      </c>
      <c r="B1223" t="s">
        <v>18</v>
      </c>
      <c r="C1223">
        <v>7</v>
      </c>
      <c r="D1223">
        <v>4</v>
      </c>
      <c r="E1223">
        <f>255*2</f>
        <v>510</v>
      </c>
      <c r="F1223">
        <v>11.1</v>
      </c>
      <c r="G1223">
        <v>4.5</v>
      </c>
      <c r="H1223">
        <v>3.7</v>
      </c>
      <c r="I1223">
        <v>4.2</v>
      </c>
      <c r="K1223">
        <f t="shared" si="116"/>
        <v>1.0714285714285714</v>
      </c>
      <c r="L1223">
        <f t="shared" si="117"/>
        <v>0.3783783783783784</v>
      </c>
    </row>
    <row r="1224" spans="1:13" x14ac:dyDescent="0.25">
      <c r="A1224">
        <v>40718</v>
      </c>
      <c r="B1224" t="s">
        <v>18</v>
      </c>
      <c r="C1224">
        <v>7</v>
      </c>
      <c r="D1224">
        <v>5</v>
      </c>
      <c r="E1224">
        <f>277*2</f>
        <v>554</v>
      </c>
      <c r="F1224">
        <v>12.9</v>
      </c>
      <c r="G1224">
        <v>3.5</v>
      </c>
      <c r="H1224">
        <v>7.5</v>
      </c>
      <c r="I1224">
        <v>4.5999999999999996</v>
      </c>
      <c r="K1224">
        <f t="shared" si="116"/>
        <v>0.76086956521739135</v>
      </c>
      <c r="L1224">
        <f t="shared" si="117"/>
        <v>0.35658914728682167</v>
      </c>
    </row>
    <row r="1225" spans="1:13" x14ac:dyDescent="0.25">
      <c r="A1225">
        <v>40718</v>
      </c>
      <c r="B1225" t="s">
        <v>18</v>
      </c>
      <c r="C1225">
        <v>7</v>
      </c>
      <c r="D1225">
        <v>6</v>
      </c>
      <c r="E1225">
        <f>335*2</f>
        <v>670</v>
      </c>
      <c r="F1225">
        <v>12.6</v>
      </c>
      <c r="G1225">
        <v>6.3</v>
      </c>
      <c r="H1225">
        <v>5.5</v>
      </c>
      <c r="I1225">
        <v>5.8</v>
      </c>
      <c r="K1225">
        <f t="shared" si="116"/>
        <v>1.0862068965517242</v>
      </c>
      <c r="L1225">
        <f t="shared" si="117"/>
        <v>0.46031746031746029</v>
      </c>
      <c r="M1225" t="s">
        <v>9</v>
      </c>
    </row>
    <row r="1226" spans="1:13" x14ac:dyDescent="0.25">
      <c r="A1226">
        <v>40718</v>
      </c>
      <c r="B1226" t="s">
        <v>18</v>
      </c>
      <c r="C1226">
        <v>8</v>
      </c>
      <c r="D1226">
        <v>1</v>
      </c>
      <c r="E1226">
        <f>157*2</f>
        <v>314</v>
      </c>
      <c r="F1226">
        <v>9.1999999999999993</v>
      </c>
      <c r="J1226" t="s">
        <v>0</v>
      </c>
    </row>
    <row r="1227" spans="1:13" x14ac:dyDescent="0.25">
      <c r="A1227">
        <v>40718</v>
      </c>
      <c r="B1227" t="s">
        <v>18</v>
      </c>
      <c r="C1227">
        <v>8</v>
      </c>
      <c r="D1227">
        <v>2</v>
      </c>
      <c r="E1227">
        <f>160*2</f>
        <v>320</v>
      </c>
      <c r="F1227">
        <v>11</v>
      </c>
      <c r="J1227" t="s">
        <v>0</v>
      </c>
    </row>
    <row r="1228" spans="1:13" x14ac:dyDescent="0.25">
      <c r="A1228">
        <v>40718</v>
      </c>
      <c r="B1228" t="s">
        <v>18</v>
      </c>
      <c r="C1228">
        <v>8</v>
      </c>
      <c r="D1228">
        <v>3</v>
      </c>
      <c r="E1228">
        <f>176*2</f>
        <v>352</v>
      </c>
      <c r="F1228">
        <v>9.6</v>
      </c>
      <c r="G1228">
        <v>5</v>
      </c>
      <c r="H1228">
        <v>7.1</v>
      </c>
      <c r="I1228">
        <v>5.9</v>
      </c>
      <c r="K1228">
        <f t="shared" si="116"/>
        <v>0.84745762711864403</v>
      </c>
      <c r="L1228">
        <f t="shared" si="117"/>
        <v>0.61458333333333337</v>
      </c>
    </row>
    <row r="1229" spans="1:13" x14ac:dyDescent="0.25">
      <c r="A1229">
        <v>40718</v>
      </c>
      <c r="B1229" t="s">
        <v>18</v>
      </c>
      <c r="C1229">
        <v>8</v>
      </c>
      <c r="D1229">
        <v>4</v>
      </c>
      <c r="E1229">
        <f>214*2</f>
        <v>428</v>
      </c>
      <c r="F1229">
        <v>8.6999999999999993</v>
      </c>
      <c r="G1229">
        <v>3.8</v>
      </c>
      <c r="H1229">
        <v>5</v>
      </c>
      <c r="I1229">
        <v>4.4000000000000004</v>
      </c>
      <c r="K1229">
        <f t="shared" si="116"/>
        <v>0.86363636363636354</v>
      </c>
      <c r="L1229">
        <f t="shared" si="117"/>
        <v>0.50574712643678166</v>
      </c>
    </row>
    <row r="1230" spans="1:13" x14ac:dyDescent="0.25">
      <c r="A1230">
        <v>40718</v>
      </c>
      <c r="B1230" t="s">
        <v>18</v>
      </c>
      <c r="C1230">
        <v>8</v>
      </c>
      <c r="D1230">
        <v>5</v>
      </c>
      <c r="E1230">
        <f>227*2</f>
        <v>454</v>
      </c>
      <c r="F1230">
        <v>8.9</v>
      </c>
      <c r="G1230">
        <v>5</v>
      </c>
      <c r="H1230">
        <v>5</v>
      </c>
      <c r="I1230">
        <v>4.5</v>
      </c>
      <c r="K1230">
        <f t="shared" si="116"/>
        <v>1.1111111111111112</v>
      </c>
      <c r="L1230">
        <f t="shared" si="117"/>
        <v>0.5056179775280899</v>
      </c>
    </row>
    <row r="1231" spans="1:13" x14ac:dyDescent="0.25">
      <c r="A1231">
        <v>40718</v>
      </c>
      <c r="B1231" t="s">
        <v>18</v>
      </c>
      <c r="C1231">
        <v>8</v>
      </c>
      <c r="D1231">
        <v>6</v>
      </c>
      <c r="E1231">
        <f>252*2</f>
        <v>504</v>
      </c>
      <c r="F1231">
        <v>5.8</v>
      </c>
      <c r="G1231">
        <v>2.5</v>
      </c>
      <c r="H1231">
        <v>3.7</v>
      </c>
      <c r="I1231">
        <v>3.4</v>
      </c>
      <c r="K1231">
        <f t="shared" si="116"/>
        <v>0.73529411764705888</v>
      </c>
      <c r="L1231">
        <f t="shared" si="117"/>
        <v>0.58620689655172409</v>
      </c>
    </row>
    <row r="1232" spans="1:13" x14ac:dyDescent="0.25">
      <c r="A1232">
        <v>40718</v>
      </c>
      <c r="B1232" t="s">
        <v>18</v>
      </c>
      <c r="C1232">
        <v>8</v>
      </c>
      <c r="D1232">
        <v>7</v>
      </c>
      <c r="E1232">
        <f>279*2</f>
        <v>558</v>
      </c>
      <c r="F1232">
        <v>5.8</v>
      </c>
      <c r="G1232">
        <v>2.2999999999999998</v>
      </c>
      <c r="H1232">
        <v>2.2999999999999998</v>
      </c>
      <c r="I1232">
        <v>2.2000000000000002</v>
      </c>
      <c r="K1232">
        <f t="shared" si="116"/>
        <v>1.0454545454545452</v>
      </c>
      <c r="L1232">
        <f t="shared" si="117"/>
        <v>0.37931034482758624</v>
      </c>
    </row>
    <row r="1233" spans="1:13" x14ac:dyDescent="0.25">
      <c r="A1233">
        <v>40718</v>
      </c>
      <c r="B1233" t="s">
        <v>18</v>
      </c>
      <c r="C1233">
        <v>8</v>
      </c>
      <c r="D1233">
        <v>8</v>
      </c>
      <c r="E1233">
        <f>289*2</f>
        <v>578</v>
      </c>
      <c r="F1233">
        <v>6.2</v>
      </c>
      <c r="G1233">
        <v>2.6</v>
      </c>
      <c r="H1233">
        <v>2</v>
      </c>
      <c r="I1233">
        <v>2.2000000000000002</v>
      </c>
      <c r="K1233">
        <f t="shared" si="116"/>
        <v>1.1818181818181817</v>
      </c>
      <c r="L1233">
        <f t="shared" si="117"/>
        <v>0.35483870967741937</v>
      </c>
    </row>
    <row r="1234" spans="1:13" x14ac:dyDescent="0.25">
      <c r="A1234">
        <v>40718</v>
      </c>
      <c r="B1234" t="s">
        <v>18</v>
      </c>
      <c r="C1234">
        <v>8</v>
      </c>
      <c r="D1234">
        <v>9</v>
      </c>
      <c r="E1234">
        <f>295*2</f>
        <v>590</v>
      </c>
      <c r="F1234">
        <v>6.3</v>
      </c>
      <c r="G1234">
        <v>2.5</v>
      </c>
      <c r="H1234">
        <v>1.8</v>
      </c>
      <c r="I1234">
        <v>2</v>
      </c>
      <c r="K1234">
        <f t="shared" si="116"/>
        <v>1.25</v>
      </c>
      <c r="L1234">
        <f t="shared" si="117"/>
        <v>0.31746031746031744</v>
      </c>
    </row>
    <row r="1235" spans="1:13" x14ac:dyDescent="0.25">
      <c r="A1235">
        <v>40718</v>
      </c>
      <c r="B1235" t="s">
        <v>18</v>
      </c>
      <c r="C1235">
        <v>9</v>
      </c>
      <c r="D1235">
        <v>1</v>
      </c>
      <c r="E1235">
        <f>170*2</f>
        <v>340</v>
      </c>
      <c r="F1235">
        <v>12.5</v>
      </c>
      <c r="G1235">
        <v>3.8</v>
      </c>
      <c r="H1235">
        <v>3.9</v>
      </c>
      <c r="I1235">
        <v>5.7</v>
      </c>
      <c r="K1235">
        <f t="shared" si="116"/>
        <v>0.66666666666666663</v>
      </c>
      <c r="L1235">
        <f t="shared" si="117"/>
        <v>0.45600000000000002</v>
      </c>
    </row>
    <row r="1236" spans="1:13" x14ac:dyDescent="0.25">
      <c r="A1236">
        <v>40718</v>
      </c>
      <c r="B1236" t="s">
        <v>18</v>
      </c>
      <c r="C1236">
        <v>9</v>
      </c>
      <c r="D1236">
        <v>2</v>
      </c>
      <c r="E1236">
        <f>249*2</f>
        <v>498</v>
      </c>
      <c r="F1236">
        <v>12.4</v>
      </c>
      <c r="G1236">
        <v>3.2</v>
      </c>
      <c r="H1236">
        <v>6.1</v>
      </c>
      <c r="I1236">
        <v>5.3</v>
      </c>
      <c r="K1236">
        <f t="shared" si="116"/>
        <v>0.60377358490566047</v>
      </c>
      <c r="L1236">
        <f t="shared" si="117"/>
        <v>0.42741935483870963</v>
      </c>
    </row>
    <row r="1237" spans="1:13" x14ac:dyDescent="0.25">
      <c r="A1237">
        <v>40718</v>
      </c>
      <c r="B1237" t="s">
        <v>18</v>
      </c>
      <c r="C1237">
        <v>10</v>
      </c>
      <c r="D1237">
        <v>1</v>
      </c>
      <c r="E1237">
        <f>232*2</f>
        <v>464</v>
      </c>
      <c r="F1237">
        <v>10.5</v>
      </c>
      <c r="G1237">
        <v>6.4</v>
      </c>
      <c r="H1237">
        <v>6.7</v>
      </c>
      <c r="I1237">
        <v>6.1</v>
      </c>
      <c r="K1237">
        <f t="shared" si="116"/>
        <v>1.0491803278688525</v>
      </c>
      <c r="L1237">
        <f t="shared" si="117"/>
        <v>0.58095238095238089</v>
      </c>
    </row>
    <row r="1238" spans="1:13" x14ac:dyDescent="0.25">
      <c r="A1238">
        <v>40718</v>
      </c>
      <c r="B1238" t="s">
        <v>18</v>
      </c>
      <c r="C1238">
        <v>10</v>
      </c>
      <c r="D1238">
        <v>2</v>
      </c>
      <c r="E1238">
        <f>269*2</f>
        <v>538</v>
      </c>
      <c r="F1238">
        <v>10.7</v>
      </c>
      <c r="M1238" t="s">
        <v>8</v>
      </c>
    </row>
    <row r="1239" spans="1:13" x14ac:dyDescent="0.25">
      <c r="A1239">
        <v>40718</v>
      </c>
      <c r="B1239" t="s">
        <v>18</v>
      </c>
      <c r="C1239">
        <v>10</v>
      </c>
      <c r="D1239">
        <v>3</v>
      </c>
      <c r="E1239">
        <f>288*2</f>
        <v>576</v>
      </c>
      <c r="F1239">
        <v>12</v>
      </c>
      <c r="G1239">
        <v>4.8</v>
      </c>
      <c r="H1239">
        <v>5.8</v>
      </c>
      <c r="I1239">
        <v>6.2</v>
      </c>
      <c r="K1239">
        <f t="shared" si="116"/>
        <v>0.77419354838709675</v>
      </c>
      <c r="L1239">
        <f t="shared" si="117"/>
        <v>0.51666666666666672</v>
      </c>
    </row>
    <row r="1240" spans="1:13" x14ac:dyDescent="0.25">
      <c r="A1240">
        <v>40718</v>
      </c>
      <c r="B1240" t="s">
        <v>18</v>
      </c>
      <c r="C1240">
        <v>10</v>
      </c>
      <c r="D1240">
        <v>4</v>
      </c>
      <c r="E1240">
        <f>310*2</f>
        <v>620</v>
      </c>
      <c r="F1240">
        <v>7.2</v>
      </c>
      <c r="G1240">
        <v>3.5</v>
      </c>
      <c r="H1240">
        <v>4.0999999999999996</v>
      </c>
      <c r="I1240">
        <v>3.7</v>
      </c>
      <c r="K1240">
        <f t="shared" si="116"/>
        <v>0.94594594594594594</v>
      </c>
      <c r="L1240">
        <f t="shared" si="117"/>
        <v>0.51388888888888895</v>
      </c>
    </row>
    <row r="1241" spans="1:13" x14ac:dyDescent="0.25">
      <c r="A1241">
        <v>40718</v>
      </c>
      <c r="B1241" t="s">
        <v>18</v>
      </c>
      <c r="C1241">
        <v>10</v>
      </c>
      <c r="D1241">
        <v>5</v>
      </c>
      <c r="E1241">
        <f>331*2</f>
        <v>662</v>
      </c>
      <c r="F1241">
        <v>5.8</v>
      </c>
      <c r="J1241" t="s">
        <v>0</v>
      </c>
      <c r="M1241" t="s">
        <v>9</v>
      </c>
    </row>
    <row r="1242" spans="1:13" x14ac:dyDescent="0.25">
      <c r="A1242">
        <v>40718</v>
      </c>
      <c r="B1242" t="s">
        <v>18</v>
      </c>
      <c r="C1242">
        <v>11</v>
      </c>
      <c r="D1242">
        <v>1</v>
      </c>
      <c r="E1242">
        <f>93*2</f>
        <v>186</v>
      </c>
      <c r="F1242">
        <v>11</v>
      </c>
      <c r="G1242">
        <v>3.2</v>
      </c>
      <c r="H1242">
        <v>7.1</v>
      </c>
      <c r="I1242">
        <v>6</v>
      </c>
      <c r="K1242">
        <f t="shared" si="116"/>
        <v>0.53333333333333333</v>
      </c>
      <c r="L1242">
        <f t="shared" si="117"/>
        <v>0.54545454545454541</v>
      </c>
    </row>
    <row r="1243" spans="1:13" x14ac:dyDescent="0.25">
      <c r="A1243">
        <v>40718</v>
      </c>
      <c r="B1243" t="s">
        <v>18</v>
      </c>
      <c r="C1243">
        <v>11</v>
      </c>
      <c r="D1243">
        <v>2</v>
      </c>
      <c r="E1243">
        <f>148*2</f>
        <v>296</v>
      </c>
      <c r="F1243">
        <v>9.1999999999999993</v>
      </c>
      <c r="G1243">
        <v>2.8</v>
      </c>
      <c r="H1243">
        <v>4</v>
      </c>
      <c r="I1243">
        <v>5</v>
      </c>
      <c r="K1243">
        <f t="shared" si="116"/>
        <v>0.55999999999999994</v>
      </c>
      <c r="L1243">
        <f t="shared" si="117"/>
        <v>0.5434782608695653</v>
      </c>
    </row>
    <row r="1244" spans="1:13" x14ac:dyDescent="0.25">
      <c r="A1244">
        <v>40718</v>
      </c>
      <c r="B1244" t="s">
        <v>18</v>
      </c>
      <c r="C1244">
        <v>11</v>
      </c>
      <c r="D1244">
        <v>3</v>
      </c>
      <c r="E1244">
        <f>179*2</f>
        <v>358</v>
      </c>
      <c r="F1244">
        <v>9.1999999999999993</v>
      </c>
      <c r="M1244" t="s">
        <v>2</v>
      </c>
    </row>
    <row r="1245" spans="1:13" x14ac:dyDescent="0.25">
      <c r="A1245">
        <v>40718</v>
      </c>
      <c r="B1245" t="s">
        <v>18</v>
      </c>
      <c r="C1245">
        <v>11</v>
      </c>
      <c r="D1245">
        <v>4</v>
      </c>
      <c r="E1245">
        <f>196*2</f>
        <v>392</v>
      </c>
      <c r="F1245">
        <v>7.1</v>
      </c>
      <c r="G1245">
        <v>3</v>
      </c>
      <c r="H1245">
        <v>3.2</v>
      </c>
      <c r="I1245">
        <v>3.7</v>
      </c>
      <c r="K1245">
        <f t="shared" si="116"/>
        <v>0.81081081081081074</v>
      </c>
      <c r="L1245">
        <f t="shared" si="117"/>
        <v>0.52112676056338036</v>
      </c>
    </row>
    <row r="1246" spans="1:13" x14ac:dyDescent="0.25">
      <c r="A1246">
        <v>40718</v>
      </c>
      <c r="B1246" t="s">
        <v>18</v>
      </c>
      <c r="C1246">
        <v>11</v>
      </c>
      <c r="D1246">
        <v>5</v>
      </c>
      <c r="E1246">
        <f>303*2</f>
        <v>606</v>
      </c>
      <c r="F1246">
        <v>8.6</v>
      </c>
      <c r="G1246">
        <v>3.5</v>
      </c>
      <c r="H1246">
        <v>4.7</v>
      </c>
      <c r="I1246">
        <v>4.4000000000000004</v>
      </c>
      <c r="K1246">
        <f t="shared" si="116"/>
        <v>0.79545454545454541</v>
      </c>
      <c r="L1246">
        <f t="shared" si="117"/>
        <v>0.51162790697674421</v>
      </c>
    </row>
    <row r="1247" spans="1:13" x14ac:dyDescent="0.25">
      <c r="A1247">
        <v>40718</v>
      </c>
      <c r="B1247" t="s">
        <v>18</v>
      </c>
      <c r="C1247">
        <v>11</v>
      </c>
      <c r="D1247">
        <v>6</v>
      </c>
      <c r="E1247">
        <f>307*2</f>
        <v>614</v>
      </c>
      <c r="F1247">
        <v>8.1999999999999993</v>
      </c>
      <c r="G1247">
        <v>4.7</v>
      </c>
      <c r="H1247">
        <v>4.2</v>
      </c>
      <c r="I1247">
        <v>4.8</v>
      </c>
      <c r="K1247">
        <f t="shared" si="116"/>
        <v>0.97916666666666674</v>
      </c>
      <c r="L1247">
        <f t="shared" si="117"/>
        <v>0.58536585365853666</v>
      </c>
    </row>
    <row r="1248" spans="1:13" x14ac:dyDescent="0.25">
      <c r="A1248">
        <v>40718</v>
      </c>
      <c r="B1248" t="s">
        <v>18</v>
      </c>
      <c r="C1248">
        <v>11</v>
      </c>
      <c r="D1248">
        <v>7</v>
      </c>
      <c r="E1248">
        <f>338*2</f>
        <v>676</v>
      </c>
      <c r="F1248">
        <v>6.2</v>
      </c>
      <c r="G1248">
        <v>2.9</v>
      </c>
      <c r="H1248">
        <v>3.5</v>
      </c>
      <c r="I1248">
        <v>2.9</v>
      </c>
      <c r="K1248">
        <f t="shared" si="116"/>
        <v>1</v>
      </c>
      <c r="L1248">
        <f t="shared" si="117"/>
        <v>0.46774193548387094</v>
      </c>
      <c r="M1248" t="s">
        <v>9</v>
      </c>
    </row>
    <row r="1249" spans="1:13" x14ac:dyDescent="0.25">
      <c r="A1249">
        <v>40718</v>
      </c>
      <c r="B1249" t="s">
        <v>18</v>
      </c>
      <c r="C1249">
        <v>11</v>
      </c>
      <c r="D1249">
        <v>8</v>
      </c>
      <c r="E1249">
        <f>358*2</f>
        <v>716</v>
      </c>
      <c r="F1249">
        <v>8.6</v>
      </c>
      <c r="G1249">
        <v>3</v>
      </c>
      <c r="H1249">
        <v>4.0999999999999996</v>
      </c>
      <c r="I1249">
        <v>4</v>
      </c>
      <c r="K1249">
        <f t="shared" si="116"/>
        <v>0.75</v>
      </c>
      <c r="L1249">
        <f t="shared" si="117"/>
        <v>0.46511627906976744</v>
      </c>
      <c r="M1249" t="s">
        <v>9</v>
      </c>
    </row>
    <row r="1250" spans="1:13" x14ac:dyDescent="0.25">
      <c r="A1250">
        <v>40718</v>
      </c>
      <c r="B1250" t="s">
        <v>18</v>
      </c>
      <c r="C1250">
        <v>12</v>
      </c>
      <c r="D1250">
        <v>1</v>
      </c>
      <c r="E1250">
        <f>31*2</f>
        <v>62</v>
      </c>
      <c r="F1250">
        <v>9.3000000000000007</v>
      </c>
      <c r="J1250" t="s">
        <v>0</v>
      </c>
    </row>
    <row r="1251" spans="1:13" x14ac:dyDescent="0.25">
      <c r="A1251">
        <v>40718</v>
      </c>
      <c r="B1251" t="s">
        <v>18</v>
      </c>
      <c r="C1251">
        <v>12</v>
      </c>
      <c r="D1251">
        <v>2</v>
      </c>
      <c r="E1251">
        <f>47*2</f>
        <v>94</v>
      </c>
      <c r="F1251">
        <v>6.7</v>
      </c>
      <c r="G1251">
        <v>4.0999999999999996</v>
      </c>
      <c r="H1251">
        <v>4</v>
      </c>
      <c r="I1251">
        <v>4.5</v>
      </c>
      <c r="K1251">
        <f t="shared" si="116"/>
        <v>0.91111111111111098</v>
      </c>
      <c r="L1251">
        <f t="shared" si="117"/>
        <v>0.67164179104477606</v>
      </c>
    </row>
    <row r="1252" spans="1:13" x14ac:dyDescent="0.25">
      <c r="A1252">
        <v>40718</v>
      </c>
      <c r="B1252" t="s">
        <v>18</v>
      </c>
      <c r="C1252">
        <v>12</v>
      </c>
      <c r="D1252">
        <v>3</v>
      </c>
      <c r="E1252">
        <f>56*2</f>
        <v>112</v>
      </c>
      <c r="F1252">
        <v>7.4</v>
      </c>
      <c r="G1252">
        <v>5.8</v>
      </c>
      <c r="H1252">
        <v>5.7</v>
      </c>
      <c r="I1252">
        <v>4.8</v>
      </c>
      <c r="K1252">
        <f t="shared" si="116"/>
        <v>1.2083333333333333</v>
      </c>
      <c r="L1252">
        <f t="shared" si="117"/>
        <v>0.64864864864864857</v>
      </c>
    </row>
    <row r="1253" spans="1:13" x14ac:dyDescent="0.25">
      <c r="A1253">
        <v>40718</v>
      </c>
      <c r="B1253" t="s">
        <v>18</v>
      </c>
      <c r="C1253">
        <v>12</v>
      </c>
      <c r="D1253">
        <v>4</v>
      </c>
      <c r="E1253">
        <f>86*2</f>
        <v>172</v>
      </c>
      <c r="F1253">
        <v>6.3</v>
      </c>
      <c r="G1253">
        <v>2.9</v>
      </c>
      <c r="H1253">
        <v>3</v>
      </c>
      <c r="I1253">
        <v>4.2</v>
      </c>
      <c r="K1253">
        <f t="shared" si="116"/>
        <v>0.69047619047619047</v>
      </c>
      <c r="L1253">
        <f t="shared" si="117"/>
        <v>0.66666666666666674</v>
      </c>
    </row>
    <row r="1254" spans="1:13" x14ac:dyDescent="0.25">
      <c r="A1254">
        <v>40718</v>
      </c>
      <c r="B1254" t="s">
        <v>18</v>
      </c>
      <c r="C1254">
        <v>12</v>
      </c>
      <c r="D1254">
        <v>5</v>
      </c>
      <c r="E1254">
        <f>107*2</f>
        <v>214</v>
      </c>
      <c r="F1254">
        <v>5.6</v>
      </c>
      <c r="M1254" t="s">
        <v>2</v>
      </c>
    </row>
    <row r="1255" spans="1:13" x14ac:dyDescent="0.25">
      <c r="A1255">
        <v>40718</v>
      </c>
      <c r="B1255" t="s">
        <v>18</v>
      </c>
      <c r="C1255">
        <v>12</v>
      </c>
      <c r="D1255">
        <v>6</v>
      </c>
      <c r="E1255">
        <f>127*2</f>
        <v>254</v>
      </c>
      <c r="F1255">
        <v>5.8</v>
      </c>
      <c r="M1255" t="s">
        <v>2</v>
      </c>
    </row>
    <row r="1256" spans="1:13" x14ac:dyDescent="0.25">
      <c r="A1256">
        <v>40718</v>
      </c>
      <c r="B1256" t="s">
        <v>18</v>
      </c>
      <c r="C1256">
        <v>12</v>
      </c>
      <c r="D1256">
        <v>7</v>
      </c>
      <c r="E1256">
        <f>140*2</f>
        <v>280</v>
      </c>
      <c r="F1256">
        <v>6.6</v>
      </c>
      <c r="G1256">
        <v>2.8</v>
      </c>
      <c r="H1256">
        <v>3.2</v>
      </c>
      <c r="I1256">
        <v>2.6</v>
      </c>
      <c r="K1256">
        <f t="shared" si="116"/>
        <v>1.0769230769230769</v>
      </c>
      <c r="L1256">
        <f t="shared" si="117"/>
        <v>0.39393939393939398</v>
      </c>
    </row>
    <row r="1257" spans="1:13" x14ac:dyDescent="0.25">
      <c r="A1257">
        <v>40718</v>
      </c>
      <c r="B1257" t="s">
        <v>18</v>
      </c>
      <c r="C1257">
        <v>12</v>
      </c>
      <c r="D1257">
        <v>8</v>
      </c>
      <c r="E1257">
        <f>162*2</f>
        <v>324</v>
      </c>
      <c r="F1257">
        <v>5.4</v>
      </c>
      <c r="M1257" t="s">
        <v>2</v>
      </c>
    </row>
    <row r="1258" spans="1:13" x14ac:dyDescent="0.25">
      <c r="A1258">
        <v>40718</v>
      </c>
      <c r="B1258" t="s">
        <v>18</v>
      </c>
      <c r="C1258">
        <v>13</v>
      </c>
      <c r="D1258">
        <v>1</v>
      </c>
      <c r="E1258">
        <f>91*2</f>
        <v>182</v>
      </c>
      <c r="F1258">
        <v>10.4</v>
      </c>
      <c r="G1258">
        <v>3.4</v>
      </c>
      <c r="H1258">
        <v>5.4</v>
      </c>
      <c r="I1258">
        <v>3.9</v>
      </c>
      <c r="K1258">
        <f t="shared" si="116"/>
        <v>0.87179487179487181</v>
      </c>
      <c r="L1258">
        <f t="shared" si="117"/>
        <v>0.375</v>
      </c>
    </row>
    <row r="1259" spans="1:13" x14ac:dyDescent="0.25">
      <c r="A1259">
        <v>40718</v>
      </c>
      <c r="B1259" t="s">
        <v>18</v>
      </c>
      <c r="C1259">
        <v>13</v>
      </c>
      <c r="D1259">
        <v>2</v>
      </c>
      <c r="E1259">
        <f>189*2</f>
        <v>378</v>
      </c>
      <c r="F1259">
        <v>9</v>
      </c>
      <c r="G1259">
        <v>3.6</v>
      </c>
      <c r="H1259">
        <v>5.7</v>
      </c>
      <c r="I1259">
        <v>6.1</v>
      </c>
      <c r="K1259">
        <f t="shared" si="116"/>
        <v>0.59016393442622961</v>
      </c>
      <c r="L1259">
        <f t="shared" si="117"/>
        <v>0.6777777777777777</v>
      </c>
    </row>
    <row r="1260" spans="1:13" x14ac:dyDescent="0.25">
      <c r="A1260">
        <v>40718</v>
      </c>
      <c r="B1260" t="s">
        <v>18</v>
      </c>
      <c r="C1260">
        <v>13</v>
      </c>
      <c r="D1260">
        <v>3</v>
      </c>
      <c r="E1260">
        <f>216*2</f>
        <v>432</v>
      </c>
      <c r="F1260">
        <v>9.6999999999999993</v>
      </c>
      <c r="G1260">
        <v>3.4</v>
      </c>
      <c r="H1260">
        <v>5.4</v>
      </c>
      <c r="I1260">
        <v>4.8</v>
      </c>
      <c r="K1260">
        <f t="shared" ref="K1260:K1323" si="118">G1260/I1260</f>
        <v>0.70833333333333337</v>
      </c>
      <c r="L1260">
        <f t="shared" ref="L1260:L1323" si="119">I1260/F1260</f>
        <v>0.49484536082474229</v>
      </c>
    </row>
    <row r="1261" spans="1:13" x14ac:dyDescent="0.25">
      <c r="A1261">
        <v>40718</v>
      </c>
      <c r="B1261" t="s">
        <v>18</v>
      </c>
      <c r="C1261">
        <v>13</v>
      </c>
      <c r="D1261">
        <v>4</v>
      </c>
      <c r="E1261">
        <f>238*2</f>
        <v>476</v>
      </c>
      <c r="F1261">
        <v>11.1</v>
      </c>
      <c r="G1261">
        <v>3.3</v>
      </c>
      <c r="H1261">
        <v>5.6</v>
      </c>
      <c r="I1261">
        <v>5.8</v>
      </c>
      <c r="K1261">
        <f t="shared" si="118"/>
        <v>0.56896551724137934</v>
      </c>
      <c r="L1261">
        <f t="shared" si="119"/>
        <v>0.52252252252252251</v>
      </c>
    </row>
    <row r="1262" spans="1:13" x14ac:dyDescent="0.25">
      <c r="A1262">
        <v>40718</v>
      </c>
      <c r="B1262" t="s">
        <v>18</v>
      </c>
      <c r="C1262">
        <v>13</v>
      </c>
      <c r="D1262">
        <v>5</v>
      </c>
      <c r="E1262">
        <f>242*2</f>
        <v>484</v>
      </c>
      <c r="F1262">
        <v>11.1</v>
      </c>
      <c r="G1262">
        <v>3.3</v>
      </c>
      <c r="H1262">
        <v>3.7</v>
      </c>
      <c r="I1262">
        <v>3.3</v>
      </c>
      <c r="K1262">
        <f t="shared" si="118"/>
        <v>1</v>
      </c>
      <c r="L1262">
        <f t="shared" si="119"/>
        <v>0.29729729729729731</v>
      </c>
    </row>
    <row r="1263" spans="1:13" x14ac:dyDescent="0.25">
      <c r="A1263">
        <v>40718</v>
      </c>
      <c r="B1263" t="s">
        <v>18</v>
      </c>
      <c r="C1263">
        <v>13</v>
      </c>
      <c r="D1263">
        <v>6</v>
      </c>
      <c r="E1263">
        <f>267*2</f>
        <v>534</v>
      </c>
      <c r="F1263">
        <v>11.3</v>
      </c>
      <c r="G1263">
        <v>3.3</v>
      </c>
      <c r="H1263">
        <v>3.3</v>
      </c>
      <c r="I1263">
        <v>3.7</v>
      </c>
      <c r="K1263">
        <f t="shared" si="118"/>
        <v>0.89189189189189177</v>
      </c>
      <c r="L1263">
        <f t="shared" si="119"/>
        <v>0.32743362831858408</v>
      </c>
    </row>
    <row r="1264" spans="1:13" x14ac:dyDescent="0.25">
      <c r="A1264">
        <v>40718</v>
      </c>
      <c r="B1264" t="s">
        <v>18</v>
      </c>
      <c r="C1264">
        <v>13</v>
      </c>
      <c r="D1264">
        <v>7</v>
      </c>
      <c r="E1264">
        <f>269*2</f>
        <v>538</v>
      </c>
      <c r="F1264">
        <v>10.1</v>
      </c>
      <c r="G1264">
        <v>3.6</v>
      </c>
      <c r="H1264">
        <v>4</v>
      </c>
      <c r="I1264">
        <v>3.8</v>
      </c>
      <c r="K1264">
        <f t="shared" si="118"/>
        <v>0.94736842105263164</v>
      </c>
      <c r="L1264">
        <f t="shared" si="119"/>
        <v>0.37623762376237624</v>
      </c>
    </row>
    <row r="1265" spans="1:13" x14ac:dyDescent="0.25">
      <c r="A1265">
        <v>40718</v>
      </c>
      <c r="B1265" t="s">
        <v>18</v>
      </c>
      <c r="C1265">
        <v>13</v>
      </c>
      <c r="D1265">
        <v>8</v>
      </c>
      <c r="E1265">
        <f>292*2</f>
        <v>584</v>
      </c>
      <c r="F1265">
        <v>9.1999999999999993</v>
      </c>
      <c r="G1265">
        <v>2.9</v>
      </c>
      <c r="H1265">
        <v>3.3</v>
      </c>
      <c r="I1265">
        <v>4</v>
      </c>
      <c r="K1265">
        <f t="shared" si="118"/>
        <v>0.72499999999999998</v>
      </c>
      <c r="L1265">
        <f t="shared" si="119"/>
        <v>0.43478260869565222</v>
      </c>
    </row>
    <row r="1266" spans="1:13" x14ac:dyDescent="0.25">
      <c r="A1266">
        <v>40718</v>
      </c>
      <c r="B1266" t="s">
        <v>18</v>
      </c>
      <c r="C1266">
        <v>13</v>
      </c>
      <c r="D1266">
        <v>9</v>
      </c>
      <c r="E1266">
        <f>303*2</f>
        <v>606</v>
      </c>
      <c r="F1266">
        <v>8.4</v>
      </c>
      <c r="G1266">
        <v>4.5999999999999996</v>
      </c>
      <c r="H1266">
        <v>5.2</v>
      </c>
      <c r="I1266">
        <v>6.4</v>
      </c>
      <c r="K1266">
        <f t="shared" si="118"/>
        <v>0.71874999999999989</v>
      </c>
      <c r="L1266">
        <f t="shared" si="119"/>
        <v>0.76190476190476186</v>
      </c>
    </row>
    <row r="1267" spans="1:13" x14ac:dyDescent="0.25">
      <c r="A1267">
        <v>40718</v>
      </c>
      <c r="B1267" t="s">
        <v>18</v>
      </c>
      <c r="C1267">
        <v>13</v>
      </c>
      <c r="D1267">
        <v>10</v>
      </c>
      <c r="E1267">
        <f>337*2</f>
        <v>674</v>
      </c>
      <c r="F1267">
        <v>8.4</v>
      </c>
      <c r="G1267">
        <v>4.7</v>
      </c>
      <c r="H1267">
        <v>3</v>
      </c>
      <c r="I1267">
        <v>3.9</v>
      </c>
      <c r="K1267">
        <f t="shared" si="118"/>
        <v>1.2051282051282053</v>
      </c>
      <c r="L1267">
        <f t="shared" si="119"/>
        <v>0.46428571428571425</v>
      </c>
      <c r="M1267" t="s">
        <v>9</v>
      </c>
    </row>
    <row r="1268" spans="1:13" x14ac:dyDescent="0.25">
      <c r="A1268">
        <v>40718</v>
      </c>
      <c r="B1268" t="s">
        <v>18</v>
      </c>
      <c r="C1268">
        <v>14</v>
      </c>
      <c r="D1268">
        <v>1</v>
      </c>
      <c r="E1268">
        <f>278*2</f>
        <v>556</v>
      </c>
      <c r="F1268">
        <v>13.4</v>
      </c>
      <c r="J1268" t="s">
        <v>0</v>
      </c>
    </row>
    <row r="1269" spans="1:13" x14ac:dyDescent="0.25">
      <c r="A1269">
        <v>40718</v>
      </c>
      <c r="B1269" t="s">
        <v>18</v>
      </c>
      <c r="C1269">
        <v>14</v>
      </c>
      <c r="D1269">
        <v>2</v>
      </c>
      <c r="E1269">
        <f>289*2</f>
        <v>578</v>
      </c>
      <c r="F1269">
        <v>12.5</v>
      </c>
      <c r="G1269">
        <v>7.9</v>
      </c>
      <c r="H1269">
        <v>7.6</v>
      </c>
      <c r="I1269">
        <v>9.1</v>
      </c>
      <c r="K1269">
        <f t="shared" si="118"/>
        <v>0.86813186813186816</v>
      </c>
      <c r="L1269">
        <f t="shared" si="119"/>
        <v>0.72799999999999998</v>
      </c>
    </row>
    <row r="1270" spans="1:13" x14ac:dyDescent="0.25">
      <c r="A1270">
        <v>40718</v>
      </c>
      <c r="B1270" t="s">
        <v>18</v>
      </c>
      <c r="C1270">
        <v>15</v>
      </c>
      <c r="D1270">
        <v>1</v>
      </c>
      <c r="E1270">
        <f>171*2</f>
        <v>342</v>
      </c>
      <c r="F1270">
        <v>11.3</v>
      </c>
      <c r="G1270">
        <v>4</v>
      </c>
      <c r="H1270">
        <v>7.5</v>
      </c>
      <c r="I1270">
        <v>5.3</v>
      </c>
      <c r="K1270">
        <f t="shared" si="118"/>
        <v>0.75471698113207553</v>
      </c>
      <c r="L1270">
        <f t="shared" si="119"/>
        <v>0.46902654867256632</v>
      </c>
    </row>
    <row r="1271" spans="1:13" x14ac:dyDescent="0.25">
      <c r="A1271">
        <v>40718</v>
      </c>
      <c r="B1271" t="s">
        <v>18</v>
      </c>
      <c r="C1271">
        <v>15</v>
      </c>
      <c r="D1271">
        <v>2</v>
      </c>
      <c r="E1271">
        <f>236*2</f>
        <v>472</v>
      </c>
      <c r="F1271">
        <v>9.9</v>
      </c>
      <c r="G1271">
        <v>4.2</v>
      </c>
      <c r="H1271">
        <v>4.9000000000000004</v>
      </c>
      <c r="I1271">
        <v>4.0999999999999996</v>
      </c>
      <c r="K1271">
        <f t="shared" si="118"/>
        <v>1.024390243902439</v>
      </c>
      <c r="L1271">
        <f t="shared" si="119"/>
        <v>0.41414141414141409</v>
      </c>
    </row>
    <row r="1272" spans="1:13" x14ac:dyDescent="0.25">
      <c r="A1272">
        <v>40718</v>
      </c>
      <c r="B1272" t="s">
        <v>18</v>
      </c>
      <c r="C1272">
        <v>15</v>
      </c>
      <c r="D1272">
        <v>3</v>
      </c>
      <c r="E1272">
        <f>253*2</f>
        <v>506</v>
      </c>
      <c r="F1272">
        <v>11.9</v>
      </c>
      <c r="G1272">
        <v>6</v>
      </c>
      <c r="H1272">
        <v>6.4</v>
      </c>
      <c r="I1272">
        <v>5.8</v>
      </c>
      <c r="K1272">
        <f t="shared" si="118"/>
        <v>1.0344827586206897</v>
      </c>
      <c r="L1272">
        <f t="shared" si="119"/>
        <v>0.48739495798319327</v>
      </c>
    </row>
    <row r="1273" spans="1:13" x14ac:dyDescent="0.25">
      <c r="A1273">
        <v>40718</v>
      </c>
      <c r="B1273" t="s">
        <v>18</v>
      </c>
      <c r="C1273">
        <v>15</v>
      </c>
      <c r="D1273">
        <v>4</v>
      </c>
      <c r="E1273">
        <f>303*2</f>
        <v>606</v>
      </c>
      <c r="F1273">
        <v>13.3</v>
      </c>
      <c r="G1273">
        <v>4.5</v>
      </c>
      <c r="H1273">
        <v>6.3</v>
      </c>
      <c r="I1273">
        <v>6.3</v>
      </c>
      <c r="K1273">
        <f t="shared" si="118"/>
        <v>0.7142857142857143</v>
      </c>
      <c r="L1273">
        <f t="shared" si="119"/>
        <v>0.47368421052631576</v>
      </c>
    </row>
    <row r="1274" spans="1:13" x14ac:dyDescent="0.25">
      <c r="A1274">
        <v>40718</v>
      </c>
      <c r="B1274" t="s">
        <v>18</v>
      </c>
      <c r="C1274">
        <v>15</v>
      </c>
      <c r="D1274">
        <v>5</v>
      </c>
      <c r="E1274">
        <f>316*2</f>
        <v>632</v>
      </c>
      <c r="F1274">
        <v>9.8000000000000007</v>
      </c>
      <c r="G1274">
        <v>5.5</v>
      </c>
      <c r="H1274">
        <v>3.4</v>
      </c>
      <c r="I1274">
        <v>4.2</v>
      </c>
      <c r="K1274">
        <f t="shared" si="118"/>
        <v>1.3095238095238095</v>
      </c>
      <c r="L1274">
        <f t="shared" si="119"/>
        <v>0.42857142857142855</v>
      </c>
    </row>
    <row r="1275" spans="1:13" x14ac:dyDescent="0.25">
      <c r="A1275">
        <v>40718</v>
      </c>
      <c r="B1275" t="s">
        <v>18</v>
      </c>
      <c r="C1275">
        <v>15</v>
      </c>
      <c r="D1275">
        <v>6</v>
      </c>
      <c r="E1275">
        <f>351*2</f>
        <v>702</v>
      </c>
      <c r="F1275">
        <v>10.1</v>
      </c>
      <c r="G1275">
        <v>4.9000000000000004</v>
      </c>
      <c r="H1275">
        <v>5.7</v>
      </c>
      <c r="I1275">
        <v>6.4</v>
      </c>
      <c r="K1275">
        <f t="shared" si="118"/>
        <v>0.765625</v>
      </c>
      <c r="L1275">
        <f t="shared" si="119"/>
        <v>0.63366336633663367</v>
      </c>
      <c r="M1275" t="s">
        <v>9</v>
      </c>
    </row>
    <row r="1276" spans="1:13" x14ac:dyDescent="0.25">
      <c r="A1276">
        <v>40718</v>
      </c>
      <c r="B1276" t="s">
        <v>18</v>
      </c>
      <c r="C1276">
        <v>16</v>
      </c>
      <c r="D1276">
        <v>1</v>
      </c>
      <c r="E1276">
        <f>116*2</f>
        <v>232</v>
      </c>
      <c r="F1276">
        <v>9.4</v>
      </c>
      <c r="G1276">
        <v>2.7</v>
      </c>
      <c r="H1276">
        <v>5</v>
      </c>
      <c r="I1276">
        <v>3.9</v>
      </c>
      <c r="K1276">
        <f t="shared" si="118"/>
        <v>0.6923076923076924</v>
      </c>
      <c r="L1276">
        <f t="shared" si="119"/>
        <v>0.41489361702127658</v>
      </c>
    </row>
    <row r="1277" spans="1:13" x14ac:dyDescent="0.25">
      <c r="A1277">
        <v>40718</v>
      </c>
      <c r="B1277" t="s">
        <v>18</v>
      </c>
      <c r="C1277">
        <v>16</v>
      </c>
      <c r="D1277">
        <v>2</v>
      </c>
      <c r="E1277">
        <f>124*2</f>
        <v>248</v>
      </c>
      <c r="F1277">
        <v>9.5</v>
      </c>
      <c r="G1277">
        <v>2.5</v>
      </c>
      <c r="H1277">
        <v>4.3</v>
      </c>
      <c r="I1277">
        <v>3.5</v>
      </c>
      <c r="K1277">
        <f t="shared" si="118"/>
        <v>0.7142857142857143</v>
      </c>
      <c r="L1277">
        <f t="shared" si="119"/>
        <v>0.36842105263157893</v>
      </c>
    </row>
    <row r="1278" spans="1:13" x14ac:dyDescent="0.25">
      <c r="A1278">
        <v>40718</v>
      </c>
      <c r="B1278" t="s">
        <v>18</v>
      </c>
      <c r="C1278">
        <v>16</v>
      </c>
      <c r="D1278">
        <v>3</v>
      </c>
      <c r="E1278">
        <f>152*2</f>
        <v>304</v>
      </c>
      <c r="F1278">
        <v>9.6</v>
      </c>
      <c r="G1278">
        <v>3.4</v>
      </c>
      <c r="H1278">
        <v>6.9</v>
      </c>
      <c r="I1278">
        <v>4.5</v>
      </c>
      <c r="K1278">
        <f t="shared" si="118"/>
        <v>0.75555555555555554</v>
      </c>
      <c r="L1278">
        <f t="shared" si="119"/>
        <v>0.46875</v>
      </c>
    </row>
    <row r="1279" spans="1:13" x14ac:dyDescent="0.25">
      <c r="A1279">
        <v>40718</v>
      </c>
      <c r="B1279" t="s">
        <v>18</v>
      </c>
      <c r="C1279">
        <v>16</v>
      </c>
      <c r="D1279">
        <v>4</v>
      </c>
      <c r="E1279">
        <f>155*2</f>
        <v>310</v>
      </c>
      <c r="F1279">
        <v>9.4</v>
      </c>
      <c r="G1279">
        <v>4.3</v>
      </c>
      <c r="H1279">
        <v>6.1</v>
      </c>
      <c r="I1279">
        <v>4.4000000000000004</v>
      </c>
      <c r="K1279">
        <f t="shared" si="118"/>
        <v>0.97727272727272718</v>
      </c>
      <c r="L1279">
        <f t="shared" si="119"/>
        <v>0.46808510638297873</v>
      </c>
    </row>
    <row r="1280" spans="1:13" x14ac:dyDescent="0.25">
      <c r="A1280">
        <v>40718</v>
      </c>
      <c r="B1280" t="s">
        <v>18</v>
      </c>
      <c r="C1280">
        <v>16</v>
      </c>
      <c r="D1280">
        <v>5</v>
      </c>
      <c r="E1280">
        <f>165*2</f>
        <v>330</v>
      </c>
      <c r="F1280">
        <v>6.4</v>
      </c>
      <c r="G1280">
        <v>3</v>
      </c>
      <c r="H1280">
        <v>3.2</v>
      </c>
      <c r="I1280">
        <v>3.4</v>
      </c>
      <c r="K1280">
        <f t="shared" si="118"/>
        <v>0.88235294117647056</v>
      </c>
      <c r="L1280">
        <f t="shared" si="119"/>
        <v>0.53125</v>
      </c>
    </row>
    <row r="1281" spans="1:13" x14ac:dyDescent="0.25">
      <c r="A1281">
        <v>40718</v>
      </c>
      <c r="B1281" t="s">
        <v>18</v>
      </c>
      <c r="C1281">
        <v>16</v>
      </c>
      <c r="D1281">
        <v>6</v>
      </c>
      <c r="E1281">
        <f>217*2</f>
        <v>434</v>
      </c>
      <c r="F1281">
        <v>8.5</v>
      </c>
      <c r="M1281" t="s">
        <v>2</v>
      </c>
    </row>
    <row r="1282" spans="1:13" x14ac:dyDescent="0.25">
      <c r="A1282">
        <v>40718</v>
      </c>
      <c r="B1282" t="s">
        <v>18</v>
      </c>
      <c r="C1282">
        <v>17</v>
      </c>
      <c r="D1282">
        <v>1</v>
      </c>
      <c r="E1282">
        <f>140*2</f>
        <v>280</v>
      </c>
      <c r="F1282">
        <v>14.1</v>
      </c>
      <c r="J1282" t="s">
        <v>0</v>
      </c>
    </row>
    <row r="1283" spans="1:13" x14ac:dyDescent="0.25">
      <c r="A1283">
        <v>40718</v>
      </c>
      <c r="B1283" t="s">
        <v>18</v>
      </c>
      <c r="C1283">
        <v>17</v>
      </c>
      <c r="D1283">
        <v>2</v>
      </c>
      <c r="E1283">
        <f>200*2</f>
        <v>400</v>
      </c>
      <c r="F1283">
        <v>13.2</v>
      </c>
      <c r="G1283">
        <v>4.5999999999999996</v>
      </c>
      <c r="H1283">
        <v>6.6</v>
      </c>
      <c r="I1283">
        <v>6.2</v>
      </c>
      <c r="K1283">
        <f t="shared" si="118"/>
        <v>0.74193548387096764</v>
      </c>
      <c r="L1283">
        <f t="shared" si="119"/>
        <v>0.46969696969696972</v>
      </c>
    </row>
    <row r="1284" spans="1:13" x14ac:dyDescent="0.25">
      <c r="A1284">
        <v>40718</v>
      </c>
      <c r="B1284" t="s">
        <v>18</v>
      </c>
      <c r="C1284">
        <v>17</v>
      </c>
      <c r="D1284">
        <v>3</v>
      </c>
      <c r="E1284">
        <f>222*2</f>
        <v>444</v>
      </c>
      <c r="F1284">
        <v>14.8</v>
      </c>
      <c r="G1284">
        <v>3.8</v>
      </c>
      <c r="H1284">
        <v>4.2</v>
      </c>
      <c r="I1284">
        <v>4.0999999999999996</v>
      </c>
      <c r="K1284">
        <f t="shared" si="118"/>
        <v>0.92682926829268297</v>
      </c>
      <c r="L1284">
        <f t="shared" si="119"/>
        <v>0.27702702702702697</v>
      </c>
    </row>
    <row r="1285" spans="1:13" x14ac:dyDescent="0.25">
      <c r="A1285">
        <v>40718</v>
      </c>
      <c r="B1285" t="s">
        <v>18</v>
      </c>
      <c r="C1285">
        <v>17</v>
      </c>
      <c r="D1285">
        <v>4</v>
      </c>
      <c r="E1285">
        <f>237*2</f>
        <v>474</v>
      </c>
      <c r="F1285">
        <v>8.6999999999999993</v>
      </c>
      <c r="M1285" t="s">
        <v>2</v>
      </c>
    </row>
    <row r="1286" spans="1:13" x14ac:dyDescent="0.25">
      <c r="A1286">
        <v>40718</v>
      </c>
      <c r="B1286" t="s">
        <v>18</v>
      </c>
      <c r="C1286">
        <v>17</v>
      </c>
      <c r="D1286">
        <v>5</v>
      </c>
      <c r="E1286">
        <f>250*2</f>
        <v>500</v>
      </c>
      <c r="F1286">
        <v>11.3</v>
      </c>
      <c r="G1286">
        <v>3</v>
      </c>
      <c r="H1286">
        <v>3.5</v>
      </c>
      <c r="I1286">
        <v>3.5</v>
      </c>
      <c r="K1286">
        <f t="shared" si="118"/>
        <v>0.8571428571428571</v>
      </c>
      <c r="L1286">
        <f t="shared" si="119"/>
        <v>0.30973451327433627</v>
      </c>
    </row>
    <row r="1287" spans="1:13" x14ac:dyDescent="0.25">
      <c r="A1287">
        <v>40718</v>
      </c>
      <c r="B1287" t="s">
        <v>18</v>
      </c>
      <c r="C1287">
        <v>18</v>
      </c>
      <c r="D1287">
        <v>1</v>
      </c>
      <c r="E1287">
        <f>305*2</f>
        <v>610</v>
      </c>
      <c r="F1287">
        <v>10.6</v>
      </c>
      <c r="G1287">
        <v>6.4</v>
      </c>
      <c r="H1287">
        <v>7.6</v>
      </c>
      <c r="I1287">
        <v>8.3000000000000007</v>
      </c>
      <c r="K1287">
        <f t="shared" si="118"/>
        <v>0.77108433734939752</v>
      </c>
      <c r="L1287">
        <f t="shared" si="119"/>
        <v>0.78301886792452835</v>
      </c>
      <c r="M1287" t="s">
        <v>11</v>
      </c>
    </row>
    <row r="1288" spans="1:13" x14ac:dyDescent="0.25">
      <c r="A1288">
        <v>50718</v>
      </c>
      <c r="B1288" t="s">
        <v>18</v>
      </c>
      <c r="C1288">
        <v>1</v>
      </c>
      <c r="D1288">
        <v>1</v>
      </c>
      <c r="E1288">
        <f>168*2</f>
        <v>336</v>
      </c>
      <c r="F1288">
        <v>10.3</v>
      </c>
      <c r="G1288">
        <v>3.6</v>
      </c>
      <c r="H1288">
        <v>6.7</v>
      </c>
      <c r="I1288">
        <v>4.7</v>
      </c>
      <c r="K1288">
        <f t="shared" si="118"/>
        <v>0.76595744680851063</v>
      </c>
      <c r="L1288">
        <f t="shared" si="119"/>
        <v>0.45631067961165045</v>
      </c>
    </row>
    <row r="1289" spans="1:13" x14ac:dyDescent="0.25">
      <c r="A1289">
        <v>50718</v>
      </c>
      <c r="B1289" t="s">
        <v>18</v>
      </c>
      <c r="C1289">
        <v>1</v>
      </c>
      <c r="D1289">
        <v>2</v>
      </c>
      <c r="E1289">
        <f>191*2</f>
        <v>382</v>
      </c>
      <c r="F1289">
        <v>11.1</v>
      </c>
      <c r="G1289">
        <v>5.7</v>
      </c>
      <c r="H1289">
        <v>5.9</v>
      </c>
      <c r="I1289">
        <v>5.9</v>
      </c>
      <c r="K1289">
        <f t="shared" si="118"/>
        <v>0.96610169491525422</v>
      </c>
      <c r="L1289">
        <f t="shared" si="119"/>
        <v>0.53153153153153154</v>
      </c>
    </row>
    <row r="1290" spans="1:13" x14ac:dyDescent="0.25">
      <c r="A1290">
        <v>50718</v>
      </c>
      <c r="B1290" t="s">
        <v>18</v>
      </c>
      <c r="C1290">
        <v>1</v>
      </c>
      <c r="D1290">
        <v>3</v>
      </c>
      <c r="E1290">
        <f>222*2</f>
        <v>444</v>
      </c>
      <c r="F1290">
        <v>8.9</v>
      </c>
      <c r="G1290">
        <v>4.5</v>
      </c>
      <c r="H1290">
        <v>4</v>
      </c>
      <c r="I1290">
        <v>4.5</v>
      </c>
      <c r="K1290">
        <f t="shared" si="118"/>
        <v>1</v>
      </c>
      <c r="L1290">
        <f t="shared" si="119"/>
        <v>0.5056179775280899</v>
      </c>
    </row>
    <row r="1291" spans="1:13" x14ac:dyDescent="0.25">
      <c r="A1291">
        <v>50718</v>
      </c>
      <c r="B1291" t="s">
        <v>18</v>
      </c>
      <c r="C1291">
        <v>1</v>
      </c>
      <c r="D1291">
        <v>4</v>
      </c>
      <c r="E1291">
        <f>227*2</f>
        <v>454</v>
      </c>
      <c r="F1291">
        <v>7</v>
      </c>
      <c r="G1291">
        <v>5.6</v>
      </c>
      <c r="H1291">
        <v>5.9</v>
      </c>
      <c r="I1291">
        <v>3.7</v>
      </c>
      <c r="K1291">
        <f t="shared" si="118"/>
        <v>1.5135135135135134</v>
      </c>
      <c r="L1291">
        <f t="shared" si="119"/>
        <v>0.52857142857142858</v>
      </c>
    </row>
    <row r="1292" spans="1:13" x14ac:dyDescent="0.25">
      <c r="A1292">
        <v>50718</v>
      </c>
      <c r="B1292" t="s">
        <v>18</v>
      </c>
      <c r="C1292">
        <v>1</v>
      </c>
      <c r="D1292">
        <v>5</v>
      </c>
      <c r="E1292">
        <f>236*2</f>
        <v>472</v>
      </c>
      <c r="F1292">
        <v>7.3</v>
      </c>
      <c r="G1292">
        <v>3.7</v>
      </c>
      <c r="H1292">
        <v>3.6</v>
      </c>
      <c r="I1292">
        <v>4.5999999999999996</v>
      </c>
      <c r="K1292">
        <f t="shared" si="118"/>
        <v>0.80434782608695665</v>
      </c>
      <c r="L1292">
        <f t="shared" si="119"/>
        <v>0.63013698630136983</v>
      </c>
    </row>
    <row r="1293" spans="1:13" x14ac:dyDescent="0.25">
      <c r="A1293">
        <v>50718</v>
      </c>
      <c r="B1293" t="s">
        <v>18</v>
      </c>
      <c r="C1293">
        <v>2</v>
      </c>
      <c r="D1293">
        <v>1</v>
      </c>
      <c r="E1293">
        <f>47*2</f>
        <v>94</v>
      </c>
      <c r="F1293">
        <v>10.3</v>
      </c>
      <c r="G1293">
        <v>4.3</v>
      </c>
      <c r="H1293">
        <v>7.1</v>
      </c>
      <c r="I1293">
        <v>4.8</v>
      </c>
      <c r="K1293">
        <f t="shared" si="118"/>
        <v>0.89583333333333337</v>
      </c>
      <c r="L1293">
        <f t="shared" si="119"/>
        <v>0.46601941747572811</v>
      </c>
    </row>
    <row r="1294" spans="1:13" x14ac:dyDescent="0.25">
      <c r="A1294">
        <v>50718</v>
      </c>
      <c r="B1294" t="s">
        <v>18</v>
      </c>
      <c r="C1294">
        <v>2</v>
      </c>
      <c r="D1294">
        <v>2</v>
      </c>
      <c r="E1294">
        <f>49*2</f>
        <v>98</v>
      </c>
      <c r="F1294">
        <v>9.3000000000000007</v>
      </c>
      <c r="G1294">
        <v>2.1</v>
      </c>
      <c r="H1294">
        <v>6</v>
      </c>
      <c r="I1294">
        <v>4.4000000000000004</v>
      </c>
      <c r="K1294">
        <f t="shared" si="118"/>
        <v>0.47727272727272724</v>
      </c>
      <c r="L1294">
        <f t="shared" si="119"/>
        <v>0.4731182795698925</v>
      </c>
    </row>
    <row r="1295" spans="1:13" x14ac:dyDescent="0.25">
      <c r="A1295">
        <v>50718</v>
      </c>
      <c r="B1295" t="s">
        <v>18</v>
      </c>
      <c r="C1295">
        <v>2</v>
      </c>
      <c r="D1295">
        <v>3</v>
      </c>
      <c r="E1295">
        <f>81*2</f>
        <v>162</v>
      </c>
      <c r="F1295">
        <v>7.1</v>
      </c>
      <c r="M1295" t="s">
        <v>2</v>
      </c>
    </row>
    <row r="1296" spans="1:13" x14ac:dyDescent="0.25">
      <c r="A1296">
        <v>50718</v>
      </c>
      <c r="B1296" t="s">
        <v>18</v>
      </c>
      <c r="C1296">
        <v>2</v>
      </c>
      <c r="D1296">
        <v>4</v>
      </c>
      <c r="E1296">
        <f>131*2</f>
        <v>262</v>
      </c>
      <c r="F1296">
        <v>5.3</v>
      </c>
      <c r="G1296">
        <v>4.4000000000000004</v>
      </c>
      <c r="H1296">
        <v>3</v>
      </c>
      <c r="I1296">
        <v>4</v>
      </c>
      <c r="K1296">
        <f t="shared" si="118"/>
        <v>1.1000000000000001</v>
      </c>
      <c r="L1296">
        <f t="shared" si="119"/>
        <v>0.75471698113207553</v>
      </c>
    </row>
    <row r="1297" spans="1:13" x14ac:dyDescent="0.25">
      <c r="A1297">
        <v>50718</v>
      </c>
      <c r="B1297" t="s">
        <v>18</v>
      </c>
      <c r="C1297">
        <v>2</v>
      </c>
      <c r="D1297">
        <v>5</v>
      </c>
      <c r="E1297">
        <f>170*2</f>
        <v>340</v>
      </c>
      <c r="F1297">
        <v>6.3</v>
      </c>
      <c r="G1297">
        <v>3.8</v>
      </c>
      <c r="H1297">
        <v>3.9</v>
      </c>
      <c r="I1297">
        <v>3.6</v>
      </c>
      <c r="K1297">
        <f t="shared" si="118"/>
        <v>1.0555555555555556</v>
      </c>
      <c r="L1297">
        <f t="shared" si="119"/>
        <v>0.57142857142857151</v>
      </c>
    </row>
    <row r="1298" spans="1:13" x14ac:dyDescent="0.25">
      <c r="A1298">
        <v>50718</v>
      </c>
      <c r="B1298" t="s">
        <v>18</v>
      </c>
      <c r="C1298">
        <v>2</v>
      </c>
      <c r="D1298">
        <v>6</v>
      </c>
      <c r="E1298">
        <f>183*2</f>
        <v>366</v>
      </c>
      <c r="F1298">
        <v>5.0999999999999996</v>
      </c>
      <c r="G1298">
        <v>1.9</v>
      </c>
      <c r="H1298">
        <v>2.6</v>
      </c>
      <c r="I1298">
        <v>3.8</v>
      </c>
      <c r="K1298">
        <f t="shared" si="118"/>
        <v>0.5</v>
      </c>
      <c r="L1298">
        <f t="shared" si="119"/>
        <v>0.74509803921568629</v>
      </c>
    </row>
    <row r="1299" spans="1:13" x14ac:dyDescent="0.25">
      <c r="A1299">
        <v>50718</v>
      </c>
      <c r="B1299" t="s">
        <v>18</v>
      </c>
      <c r="C1299">
        <v>2</v>
      </c>
      <c r="D1299">
        <v>7</v>
      </c>
      <c r="E1299">
        <f>204*2</f>
        <v>408</v>
      </c>
      <c r="F1299">
        <v>6.1</v>
      </c>
      <c r="G1299">
        <v>4.5999999999999996</v>
      </c>
      <c r="H1299">
        <v>3.6</v>
      </c>
      <c r="I1299">
        <v>4.2</v>
      </c>
      <c r="K1299">
        <f t="shared" si="118"/>
        <v>1.0952380952380951</v>
      </c>
      <c r="L1299">
        <f t="shared" si="119"/>
        <v>0.68852459016393452</v>
      </c>
    </row>
    <row r="1300" spans="1:13" x14ac:dyDescent="0.25">
      <c r="A1300">
        <v>50718</v>
      </c>
      <c r="B1300" t="s">
        <v>18</v>
      </c>
      <c r="C1300">
        <v>2</v>
      </c>
      <c r="D1300">
        <v>8</v>
      </c>
      <c r="E1300">
        <f>218*2</f>
        <v>436</v>
      </c>
      <c r="F1300">
        <v>6.4</v>
      </c>
      <c r="M1300" t="s">
        <v>8</v>
      </c>
    </row>
    <row r="1301" spans="1:13" x14ac:dyDescent="0.25">
      <c r="A1301">
        <v>50718</v>
      </c>
      <c r="B1301" t="s">
        <v>18</v>
      </c>
      <c r="C1301">
        <v>3</v>
      </c>
      <c r="D1301">
        <v>1</v>
      </c>
      <c r="E1301">
        <f>146*2</f>
        <v>292</v>
      </c>
      <c r="F1301">
        <v>10.9</v>
      </c>
      <c r="M1301" t="s">
        <v>2</v>
      </c>
    </row>
    <row r="1302" spans="1:13" x14ac:dyDescent="0.25">
      <c r="A1302">
        <v>50718</v>
      </c>
      <c r="B1302" t="s">
        <v>18</v>
      </c>
      <c r="C1302">
        <v>3</v>
      </c>
      <c r="D1302">
        <v>2</v>
      </c>
      <c r="E1302">
        <f>193*2</f>
        <v>386</v>
      </c>
      <c r="F1302">
        <v>9.1</v>
      </c>
      <c r="J1302" t="s">
        <v>0</v>
      </c>
    </row>
    <row r="1303" spans="1:13" x14ac:dyDescent="0.25">
      <c r="A1303">
        <v>50718</v>
      </c>
      <c r="B1303" t="s">
        <v>18</v>
      </c>
      <c r="C1303">
        <v>3</v>
      </c>
      <c r="D1303">
        <v>3</v>
      </c>
      <c r="E1303">
        <f>236*2</f>
        <v>472</v>
      </c>
      <c r="F1303">
        <v>6.2</v>
      </c>
      <c r="G1303">
        <v>3.4</v>
      </c>
      <c r="H1303">
        <v>4</v>
      </c>
      <c r="I1303">
        <v>3.2</v>
      </c>
      <c r="K1303">
        <f t="shared" si="118"/>
        <v>1.0625</v>
      </c>
      <c r="L1303">
        <f t="shared" si="119"/>
        <v>0.5161290322580645</v>
      </c>
    </row>
    <row r="1304" spans="1:13" x14ac:dyDescent="0.25">
      <c r="A1304">
        <v>50718</v>
      </c>
      <c r="B1304" t="s">
        <v>18</v>
      </c>
      <c r="C1304">
        <v>5</v>
      </c>
      <c r="D1304">
        <v>1</v>
      </c>
      <c r="E1304">
        <f>44*2</f>
        <v>88</v>
      </c>
      <c r="F1304">
        <v>15.7</v>
      </c>
      <c r="G1304">
        <v>2.6</v>
      </c>
      <c r="H1304">
        <v>3.8</v>
      </c>
      <c r="I1304">
        <v>5.2</v>
      </c>
      <c r="K1304">
        <f t="shared" si="118"/>
        <v>0.5</v>
      </c>
      <c r="L1304">
        <f t="shared" si="119"/>
        <v>0.33121019108280259</v>
      </c>
    </row>
    <row r="1305" spans="1:13" x14ac:dyDescent="0.25">
      <c r="A1305">
        <v>50718</v>
      </c>
      <c r="B1305" t="s">
        <v>18</v>
      </c>
      <c r="C1305">
        <v>5</v>
      </c>
      <c r="D1305">
        <v>2</v>
      </c>
      <c r="E1305">
        <f>162*2</f>
        <v>324</v>
      </c>
      <c r="F1305">
        <v>14.4</v>
      </c>
      <c r="G1305">
        <v>2.8</v>
      </c>
      <c r="H1305">
        <v>4.3</v>
      </c>
      <c r="I1305">
        <v>4.8</v>
      </c>
      <c r="K1305">
        <f t="shared" si="118"/>
        <v>0.58333333333333337</v>
      </c>
      <c r="L1305">
        <f t="shared" si="119"/>
        <v>0.33333333333333331</v>
      </c>
    </row>
    <row r="1306" spans="1:13" x14ac:dyDescent="0.25">
      <c r="A1306">
        <v>50718</v>
      </c>
      <c r="B1306" t="s">
        <v>18</v>
      </c>
      <c r="C1306">
        <v>7</v>
      </c>
      <c r="D1306">
        <v>1</v>
      </c>
      <c r="E1306">
        <f>138*2</f>
        <v>276</v>
      </c>
      <c r="F1306">
        <v>6.4</v>
      </c>
      <c r="G1306">
        <v>3.4</v>
      </c>
      <c r="H1306">
        <v>5.7</v>
      </c>
      <c r="I1306">
        <v>3.9</v>
      </c>
      <c r="K1306">
        <f t="shared" si="118"/>
        <v>0.87179487179487181</v>
      </c>
      <c r="L1306">
        <f t="shared" si="119"/>
        <v>0.609375</v>
      </c>
    </row>
    <row r="1307" spans="1:13" x14ac:dyDescent="0.25">
      <c r="A1307">
        <v>50718</v>
      </c>
      <c r="B1307" t="s">
        <v>18</v>
      </c>
      <c r="C1307">
        <v>7</v>
      </c>
      <c r="D1307">
        <v>2</v>
      </c>
      <c r="E1307">
        <f>160*2</f>
        <v>320</v>
      </c>
      <c r="F1307">
        <v>9</v>
      </c>
      <c r="G1307">
        <v>4.3</v>
      </c>
      <c r="H1307">
        <v>6.4</v>
      </c>
      <c r="I1307">
        <v>4.5</v>
      </c>
      <c r="K1307">
        <f t="shared" si="118"/>
        <v>0.95555555555555549</v>
      </c>
      <c r="L1307">
        <f t="shared" si="119"/>
        <v>0.5</v>
      </c>
    </row>
    <row r="1308" spans="1:13" x14ac:dyDescent="0.25">
      <c r="A1308">
        <v>50718</v>
      </c>
      <c r="B1308" t="s">
        <v>18</v>
      </c>
      <c r="C1308">
        <v>7</v>
      </c>
      <c r="D1308">
        <v>3</v>
      </c>
      <c r="E1308">
        <f>207*2</f>
        <v>414</v>
      </c>
      <c r="F1308">
        <v>8.6</v>
      </c>
      <c r="J1308" t="s">
        <v>0</v>
      </c>
    </row>
    <row r="1309" spans="1:13" x14ac:dyDescent="0.25">
      <c r="A1309">
        <v>50718</v>
      </c>
      <c r="B1309" t="s">
        <v>18</v>
      </c>
      <c r="C1309">
        <v>7</v>
      </c>
      <c r="D1309">
        <v>4</v>
      </c>
      <c r="E1309">
        <f>209*2</f>
        <v>418</v>
      </c>
      <c r="F1309">
        <v>9</v>
      </c>
      <c r="G1309">
        <v>2</v>
      </c>
      <c r="H1309">
        <v>3</v>
      </c>
      <c r="I1309">
        <v>3.2</v>
      </c>
      <c r="K1309">
        <f t="shared" si="118"/>
        <v>0.625</v>
      </c>
      <c r="L1309">
        <f t="shared" si="119"/>
        <v>0.35555555555555557</v>
      </c>
    </row>
    <row r="1310" spans="1:13" x14ac:dyDescent="0.25">
      <c r="A1310">
        <v>50718</v>
      </c>
      <c r="B1310" t="s">
        <v>18</v>
      </c>
      <c r="C1310">
        <v>7</v>
      </c>
      <c r="D1310">
        <v>5</v>
      </c>
      <c r="E1310">
        <f>234*2</f>
        <v>468</v>
      </c>
      <c r="F1310">
        <v>7</v>
      </c>
      <c r="M1310" t="s">
        <v>2</v>
      </c>
    </row>
    <row r="1311" spans="1:13" x14ac:dyDescent="0.25">
      <c r="A1311">
        <v>50718</v>
      </c>
      <c r="B1311" t="s">
        <v>18</v>
      </c>
      <c r="C1311">
        <v>8</v>
      </c>
      <c r="D1311">
        <v>1</v>
      </c>
      <c r="E1311">
        <f>87*2</f>
        <v>174</v>
      </c>
      <c r="F1311">
        <v>15.3</v>
      </c>
      <c r="G1311">
        <v>3</v>
      </c>
      <c r="H1311">
        <v>7.5</v>
      </c>
      <c r="I1311">
        <v>4.7</v>
      </c>
      <c r="K1311">
        <f t="shared" si="118"/>
        <v>0.63829787234042545</v>
      </c>
      <c r="L1311">
        <f t="shared" si="119"/>
        <v>0.30718954248366015</v>
      </c>
    </row>
    <row r="1312" spans="1:13" x14ac:dyDescent="0.25">
      <c r="A1312">
        <v>50718</v>
      </c>
      <c r="B1312" t="s">
        <v>18</v>
      </c>
      <c r="C1312">
        <v>8</v>
      </c>
      <c r="D1312">
        <v>2</v>
      </c>
      <c r="E1312">
        <f>190*2</f>
        <v>380</v>
      </c>
      <c r="F1312">
        <v>18.3</v>
      </c>
      <c r="G1312">
        <v>3.7</v>
      </c>
      <c r="H1312">
        <v>6.1</v>
      </c>
      <c r="I1312">
        <v>6.9</v>
      </c>
      <c r="K1312">
        <f t="shared" si="118"/>
        <v>0.53623188405797106</v>
      </c>
      <c r="L1312">
        <f t="shared" si="119"/>
        <v>0.37704918032786888</v>
      </c>
    </row>
    <row r="1313" spans="1:13" x14ac:dyDescent="0.25">
      <c r="A1313">
        <v>50718</v>
      </c>
      <c r="B1313" t="s">
        <v>18</v>
      </c>
      <c r="C1313">
        <v>8</v>
      </c>
      <c r="D1313">
        <v>3</v>
      </c>
      <c r="E1313">
        <f>202*2</f>
        <v>404</v>
      </c>
      <c r="F1313">
        <v>13.7</v>
      </c>
      <c r="G1313">
        <v>2.4</v>
      </c>
      <c r="H1313">
        <v>5.4</v>
      </c>
      <c r="I1313">
        <v>3.1</v>
      </c>
      <c r="K1313">
        <f t="shared" si="118"/>
        <v>0.77419354838709675</v>
      </c>
      <c r="L1313">
        <f t="shared" si="119"/>
        <v>0.22627737226277375</v>
      </c>
    </row>
    <row r="1314" spans="1:13" x14ac:dyDescent="0.25">
      <c r="A1314">
        <v>50718</v>
      </c>
      <c r="B1314" t="s">
        <v>18</v>
      </c>
      <c r="C1314">
        <v>8</v>
      </c>
      <c r="D1314">
        <v>4</v>
      </c>
      <c r="E1314">
        <f>257*2</f>
        <v>514</v>
      </c>
      <c r="F1314">
        <v>11.8</v>
      </c>
      <c r="G1314">
        <v>2.7</v>
      </c>
      <c r="H1314">
        <v>3.8</v>
      </c>
      <c r="I1314">
        <v>3.4</v>
      </c>
      <c r="K1314">
        <f t="shared" si="118"/>
        <v>0.79411764705882359</v>
      </c>
      <c r="L1314">
        <f t="shared" si="119"/>
        <v>0.28813559322033894</v>
      </c>
    </row>
    <row r="1315" spans="1:13" x14ac:dyDescent="0.25">
      <c r="A1315">
        <v>50718</v>
      </c>
      <c r="B1315" t="s">
        <v>18</v>
      </c>
      <c r="C1315">
        <v>8</v>
      </c>
      <c r="D1315">
        <v>5</v>
      </c>
      <c r="E1315">
        <f>279*2</f>
        <v>558</v>
      </c>
      <c r="F1315">
        <v>13.7</v>
      </c>
      <c r="G1315">
        <v>5.6</v>
      </c>
      <c r="H1315">
        <v>4</v>
      </c>
      <c r="I1315">
        <v>3.8</v>
      </c>
      <c r="K1315">
        <f t="shared" si="118"/>
        <v>1.4736842105263157</v>
      </c>
      <c r="L1315">
        <f t="shared" si="119"/>
        <v>0.27737226277372262</v>
      </c>
      <c r="M1315" t="s">
        <v>9</v>
      </c>
    </row>
    <row r="1316" spans="1:13" x14ac:dyDescent="0.25">
      <c r="A1316">
        <v>50718</v>
      </c>
      <c r="B1316" t="s">
        <v>18</v>
      </c>
      <c r="C1316">
        <v>9</v>
      </c>
      <c r="D1316">
        <v>1</v>
      </c>
      <c r="E1316">
        <f>63*2</f>
        <v>126</v>
      </c>
      <c r="F1316">
        <v>12.2</v>
      </c>
      <c r="G1316">
        <v>3.9</v>
      </c>
      <c r="H1316">
        <v>9.5</v>
      </c>
      <c r="I1316">
        <v>4.5999999999999996</v>
      </c>
      <c r="K1316">
        <f t="shared" si="118"/>
        <v>0.84782608695652184</v>
      </c>
      <c r="L1316">
        <f t="shared" si="119"/>
        <v>0.37704918032786883</v>
      </c>
    </row>
    <row r="1317" spans="1:13" x14ac:dyDescent="0.25">
      <c r="A1317">
        <v>50718</v>
      </c>
      <c r="B1317" t="s">
        <v>18</v>
      </c>
      <c r="C1317">
        <v>9</v>
      </c>
      <c r="D1317">
        <v>2</v>
      </c>
      <c r="E1317">
        <f>159*2</f>
        <v>318</v>
      </c>
      <c r="F1317">
        <v>10.6</v>
      </c>
      <c r="G1317">
        <v>3</v>
      </c>
      <c r="H1317">
        <v>4.4000000000000004</v>
      </c>
      <c r="I1317">
        <v>4.2</v>
      </c>
      <c r="K1317">
        <f t="shared" si="118"/>
        <v>0.7142857142857143</v>
      </c>
      <c r="L1317">
        <f t="shared" si="119"/>
        <v>0.39622641509433965</v>
      </c>
    </row>
    <row r="1318" spans="1:13" x14ac:dyDescent="0.25">
      <c r="A1318">
        <v>50718</v>
      </c>
      <c r="B1318" t="s">
        <v>18</v>
      </c>
      <c r="C1318">
        <v>9</v>
      </c>
      <c r="D1318">
        <v>3</v>
      </c>
      <c r="E1318">
        <f>165*2</f>
        <v>330</v>
      </c>
      <c r="F1318">
        <v>10.199999999999999</v>
      </c>
      <c r="J1318" t="s">
        <v>0</v>
      </c>
    </row>
    <row r="1319" spans="1:13" x14ac:dyDescent="0.25">
      <c r="A1319">
        <v>50718</v>
      </c>
      <c r="B1319" t="s">
        <v>18</v>
      </c>
      <c r="C1319">
        <v>9</v>
      </c>
      <c r="D1319">
        <v>4</v>
      </c>
      <c r="E1319">
        <f>206*2</f>
        <v>412</v>
      </c>
      <c r="F1319">
        <v>7.9</v>
      </c>
      <c r="G1319">
        <v>3</v>
      </c>
      <c r="H1319">
        <v>4.3</v>
      </c>
      <c r="I1319">
        <v>4.9000000000000004</v>
      </c>
      <c r="K1319">
        <f t="shared" si="118"/>
        <v>0.61224489795918358</v>
      </c>
      <c r="L1319">
        <f t="shared" si="119"/>
        <v>0.620253164556962</v>
      </c>
    </row>
    <row r="1320" spans="1:13" x14ac:dyDescent="0.25">
      <c r="A1320">
        <v>50718</v>
      </c>
      <c r="B1320" t="s">
        <v>18</v>
      </c>
      <c r="C1320">
        <v>9</v>
      </c>
      <c r="D1320">
        <v>5</v>
      </c>
      <c r="E1320">
        <f>226*2</f>
        <v>452</v>
      </c>
      <c r="F1320">
        <v>9.4</v>
      </c>
      <c r="G1320">
        <v>4.4000000000000004</v>
      </c>
      <c r="H1320">
        <v>4.0999999999999996</v>
      </c>
      <c r="I1320">
        <v>4.7</v>
      </c>
      <c r="K1320">
        <f t="shared" si="118"/>
        <v>0.93617021276595747</v>
      </c>
      <c r="L1320">
        <f t="shared" si="119"/>
        <v>0.5</v>
      </c>
      <c r="M1320" t="s">
        <v>9</v>
      </c>
    </row>
    <row r="1321" spans="1:13" x14ac:dyDescent="0.25">
      <c r="A1321">
        <v>50718</v>
      </c>
      <c r="B1321" t="s">
        <v>18</v>
      </c>
      <c r="C1321">
        <v>9</v>
      </c>
      <c r="D1321">
        <v>6</v>
      </c>
      <c r="E1321">
        <f>229*2</f>
        <v>458</v>
      </c>
      <c r="F1321">
        <v>8.4</v>
      </c>
      <c r="G1321">
        <v>3.5</v>
      </c>
      <c r="H1321">
        <v>3.8</v>
      </c>
      <c r="I1321">
        <v>3.5</v>
      </c>
      <c r="K1321">
        <f t="shared" si="118"/>
        <v>1</v>
      </c>
      <c r="L1321">
        <f t="shared" si="119"/>
        <v>0.41666666666666663</v>
      </c>
      <c r="M1321" t="s">
        <v>9</v>
      </c>
    </row>
    <row r="1322" spans="1:13" x14ac:dyDescent="0.25">
      <c r="A1322">
        <v>50718</v>
      </c>
      <c r="B1322" t="s">
        <v>18</v>
      </c>
      <c r="C1322">
        <v>10</v>
      </c>
      <c r="D1322">
        <v>1</v>
      </c>
      <c r="E1322">
        <f>174*2</f>
        <v>348</v>
      </c>
      <c r="F1322">
        <v>7.4</v>
      </c>
      <c r="G1322">
        <v>2.9</v>
      </c>
      <c r="H1322">
        <v>4.5</v>
      </c>
      <c r="I1322">
        <v>4.8</v>
      </c>
      <c r="K1322">
        <f t="shared" si="118"/>
        <v>0.60416666666666663</v>
      </c>
      <c r="L1322">
        <f t="shared" si="119"/>
        <v>0.64864864864864857</v>
      </c>
    </row>
    <row r="1323" spans="1:13" x14ac:dyDescent="0.25">
      <c r="A1323">
        <v>50718</v>
      </c>
      <c r="B1323" t="s">
        <v>18</v>
      </c>
      <c r="C1323">
        <v>10</v>
      </c>
      <c r="D1323">
        <v>2</v>
      </c>
      <c r="E1323">
        <f>268*2</f>
        <v>536</v>
      </c>
      <c r="F1323">
        <v>7.9</v>
      </c>
      <c r="G1323">
        <v>4.8</v>
      </c>
      <c r="H1323">
        <v>4.2</v>
      </c>
      <c r="I1323">
        <v>4.9000000000000004</v>
      </c>
      <c r="K1323">
        <f t="shared" si="118"/>
        <v>0.97959183673469374</v>
      </c>
      <c r="L1323">
        <f t="shared" si="119"/>
        <v>0.620253164556962</v>
      </c>
    </row>
    <row r="1324" spans="1:13" x14ac:dyDescent="0.25">
      <c r="A1324">
        <v>50718</v>
      </c>
      <c r="B1324" t="s">
        <v>18</v>
      </c>
      <c r="C1324">
        <v>11</v>
      </c>
      <c r="D1324">
        <v>1</v>
      </c>
      <c r="E1324">
        <f>78*2</f>
        <v>156</v>
      </c>
      <c r="F1324">
        <v>7.3</v>
      </c>
      <c r="G1324">
        <v>5.0999999999999996</v>
      </c>
      <c r="H1324">
        <v>5.0999999999999996</v>
      </c>
      <c r="I1324">
        <v>4.9000000000000004</v>
      </c>
      <c r="K1324">
        <f t="shared" ref="K1324:K1387" si="120">G1324/I1324</f>
        <v>1.0408163265306121</v>
      </c>
      <c r="L1324">
        <f t="shared" ref="L1324:L1387" si="121">I1324/F1324</f>
        <v>0.67123287671232879</v>
      </c>
    </row>
    <row r="1325" spans="1:13" x14ac:dyDescent="0.25">
      <c r="A1325">
        <v>50718</v>
      </c>
      <c r="B1325" t="s">
        <v>18</v>
      </c>
      <c r="C1325">
        <v>11</v>
      </c>
      <c r="D1325">
        <v>2</v>
      </c>
      <c r="E1325">
        <f>144*2</f>
        <v>288</v>
      </c>
      <c r="F1325">
        <v>7.7</v>
      </c>
      <c r="G1325">
        <v>4.4000000000000004</v>
      </c>
      <c r="H1325">
        <v>5.9</v>
      </c>
      <c r="I1325">
        <v>5.0999999999999996</v>
      </c>
      <c r="K1325">
        <f t="shared" si="120"/>
        <v>0.86274509803921584</v>
      </c>
      <c r="L1325">
        <f t="shared" si="121"/>
        <v>0.66233766233766223</v>
      </c>
    </row>
    <row r="1326" spans="1:13" x14ac:dyDescent="0.25">
      <c r="A1326">
        <v>50718</v>
      </c>
      <c r="B1326" t="s">
        <v>18</v>
      </c>
      <c r="C1326">
        <v>11</v>
      </c>
      <c r="D1326">
        <v>3</v>
      </c>
      <c r="E1326">
        <f>192*2</f>
        <v>384</v>
      </c>
      <c r="F1326">
        <v>6.2</v>
      </c>
      <c r="G1326">
        <v>5.4</v>
      </c>
      <c r="H1326">
        <v>5.2</v>
      </c>
      <c r="I1326">
        <v>4.5</v>
      </c>
      <c r="K1326">
        <f t="shared" si="120"/>
        <v>1.2000000000000002</v>
      </c>
      <c r="L1326">
        <f t="shared" si="121"/>
        <v>0.72580645161290325</v>
      </c>
    </row>
    <row r="1327" spans="1:13" x14ac:dyDescent="0.25">
      <c r="A1327">
        <v>50718</v>
      </c>
      <c r="B1327" t="s">
        <v>18</v>
      </c>
      <c r="C1327">
        <v>11</v>
      </c>
      <c r="D1327">
        <v>4</v>
      </c>
      <c r="E1327">
        <f>219*2</f>
        <v>438</v>
      </c>
      <c r="F1327">
        <v>6.6</v>
      </c>
      <c r="G1327">
        <v>4.9000000000000004</v>
      </c>
      <c r="H1327">
        <v>3.3</v>
      </c>
      <c r="I1327">
        <v>4.8</v>
      </c>
      <c r="K1327">
        <f t="shared" si="120"/>
        <v>1.0208333333333335</v>
      </c>
      <c r="L1327">
        <f t="shared" si="121"/>
        <v>0.72727272727272729</v>
      </c>
    </row>
    <row r="1328" spans="1:13" x14ac:dyDescent="0.25">
      <c r="A1328">
        <v>50718</v>
      </c>
      <c r="B1328" t="s">
        <v>18</v>
      </c>
      <c r="C1328">
        <v>11</v>
      </c>
      <c r="D1328">
        <v>5</v>
      </c>
      <c r="E1328">
        <f>247*2</f>
        <v>494</v>
      </c>
      <c r="F1328">
        <v>5.5</v>
      </c>
      <c r="G1328">
        <v>4.2</v>
      </c>
      <c r="H1328">
        <v>4.7</v>
      </c>
      <c r="I1328">
        <v>4.7</v>
      </c>
      <c r="K1328">
        <f t="shared" si="120"/>
        <v>0.8936170212765957</v>
      </c>
      <c r="L1328">
        <f t="shared" si="121"/>
        <v>0.85454545454545461</v>
      </c>
      <c r="M1328" t="s">
        <v>9</v>
      </c>
    </row>
    <row r="1329" spans="1:13" x14ac:dyDescent="0.25">
      <c r="A1329">
        <v>50718</v>
      </c>
      <c r="B1329" t="s">
        <v>18</v>
      </c>
      <c r="C1329">
        <v>11</v>
      </c>
      <c r="D1329">
        <v>6</v>
      </c>
      <c r="E1329">
        <f>256*2</f>
        <v>512</v>
      </c>
      <c r="F1329">
        <v>5.5</v>
      </c>
      <c r="J1329" t="s">
        <v>0</v>
      </c>
      <c r="M1329" t="s">
        <v>9</v>
      </c>
    </row>
    <row r="1330" spans="1:13" x14ac:dyDescent="0.25">
      <c r="A1330">
        <v>50718</v>
      </c>
      <c r="B1330" t="s">
        <v>18</v>
      </c>
      <c r="C1330">
        <v>12</v>
      </c>
      <c r="D1330">
        <v>1</v>
      </c>
      <c r="E1330">
        <f>62*2</f>
        <v>124</v>
      </c>
      <c r="F1330">
        <v>9.1999999999999993</v>
      </c>
      <c r="G1330">
        <v>2.2999999999999998</v>
      </c>
      <c r="H1330">
        <v>5.2</v>
      </c>
      <c r="I1330">
        <v>4.3</v>
      </c>
      <c r="K1330">
        <f t="shared" si="120"/>
        <v>0.53488372093023251</v>
      </c>
      <c r="L1330">
        <f t="shared" si="121"/>
        <v>0.46739130434782611</v>
      </c>
    </row>
    <row r="1331" spans="1:13" x14ac:dyDescent="0.25">
      <c r="A1331">
        <v>50718</v>
      </c>
      <c r="B1331" t="s">
        <v>18</v>
      </c>
      <c r="C1331">
        <v>12</v>
      </c>
      <c r="D1331">
        <v>2</v>
      </c>
      <c r="E1331">
        <f>98*2</f>
        <v>196</v>
      </c>
      <c r="F1331">
        <v>8.8000000000000007</v>
      </c>
      <c r="G1331">
        <v>5.2</v>
      </c>
      <c r="H1331">
        <v>4.0999999999999996</v>
      </c>
      <c r="I1331">
        <v>4.5</v>
      </c>
      <c r="K1331">
        <f t="shared" si="120"/>
        <v>1.1555555555555557</v>
      </c>
      <c r="L1331">
        <f t="shared" si="121"/>
        <v>0.51136363636363635</v>
      </c>
    </row>
    <row r="1332" spans="1:13" x14ac:dyDescent="0.25">
      <c r="A1332">
        <v>50718</v>
      </c>
      <c r="B1332" t="s">
        <v>18</v>
      </c>
      <c r="C1332">
        <v>12</v>
      </c>
      <c r="D1332">
        <v>3</v>
      </c>
      <c r="E1332">
        <f>172*2</f>
        <v>344</v>
      </c>
      <c r="F1332">
        <v>8.5</v>
      </c>
      <c r="J1332" t="s">
        <v>0</v>
      </c>
    </row>
    <row r="1333" spans="1:13" x14ac:dyDescent="0.25">
      <c r="A1333">
        <v>50718</v>
      </c>
      <c r="B1333" t="s">
        <v>18</v>
      </c>
      <c r="C1333">
        <v>12</v>
      </c>
      <c r="D1333">
        <v>4</v>
      </c>
      <c r="E1333">
        <f>212*2</f>
        <v>424</v>
      </c>
      <c r="F1333">
        <v>7.1</v>
      </c>
      <c r="G1333">
        <v>2.7</v>
      </c>
      <c r="H1333">
        <v>3.2</v>
      </c>
      <c r="I1333">
        <v>3.2</v>
      </c>
      <c r="K1333">
        <f t="shared" si="120"/>
        <v>0.84375</v>
      </c>
      <c r="L1333">
        <f t="shared" si="121"/>
        <v>0.45070422535211274</v>
      </c>
    </row>
    <row r="1334" spans="1:13" x14ac:dyDescent="0.25">
      <c r="A1334">
        <v>50718</v>
      </c>
      <c r="B1334" t="s">
        <v>18</v>
      </c>
      <c r="C1334">
        <v>12</v>
      </c>
      <c r="D1334">
        <v>5</v>
      </c>
      <c r="E1334">
        <f>219*2</f>
        <v>438</v>
      </c>
      <c r="F1334">
        <v>7.8</v>
      </c>
      <c r="G1334">
        <v>3.7</v>
      </c>
      <c r="H1334">
        <v>4</v>
      </c>
      <c r="I1334">
        <v>3.6</v>
      </c>
      <c r="K1334">
        <f t="shared" si="120"/>
        <v>1.0277777777777779</v>
      </c>
      <c r="L1334">
        <f t="shared" si="121"/>
        <v>0.46153846153846156</v>
      </c>
    </row>
    <row r="1335" spans="1:13" x14ac:dyDescent="0.25">
      <c r="A1335">
        <v>50718</v>
      </c>
      <c r="B1335" t="s">
        <v>18</v>
      </c>
      <c r="C1335">
        <v>12</v>
      </c>
      <c r="D1335">
        <v>6</v>
      </c>
      <c r="E1335">
        <f>285*2</f>
        <v>570</v>
      </c>
      <c r="F1335">
        <v>6.6</v>
      </c>
      <c r="M1335" t="s">
        <v>2</v>
      </c>
    </row>
    <row r="1336" spans="1:13" x14ac:dyDescent="0.25">
      <c r="A1336">
        <v>50718</v>
      </c>
      <c r="B1336" t="s">
        <v>18</v>
      </c>
      <c r="C1336">
        <v>13</v>
      </c>
      <c r="D1336">
        <v>1</v>
      </c>
      <c r="E1336">
        <f>112*2</f>
        <v>224</v>
      </c>
      <c r="F1336">
        <v>8.4</v>
      </c>
      <c r="G1336">
        <v>3</v>
      </c>
      <c r="H1336">
        <v>4.7</v>
      </c>
      <c r="I1336">
        <v>3.7</v>
      </c>
      <c r="K1336">
        <f t="shared" si="120"/>
        <v>0.81081081081081074</v>
      </c>
      <c r="L1336">
        <f t="shared" si="121"/>
        <v>0.44047619047619047</v>
      </c>
    </row>
    <row r="1337" spans="1:13" x14ac:dyDescent="0.25">
      <c r="A1337">
        <v>50718</v>
      </c>
      <c r="B1337" t="s">
        <v>18</v>
      </c>
      <c r="C1337">
        <v>13</v>
      </c>
      <c r="D1337">
        <v>2</v>
      </c>
      <c r="E1337">
        <f>115*2</f>
        <v>230</v>
      </c>
      <c r="F1337">
        <v>9.1999999999999993</v>
      </c>
      <c r="M1337" t="s">
        <v>2</v>
      </c>
    </row>
    <row r="1338" spans="1:13" x14ac:dyDescent="0.25">
      <c r="A1338">
        <v>50718</v>
      </c>
      <c r="B1338" t="s">
        <v>18</v>
      </c>
      <c r="C1338">
        <v>13</v>
      </c>
      <c r="D1338">
        <v>3</v>
      </c>
      <c r="E1338">
        <f>148*2</f>
        <v>296</v>
      </c>
      <c r="F1338">
        <v>7.5</v>
      </c>
      <c r="G1338">
        <v>4.0999999999999996</v>
      </c>
      <c r="H1338">
        <v>3.4</v>
      </c>
      <c r="I1338">
        <v>4.3</v>
      </c>
      <c r="K1338">
        <f t="shared" si="120"/>
        <v>0.95348837209302317</v>
      </c>
      <c r="L1338">
        <f t="shared" si="121"/>
        <v>0.57333333333333336</v>
      </c>
    </row>
    <row r="1339" spans="1:13" x14ac:dyDescent="0.25">
      <c r="A1339">
        <v>50718</v>
      </c>
      <c r="B1339" t="s">
        <v>18</v>
      </c>
      <c r="C1339">
        <v>13</v>
      </c>
      <c r="D1339">
        <v>4</v>
      </c>
      <c r="E1339">
        <f>179*2</f>
        <v>358</v>
      </c>
      <c r="F1339">
        <v>8.6999999999999993</v>
      </c>
      <c r="M1339" t="s">
        <v>2</v>
      </c>
    </row>
    <row r="1340" spans="1:13" x14ac:dyDescent="0.25">
      <c r="A1340">
        <v>50718</v>
      </c>
      <c r="B1340" t="s">
        <v>18</v>
      </c>
      <c r="C1340">
        <v>13</v>
      </c>
      <c r="D1340">
        <v>5</v>
      </c>
      <c r="E1340">
        <f>192*2</f>
        <v>384</v>
      </c>
      <c r="F1340">
        <v>6.9</v>
      </c>
      <c r="J1340" t="s">
        <v>0</v>
      </c>
    </row>
    <row r="1341" spans="1:13" x14ac:dyDescent="0.25">
      <c r="A1341">
        <v>50718</v>
      </c>
      <c r="B1341" t="s">
        <v>18</v>
      </c>
      <c r="C1341">
        <v>13</v>
      </c>
      <c r="D1341">
        <v>6</v>
      </c>
      <c r="E1341">
        <f>225*2</f>
        <v>450</v>
      </c>
      <c r="F1341">
        <v>6.7</v>
      </c>
      <c r="G1341">
        <v>3</v>
      </c>
      <c r="H1341">
        <v>3.5</v>
      </c>
      <c r="I1341">
        <v>3.6</v>
      </c>
      <c r="K1341">
        <f t="shared" si="120"/>
        <v>0.83333333333333326</v>
      </c>
      <c r="L1341">
        <f t="shared" si="121"/>
        <v>0.53731343283582089</v>
      </c>
    </row>
    <row r="1342" spans="1:13" x14ac:dyDescent="0.25">
      <c r="A1342">
        <v>50718</v>
      </c>
      <c r="B1342" t="s">
        <v>18</v>
      </c>
      <c r="C1342">
        <v>13</v>
      </c>
      <c r="D1342">
        <v>7</v>
      </c>
      <c r="E1342">
        <f>233*2</f>
        <v>466</v>
      </c>
      <c r="F1342">
        <v>5.6</v>
      </c>
      <c r="G1342">
        <v>2.7</v>
      </c>
      <c r="H1342">
        <v>2.8</v>
      </c>
      <c r="I1342">
        <v>3</v>
      </c>
      <c r="K1342">
        <f t="shared" si="120"/>
        <v>0.9</v>
      </c>
      <c r="L1342">
        <f t="shared" si="121"/>
        <v>0.5357142857142857</v>
      </c>
    </row>
    <row r="1343" spans="1:13" x14ac:dyDescent="0.25">
      <c r="A1343">
        <v>50718</v>
      </c>
      <c r="B1343" t="s">
        <v>18</v>
      </c>
      <c r="C1343">
        <v>13</v>
      </c>
      <c r="D1343">
        <v>8</v>
      </c>
      <c r="E1343">
        <f>234*2</f>
        <v>468</v>
      </c>
      <c r="F1343">
        <v>5.2</v>
      </c>
      <c r="M1343" t="s">
        <v>2</v>
      </c>
    </row>
    <row r="1344" spans="1:13" x14ac:dyDescent="0.25">
      <c r="A1344">
        <v>50718</v>
      </c>
      <c r="B1344" t="s">
        <v>18</v>
      </c>
      <c r="C1344">
        <v>13</v>
      </c>
      <c r="D1344">
        <v>9</v>
      </c>
      <c r="E1344">
        <f>266*2</f>
        <v>532</v>
      </c>
      <c r="F1344">
        <v>5.8</v>
      </c>
      <c r="M1344" t="s">
        <v>2</v>
      </c>
    </row>
    <row r="1345" spans="1:13" x14ac:dyDescent="0.25">
      <c r="A1345">
        <v>50718</v>
      </c>
      <c r="B1345" t="s">
        <v>18</v>
      </c>
      <c r="C1345">
        <v>13</v>
      </c>
      <c r="D1345">
        <v>10</v>
      </c>
      <c r="E1345">
        <f>282*2</f>
        <v>564</v>
      </c>
      <c r="F1345">
        <v>5.2</v>
      </c>
      <c r="G1345">
        <v>3</v>
      </c>
      <c r="H1345">
        <v>2.6</v>
      </c>
      <c r="I1345">
        <v>3.7</v>
      </c>
      <c r="K1345">
        <f t="shared" si="120"/>
        <v>0.81081081081081074</v>
      </c>
      <c r="L1345">
        <f t="shared" si="121"/>
        <v>0.71153846153846156</v>
      </c>
      <c r="M1345" t="s">
        <v>9</v>
      </c>
    </row>
    <row r="1346" spans="1:13" x14ac:dyDescent="0.25">
      <c r="A1346">
        <v>50718</v>
      </c>
      <c r="B1346" t="s">
        <v>18</v>
      </c>
      <c r="C1346">
        <v>13</v>
      </c>
      <c r="D1346">
        <v>11</v>
      </c>
      <c r="E1346">
        <f>317*2</f>
        <v>634</v>
      </c>
      <c r="F1346">
        <v>4.7</v>
      </c>
      <c r="G1346">
        <v>2.8</v>
      </c>
      <c r="H1346">
        <v>3.4</v>
      </c>
      <c r="I1346">
        <v>3.8</v>
      </c>
      <c r="K1346">
        <f t="shared" si="120"/>
        <v>0.73684210526315785</v>
      </c>
      <c r="L1346">
        <f t="shared" si="121"/>
        <v>0.80851063829787229</v>
      </c>
      <c r="M1346" t="s">
        <v>9</v>
      </c>
    </row>
    <row r="1347" spans="1:13" x14ac:dyDescent="0.25">
      <c r="A1347">
        <v>50718</v>
      </c>
      <c r="B1347" t="s">
        <v>18</v>
      </c>
      <c r="C1347">
        <v>14</v>
      </c>
      <c r="D1347">
        <v>1</v>
      </c>
      <c r="E1347">
        <f>270*2</f>
        <v>540</v>
      </c>
      <c r="F1347">
        <v>12.5</v>
      </c>
      <c r="G1347">
        <v>4.3</v>
      </c>
      <c r="H1347">
        <v>4.8</v>
      </c>
      <c r="I1347">
        <v>5.0999999999999996</v>
      </c>
      <c r="K1347">
        <f t="shared" si="120"/>
        <v>0.84313725490196079</v>
      </c>
      <c r="L1347">
        <f t="shared" si="121"/>
        <v>0.40799999999999997</v>
      </c>
      <c r="M1347" t="s">
        <v>9</v>
      </c>
    </row>
    <row r="1348" spans="1:13" x14ac:dyDescent="0.25">
      <c r="A1348">
        <v>50718</v>
      </c>
      <c r="B1348" t="s">
        <v>18</v>
      </c>
      <c r="C1348">
        <v>14</v>
      </c>
      <c r="D1348">
        <v>2</v>
      </c>
      <c r="E1348">
        <f>351*2</f>
        <v>702</v>
      </c>
      <c r="F1348">
        <v>12.1</v>
      </c>
      <c r="G1348">
        <v>3.4</v>
      </c>
      <c r="H1348">
        <v>5.3</v>
      </c>
      <c r="I1348">
        <v>4.4000000000000004</v>
      </c>
      <c r="K1348">
        <f t="shared" si="120"/>
        <v>0.7727272727272726</v>
      </c>
      <c r="L1348">
        <f t="shared" si="121"/>
        <v>0.3636363636363637</v>
      </c>
      <c r="M1348" t="s">
        <v>9</v>
      </c>
    </row>
    <row r="1349" spans="1:13" x14ac:dyDescent="0.25">
      <c r="A1349">
        <v>50718</v>
      </c>
      <c r="B1349" t="s">
        <v>18</v>
      </c>
      <c r="C1349">
        <v>15</v>
      </c>
      <c r="D1349">
        <v>1</v>
      </c>
      <c r="E1349">
        <f>9*2</f>
        <v>18</v>
      </c>
      <c r="F1349">
        <v>10.5</v>
      </c>
      <c r="G1349">
        <v>2.8</v>
      </c>
      <c r="H1349">
        <v>5.0999999999999996</v>
      </c>
      <c r="I1349">
        <v>2.7</v>
      </c>
      <c r="K1349">
        <f t="shared" si="120"/>
        <v>1.037037037037037</v>
      </c>
      <c r="L1349">
        <f t="shared" si="121"/>
        <v>0.25714285714285717</v>
      </c>
    </row>
    <row r="1350" spans="1:13" x14ac:dyDescent="0.25">
      <c r="A1350">
        <v>50718</v>
      </c>
      <c r="B1350" t="s">
        <v>18</v>
      </c>
      <c r="C1350">
        <v>15</v>
      </c>
      <c r="D1350">
        <v>2</v>
      </c>
      <c r="E1350">
        <f>76*2</f>
        <v>152</v>
      </c>
      <c r="F1350">
        <v>10.7</v>
      </c>
      <c r="G1350">
        <v>2.7</v>
      </c>
      <c r="H1350">
        <v>2.4</v>
      </c>
      <c r="I1350">
        <v>2.8</v>
      </c>
      <c r="K1350">
        <f t="shared" si="120"/>
        <v>0.96428571428571441</v>
      </c>
      <c r="L1350">
        <f t="shared" si="121"/>
        <v>0.26168224299065418</v>
      </c>
      <c r="M1350" t="s">
        <v>12</v>
      </c>
    </row>
    <row r="1351" spans="1:13" x14ac:dyDescent="0.25">
      <c r="A1351">
        <v>50718</v>
      </c>
      <c r="B1351" t="s">
        <v>18</v>
      </c>
      <c r="C1351">
        <v>15</v>
      </c>
      <c r="D1351">
        <v>3</v>
      </c>
      <c r="E1351">
        <f>147*2</f>
        <v>294</v>
      </c>
      <c r="F1351">
        <v>11.6</v>
      </c>
      <c r="G1351">
        <v>2.4</v>
      </c>
      <c r="H1351">
        <v>2.7</v>
      </c>
      <c r="I1351">
        <v>3.8</v>
      </c>
      <c r="K1351">
        <f t="shared" si="120"/>
        <v>0.63157894736842102</v>
      </c>
      <c r="L1351">
        <f t="shared" si="121"/>
        <v>0.32758620689655171</v>
      </c>
    </row>
    <row r="1352" spans="1:13" x14ac:dyDescent="0.25">
      <c r="A1352">
        <v>50718</v>
      </c>
      <c r="B1352" t="s">
        <v>18</v>
      </c>
      <c r="C1352">
        <v>15</v>
      </c>
      <c r="D1352">
        <v>4</v>
      </c>
      <c r="E1352">
        <f>149*2</f>
        <v>298</v>
      </c>
      <c r="F1352">
        <v>10.5</v>
      </c>
      <c r="M1352" t="s">
        <v>2</v>
      </c>
    </row>
    <row r="1353" spans="1:13" x14ac:dyDescent="0.25">
      <c r="A1353">
        <v>50718</v>
      </c>
      <c r="B1353" t="s">
        <v>18</v>
      </c>
      <c r="C1353">
        <v>15</v>
      </c>
      <c r="D1353">
        <v>5</v>
      </c>
      <c r="E1353">
        <f>207*2</f>
        <v>414</v>
      </c>
      <c r="F1353">
        <v>8.4</v>
      </c>
      <c r="G1353">
        <v>2.4</v>
      </c>
      <c r="H1353">
        <v>3.8</v>
      </c>
      <c r="I1353">
        <v>3.9</v>
      </c>
      <c r="K1353">
        <f t="shared" si="120"/>
        <v>0.61538461538461542</v>
      </c>
      <c r="L1353">
        <f t="shared" si="121"/>
        <v>0.46428571428571425</v>
      </c>
    </row>
    <row r="1354" spans="1:13" x14ac:dyDescent="0.25">
      <c r="A1354">
        <v>50718</v>
      </c>
      <c r="B1354" t="s">
        <v>18</v>
      </c>
      <c r="C1354">
        <v>15</v>
      </c>
      <c r="D1354">
        <v>6</v>
      </c>
      <c r="E1354">
        <f>236*2</f>
        <v>472</v>
      </c>
      <c r="F1354">
        <v>9.3000000000000007</v>
      </c>
      <c r="G1354">
        <v>3.3</v>
      </c>
      <c r="H1354">
        <v>4.5</v>
      </c>
      <c r="I1354">
        <v>4.3</v>
      </c>
      <c r="K1354">
        <f t="shared" si="120"/>
        <v>0.76744186046511631</v>
      </c>
      <c r="L1354">
        <f t="shared" si="121"/>
        <v>0.46236559139784938</v>
      </c>
    </row>
    <row r="1355" spans="1:13" x14ac:dyDescent="0.25">
      <c r="A1355">
        <v>50718</v>
      </c>
      <c r="B1355" t="s">
        <v>18</v>
      </c>
      <c r="C1355">
        <v>15</v>
      </c>
      <c r="D1355">
        <v>7</v>
      </c>
      <c r="E1355">
        <f>237*2</f>
        <v>474</v>
      </c>
      <c r="F1355">
        <v>10.5</v>
      </c>
      <c r="G1355">
        <v>9.3000000000000007</v>
      </c>
      <c r="I1355">
        <f>(4.3+3.8)/2</f>
        <v>4.05</v>
      </c>
      <c r="J1355" t="s">
        <v>0</v>
      </c>
      <c r="K1355">
        <f t="shared" si="120"/>
        <v>2.2962962962962967</v>
      </c>
      <c r="L1355">
        <f t="shared" si="121"/>
        <v>0.38571428571428568</v>
      </c>
    </row>
    <row r="1356" spans="1:13" x14ac:dyDescent="0.25">
      <c r="A1356">
        <v>50718</v>
      </c>
      <c r="B1356" t="s">
        <v>18</v>
      </c>
      <c r="C1356">
        <v>15</v>
      </c>
      <c r="D1356">
        <v>8</v>
      </c>
      <c r="E1356">
        <f>272*2</f>
        <v>544</v>
      </c>
      <c r="F1356">
        <v>5.5</v>
      </c>
      <c r="G1356">
        <v>4.0999999999999996</v>
      </c>
      <c r="H1356">
        <v>3.5</v>
      </c>
      <c r="I1356">
        <v>3.4</v>
      </c>
      <c r="K1356">
        <f t="shared" si="120"/>
        <v>1.2058823529411764</v>
      </c>
      <c r="L1356">
        <f t="shared" si="121"/>
        <v>0.61818181818181817</v>
      </c>
    </row>
    <row r="1357" spans="1:13" x14ac:dyDescent="0.25">
      <c r="A1357">
        <v>50718</v>
      </c>
      <c r="B1357" t="s">
        <v>18</v>
      </c>
      <c r="C1357">
        <v>15</v>
      </c>
      <c r="D1357">
        <v>9</v>
      </c>
      <c r="E1357">
        <f>286*2</f>
        <v>572</v>
      </c>
      <c r="F1357">
        <v>5.8</v>
      </c>
      <c r="G1357">
        <v>3</v>
      </c>
      <c r="H1357">
        <v>3.1</v>
      </c>
      <c r="I1357">
        <v>3.8</v>
      </c>
      <c r="K1357">
        <f t="shared" si="120"/>
        <v>0.78947368421052633</v>
      </c>
      <c r="L1357">
        <f t="shared" si="121"/>
        <v>0.65517241379310343</v>
      </c>
    </row>
    <row r="1358" spans="1:13" x14ac:dyDescent="0.25">
      <c r="A1358">
        <v>50718</v>
      </c>
      <c r="B1358" t="s">
        <v>18</v>
      </c>
      <c r="C1358">
        <v>15</v>
      </c>
      <c r="D1358">
        <v>10</v>
      </c>
      <c r="E1358">
        <f>294*2</f>
        <v>588</v>
      </c>
      <c r="F1358">
        <v>5.5</v>
      </c>
      <c r="G1358">
        <v>2.1</v>
      </c>
      <c r="H1358">
        <v>2.4</v>
      </c>
      <c r="I1358">
        <v>2.4</v>
      </c>
      <c r="K1358">
        <f t="shared" si="120"/>
        <v>0.87500000000000011</v>
      </c>
      <c r="L1358">
        <f t="shared" si="121"/>
        <v>0.43636363636363634</v>
      </c>
      <c r="M1358" t="s">
        <v>9</v>
      </c>
    </row>
    <row r="1359" spans="1:13" x14ac:dyDescent="0.25">
      <c r="A1359">
        <v>50718</v>
      </c>
      <c r="B1359" t="s">
        <v>18</v>
      </c>
      <c r="C1359">
        <v>16</v>
      </c>
      <c r="D1359">
        <v>1</v>
      </c>
      <c r="E1359">
        <f>152*2</f>
        <v>304</v>
      </c>
      <c r="F1359">
        <v>9.1</v>
      </c>
      <c r="G1359">
        <v>4</v>
      </c>
      <c r="H1359">
        <v>7.5</v>
      </c>
      <c r="I1359">
        <v>4.5999999999999996</v>
      </c>
      <c r="K1359">
        <f t="shared" si="120"/>
        <v>0.86956521739130443</v>
      </c>
      <c r="L1359">
        <f t="shared" si="121"/>
        <v>0.50549450549450547</v>
      </c>
    </row>
    <row r="1360" spans="1:13" x14ac:dyDescent="0.25">
      <c r="A1360">
        <v>50718</v>
      </c>
      <c r="B1360" t="s">
        <v>18</v>
      </c>
      <c r="C1360">
        <v>16</v>
      </c>
      <c r="D1360">
        <v>2</v>
      </c>
      <c r="E1360">
        <f>230*2</f>
        <v>460</v>
      </c>
      <c r="F1360">
        <v>8</v>
      </c>
      <c r="M1360" t="s">
        <v>2</v>
      </c>
    </row>
    <row r="1361" spans="1:13" x14ac:dyDescent="0.25">
      <c r="A1361">
        <v>50718</v>
      </c>
      <c r="B1361" t="s">
        <v>18</v>
      </c>
      <c r="C1361">
        <v>16</v>
      </c>
      <c r="D1361">
        <v>3</v>
      </c>
      <c r="E1361">
        <f>247*2</f>
        <v>494</v>
      </c>
      <c r="F1361">
        <v>8.6</v>
      </c>
      <c r="G1361">
        <v>3.1</v>
      </c>
      <c r="H1361">
        <v>5.5</v>
      </c>
      <c r="I1361">
        <v>3.5</v>
      </c>
      <c r="K1361">
        <f t="shared" si="120"/>
        <v>0.88571428571428579</v>
      </c>
      <c r="L1361">
        <f t="shared" si="121"/>
        <v>0.40697674418604651</v>
      </c>
    </row>
    <row r="1362" spans="1:13" x14ac:dyDescent="0.25">
      <c r="A1362">
        <v>50718</v>
      </c>
      <c r="B1362" t="s">
        <v>18</v>
      </c>
      <c r="C1362">
        <v>16</v>
      </c>
      <c r="D1362">
        <v>4</v>
      </c>
      <c r="E1362">
        <f>285*2</f>
        <v>570</v>
      </c>
      <c r="F1362">
        <v>7.2</v>
      </c>
      <c r="G1362">
        <v>6.1</v>
      </c>
      <c r="I1362">
        <f>(2.9+2.6)/2</f>
        <v>2.75</v>
      </c>
      <c r="J1362" t="s">
        <v>0</v>
      </c>
      <c r="K1362">
        <f t="shared" si="120"/>
        <v>2.2181818181818183</v>
      </c>
      <c r="L1362">
        <f t="shared" si="121"/>
        <v>0.38194444444444442</v>
      </c>
    </row>
    <row r="1363" spans="1:13" x14ac:dyDescent="0.25">
      <c r="A1363">
        <v>50718</v>
      </c>
      <c r="B1363" t="s">
        <v>18</v>
      </c>
      <c r="C1363">
        <v>16</v>
      </c>
      <c r="D1363">
        <v>5</v>
      </c>
      <c r="E1363">
        <f>307*2</f>
        <v>614</v>
      </c>
      <c r="F1363">
        <v>9.1999999999999993</v>
      </c>
      <c r="G1363">
        <v>3.8</v>
      </c>
      <c r="H1363">
        <v>3.9</v>
      </c>
      <c r="I1363">
        <v>5.2</v>
      </c>
      <c r="K1363">
        <f t="shared" si="120"/>
        <v>0.73076923076923073</v>
      </c>
      <c r="L1363">
        <f t="shared" si="121"/>
        <v>0.56521739130434789</v>
      </c>
      <c r="M1363" t="s">
        <v>9</v>
      </c>
    </row>
    <row r="1364" spans="1:13" x14ac:dyDescent="0.25">
      <c r="A1364">
        <v>50718</v>
      </c>
      <c r="B1364" t="s">
        <v>18</v>
      </c>
      <c r="C1364">
        <v>17</v>
      </c>
      <c r="D1364">
        <v>1</v>
      </c>
      <c r="E1364">
        <v>0</v>
      </c>
      <c r="F1364">
        <v>9.6</v>
      </c>
      <c r="G1364">
        <v>2.9</v>
      </c>
      <c r="H1364">
        <v>5.8</v>
      </c>
      <c r="I1364">
        <v>5.7</v>
      </c>
      <c r="K1364">
        <f t="shared" si="120"/>
        <v>0.50877192982456132</v>
      </c>
      <c r="L1364">
        <f t="shared" si="121"/>
        <v>0.59375</v>
      </c>
    </row>
    <row r="1365" spans="1:13" x14ac:dyDescent="0.25">
      <c r="A1365">
        <v>50718</v>
      </c>
      <c r="B1365" t="s">
        <v>18</v>
      </c>
      <c r="C1365">
        <v>17</v>
      </c>
      <c r="D1365">
        <v>2</v>
      </c>
      <c r="E1365">
        <f>10*2</f>
        <v>20</v>
      </c>
      <c r="F1365">
        <v>7.5</v>
      </c>
      <c r="G1365">
        <v>3.9</v>
      </c>
      <c r="H1365">
        <v>4.9000000000000004</v>
      </c>
      <c r="I1365">
        <v>4.9000000000000004</v>
      </c>
      <c r="K1365">
        <f t="shared" si="120"/>
        <v>0.79591836734693866</v>
      </c>
      <c r="L1365">
        <f t="shared" si="121"/>
        <v>0.65333333333333343</v>
      </c>
    </row>
    <row r="1366" spans="1:13" x14ac:dyDescent="0.25">
      <c r="A1366">
        <v>50718</v>
      </c>
      <c r="B1366" t="s">
        <v>18</v>
      </c>
      <c r="C1366">
        <v>17</v>
      </c>
      <c r="D1366">
        <v>3</v>
      </c>
      <c r="E1366">
        <f>32*2</f>
        <v>64</v>
      </c>
      <c r="F1366">
        <v>6.3</v>
      </c>
      <c r="G1366">
        <v>6.9</v>
      </c>
      <c r="I1366">
        <f>(3.4+3.7)/2</f>
        <v>3.55</v>
      </c>
      <c r="J1366" t="s">
        <v>0</v>
      </c>
      <c r="K1366">
        <f t="shared" si="120"/>
        <v>1.9436619718309862</v>
      </c>
      <c r="L1366">
        <f t="shared" si="121"/>
        <v>0.56349206349206349</v>
      </c>
    </row>
    <row r="1367" spans="1:13" x14ac:dyDescent="0.25">
      <c r="A1367">
        <v>50718</v>
      </c>
      <c r="B1367" t="s">
        <v>18</v>
      </c>
      <c r="C1367">
        <v>17</v>
      </c>
      <c r="D1367">
        <v>4</v>
      </c>
      <c r="E1367">
        <f>79*2</f>
        <v>158</v>
      </c>
      <c r="F1367">
        <v>6</v>
      </c>
      <c r="G1367">
        <v>4</v>
      </c>
      <c r="H1367">
        <v>3.4</v>
      </c>
      <c r="I1367">
        <v>3.2</v>
      </c>
      <c r="K1367">
        <f t="shared" si="120"/>
        <v>1.25</v>
      </c>
      <c r="L1367">
        <f t="shared" si="121"/>
        <v>0.53333333333333333</v>
      </c>
    </row>
    <row r="1368" spans="1:13" x14ac:dyDescent="0.25">
      <c r="A1368">
        <v>50718</v>
      </c>
      <c r="B1368" t="s">
        <v>18</v>
      </c>
      <c r="C1368">
        <v>17</v>
      </c>
      <c r="D1368">
        <v>5</v>
      </c>
      <c r="E1368">
        <f>91*2</f>
        <v>182</v>
      </c>
      <c r="F1368">
        <v>5.4</v>
      </c>
      <c r="G1368">
        <v>5.8</v>
      </c>
      <c r="I1368">
        <f>(2.2+4.6)/2</f>
        <v>3.4</v>
      </c>
      <c r="J1368" t="s">
        <v>0</v>
      </c>
      <c r="K1368">
        <f t="shared" si="120"/>
        <v>1.7058823529411764</v>
      </c>
      <c r="L1368">
        <f t="shared" si="121"/>
        <v>0.62962962962962954</v>
      </c>
    </row>
    <row r="1369" spans="1:13" x14ac:dyDescent="0.25">
      <c r="A1369">
        <v>50718</v>
      </c>
      <c r="B1369" t="s">
        <v>18</v>
      </c>
      <c r="C1369">
        <v>17</v>
      </c>
      <c r="D1369">
        <v>6</v>
      </c>
      <c r="E1369">
        <f>128*2</f>
        <v>256</v>
      </c>
      <c r="F1369">
        <v>4.8</v>
      </c>
      <c r="M1369" t="s">
        <v>2</v>
      </c>
    </row>
    <row r="1370" spans="1:13" x14ac:dyDescent="0.25">
      <c r="A1370">
        <v>50718</v>
      </c>
      <c r="B1370" t="s">
        <v>18</v>
      </c>
      <c r="C1370">
        <v>17</v>
      </c>
      <c r="D1370">
        <v>7</v>
      </c>
      <c r="E1370">
        <f>163*2</f>
        <v>326</v>
      </c>
      <c r="F1370">
        <v>3.7</v>
      </c>
      <c r="G1370">
        <v>2.6</v>
      </c>
      <c r="H1370">
        <v>2.8</v>
      </c>
      <c r="I1370">
        <v>2.9</v>
      </c>
      <c r="K1370">
        <f t="shared" si="120"/>
        <v>0.89655172413793105</v>
      </c>
      <c r="L1370">
        <f t="shared" si="121"/>
        <v>0.78378378378378377</v>
      </c>
    </row>
    <row r="1371" spans="1:13" x14ac:dyDescent="0.25">
      <c r="A1371">
        <v>50718</v>
      </c>
      <c r="B1371" t="s">
        <v>18</v>
      </c>
      <c r="C1371">
        <v>17</v>
      </c>
      <c r="D1371">
        <v>8</v>
      </c>
      <c r="E1371">
        <f>174*2</f>
        <v>348</v>
      </c>
      <c r="F1371">
        <v>3.6</v>
      </c>
      <c r="M1371" t="s">
        <v>13</v>
      </c>
    </row>
    <row r="1372" spans="1:13" x14ac:dyDescent="0.25">
      <c r="A1372">
        <v>50718</v>
      </c>
      <c r="B1372" t="s">
        <v>18</v>
      </c>
      <c r="C1372">
        <v>18</v>
      </c>
      <c r="D1372">
        <v>1</v>
      </c>
      <c r="E1372">
        <f>38*2</f>
        <v>76</v>
      </c>
      <c r="F1372">
        <v>5.3</v>
      </c>
      <c r="M1372" t="s">
        <v>2</v>
      </c>
    </row>
    <row r="1373" spans="1:13" x14ac:dyDescent="0.25">
      <c r="A1373">
        <v>50718</v>
      </c>
      <c r="B1373" t="s">
        <v>18</v>
      </c>
      <c r="C1373">
        <v>18</v>
      </c>
      <c r="D1373">
        <v>2</v>
      </c>
      <c r="E1373">
        <f>41*2</f>
        <v>82</v>
      </c>
      <c r="F1373">
        <v>3.5</v>
      </c>
      <c r="M1373" t="s">
        <v>2</v>
      </c>
    </row>
    <row r="1374" spans="1:13" x14ac:dyDescent="0.25">
      <c r="A1374">
        <v>50718</v>
      </c>
      <c r="B1374" t="s">
        <v>18</v>
      </c>
      <c r="C1374">
        <v>18</v>
      </c>
      <c r="D1374">
        <v>3</v>
      </c>
      <c r="E1374">
        <f>106*2</f>
        <v>212</v>
      </c>
      <c r="F1374">
        <v>4.8</v>
      </c>
      <c r="M1374" t="s">
        <v>2</v>
      </c>
    </row>
    <row r="1375" spans="1:13" x14ac:dyDescent="0.25">
      <c r="A1375">
        <v>50718</v>
      </c>
      <c r="B1375" t="s">
        <v>18</v>
      </c>
      <c r="C1375">
        <v>19</v>
      </c>
      <c r="D1375">
        <v>1</v>
      </c>
      <c r="E1375">
        <f>140*2</f>
        <v>280</v>
      </c>
      <c r="F1375">
        <v>10.7</v>
      </c>
      <c r="G1375">
        <v>3.5</v>
      </c>
      <c r="H1375">
        <v>9.3000000000000007</v>
      </c>
      <c r="I1375">
        <v>6</v>
      </c>
      <c r="K1375">
        <f t="shared" si="120"/>
        <v>0.58333333333333337</v>
      </c>
      <c r="L1375">
        <f t="shared" si="121"/>
        <v>0.56074766355140193</v>
      </c>
    </row>
    <row r="1376" spans="1:13" x14ac:dyDescent="0.25">
      <c r="A1376">
        <v>50718</v>
      </c>
      <c r="B1376" t="s">
        <v>18</v>
      </c>
      <c r="C1376">
        <v>19</v>
      </c>
      <c r="D1376">
        <v>2</v>
      </c>
      <c r="E1376">
        <f>161*2</f>
        <v>322</v>
      </c>
      <c r="F1376">
        <v>10.9</v>
      </c>
      <c r="G1376">
        <v>3.7</v>
      </c>
      <c r="H1376">
        <v>5</v>
      </c>
      <c r="I1376">
        <v>4.9000000000000004</v>
      </c>
      <c r="K1376">
        <f t="shared" si="120"/>
        <v>0.75510204081632648</v>
      </c>
      <c r="L1376">
        <f t="shared" si="121"/>
        <v>0.44954128440366975</v>
      </c>
    </row>
    <row r="1377" spans="1:13" x14ac:dyDescent="0.25">
      <c r="A1377">
        <v>50718</v>
      </c>
      <c r="B1377" t="s">
        <v>18</v>
      </c>
      <c r="C1377">
        <v>19</v>
      </c>
      <c r="D1377">
        <v>3</v>
      </c>
      <c r="E1377">
        <f>224*2</f>
        <v>448</v>
      </c>
      <c r="F1377">
        <v>9.9</v>
      </c>
      <c r="G1377">
        <v>2.4</v>
      </c>
      <c r="H1377">
        <v>6.7</v>
      </c>
      <c r="I1377">
        <v>4.5999999999999996</v>
      </c>
      <c r="K1377">
        <f t="shared" si="120"/>
        <v>0.52173913043478259</v>
      </c>
      <c r="L1377">
        <f t="shared" si="121"/>
        <v>0.46464646464646459</v>
      </c>
    </row>
    <row r="1378" spans="1:13" x14ac:dyDescent="0.25">
      <c r="A1378">
        <v>50718</v>
      </c>
      <c r="B1378" t="s">
        <v>18</v>
      </c>
      <c r="C1378">
        <v>19</v>
      </c>
      <c r="D1378">
        <v>4</v>
      </c>
      <c r="E1378">
        <f>246*2</f>
        <v>492</v>
      </c>
      <c r="F1378">
        <v>12</v>
      </c>
      <c r="G1378">
        <v>2.9</v>
      </c>
      <c r="H1378">
        <v>6.7</v>
      </c>
      <c r="I1378">
        <v>4.3</v>
      </c>
      <c r="K1378">
        <f t="shared" si="120"/>
        <v>0.67441860465116277</v>
      </c>
      <c r="L1378">
        <f t="shared" si="121"/>
        <v>0.35833333333333334</v>
      </c>
    </row>
    <row r="1379" spans="1:13" x14ac:dyDescent="0.25">
      <c r="A1379">
        <v>50718</v>
      </c>
      <c r="B1379" t="s">
        <v>18</v>
      </c>
      <c r="C1379">
        <v>19</v>
      </c>
      <c r="D1379">
        <v>5</v>
      </c>
      <c r="E1379">
        <f>247*2</f>
        <v>494</v>
      </c>
      <c r="F1379">
        <v>11.6</v>
      </c>
      <c r="G1379">
        <v>2.9</v>
      </c>
      <c r="H1379">
        <v>2.9</v>
      </c>
      <c r="I1379">
        <v>3.7</v>
      </c>
      <c r="K1379">
        <f t="shared" si="120"/>
        <v>0.78378378378378377</v>
      </c>
      <c r="L1379">
        <f t="shared" si="121"/>
        <v>0.31896551724137934</v>
      </c>
    </row>
    <row r="1380" spans="1:13" x14ac:dyDescent="0.25">
      <c r="A1380">
        <v>50718</v>
      </c>
      <c r="B1380" t="s">
        <v>18</v>
      </c>
      <c r="C1380">
        <v>19</v>
      </c>
      <c r="D1380">
        <v>6</v>
      </c>
      <c r="E1380">
        <f>310*2</f>
        <v>620</v>
      </c>
      <c r="F1380">
        <v>7.9</v>
      </c>
      <c r="G1380">
        <v>3.4</v>
      </c>
      <c r="H1380">
        <v>3.8</v>
      </c>
      <c r="I1380">
        <v>3.6</v>
      </c>
      <c r="K1380">
        <f t="shared" si="120"/>
        <v>0.94444444444444442</v>
      </c>
      <c r="L1380">
        <f t="shared" si="121"/>
        <v>0.45569620253164556</v>
      </c>
    </row>
    <row r="1381" spans="1:13" x14ac:dyDescent="0.25">
      <c r="A1381">
        <v>50718</v>
      </c>
      <c r="B1381" t="s">
        <v>18</v>
      </c>
      <c r="C1381">
        <v>19</v>
      </c>
      <c r="D1381">
        <v>7</v>
      </c>
      <c r="E1381">
        <f>331*2</f>
        <v>662</v>
      </c>
      <c r="F1381">
        <v>10.6</v>
      </c>
      <c r="G1381">
        <v>3.3</v>
      </c>
      <c r="H1381">
        <v>4.2</v>
      </c>
      <c r="I1381">
        <v>4.5999999999999996</v>
      </c>
      <c r="K1381">
        <f t="shared" si="120"/>
        <v>0.71739130434782605</v>
      </c>
      <c r="L1381">
        <f t="shared" si="121"/>
        <v>0.43396226415094336</v>
      </c>
      <c r="M1381" t="s">
        <v>9</v>
      </c>
    </row>
    <row r="1382" spans="1:13" x14ac:dyDescent="0.25">
      <c r="A1382">
        <v>50718</v>
      </c>
      <c r="B1382" t="s">
        <v>18</v>
      </c>
      <c r="C1382">
        <v>20</v>
      </c>
      <c r="D1382">
        <v>1</v>
      </c>
      <c r="E1382">
        <f>185*2</f>
        <v>370</v>
      </c>
      <c r="F1382">
        <v>10</v>
      </c>
      <c r="G1382">
        <v>2.6</v>
      </c>
      <c r="H1382">
        <v>4.0999999999999996</v>
      </c>
      <c r="I1382">
        <v>4.8</v>
      </c>
      <c r="K1382">
        <f t="shared" si="120"/>
        <v>0.54166666666666674</v>
      </c>
      <c r="L1382">
        <f t="shared" si="121"/>
        <v>0.48</v>
      </c>
    </row>
    <row r="1383" spans="1:13" x14ac:dyDescent="0.25">
      <c r="A1383">
        <v>50718</v>
      </c>
      <c r="B1383" t="s">
        <v>18</v>
      </c>
      <c r="C1383">
        <v>20</v>
      </c>
      <c r="D1383">
        <v>2</v>
      </c>
      <c r="E1383">
        <f>199*2</f>
        <v>398</v>
      </c>
      <c r="F1383">
        <v>10.5</v>
      </c>
      <c r="G1383">
        <v>5.7</v>
      </c>
      <c r="H1383">
        <v>7.1</v>
      </c>
      <c r="I1383">
        <v>6.7</v>
      </c>
      <c r="K1383">
        <f t="shared" si="120"/>
        <v>0.85074626865671643</v>
      </c>
      <c r="L1383">
        <f t="shared" si="121"/>
        <v>0.63809523809523816</v>
      </c>
    </row>
    <row r="1384" spans="1:13" x14ac:dyDescent="0.25">
      <c r="A1384">
        <v>50718</v>
      </c>
      <c r="B1384" t="s">
        <v>18</v>
      </c>
      <c r="C1384">
        <v>20</v>
      </c>
      <c r="D1384">
        <v>3</v>
      </c>
      <c r="E1384">
        <f>271*2</f>
        <v>542</v>
      </c>
      <c r="F1384">
        <v>8</v>
      </c>
      <c r="G1384">
        <v>3</v>
      </c>
      <c r="H1384">
        <v>3.7</v>
      </c>
      <c r="I1384">
        <v>3.4</v>
      </c>
      <c r="K1384">
        <f t="shared" si="120"/>
        <v>0.88235294117647056</v>
      </c>
      <c r="L1384">
        <f t="shared" si="121"/>
        <v>0.42499999999999999</v>
      </c>
    </row>
    <row r="1385" spans="1:13" x14ac:dyDescent="0.25">
      <c r="A1385">
        <v>50718</v>
      </c>
      <c r="B1385" t="s">
        <v>18</v>
      </c>
      <c r="C1385">
        <v>20</v>
      </c>
      <c r="D1385">
        <v>4</v>
      </c>
      <c r="E1385">
        <f>291*2</f>
        <v>582</v>
      </c>
      <c r="F1385">
        <v>7</v>
      </c>
      <c r="G1385">
        <v>3.2</v>
      </c>
      <c r="H1385">
        <v>3.4</v>
      </c>
      <c r="I1385">
        <v>3.7</v>
      </c>
      <c r="K1385">
        <f t="shared" si="120"/>
        <v>0.86486486486486491</v>
      </c>
      <c r="L1385">
        <f t="shared" si="121"/>
        <v>0.52857142857142858</v>
      </c>
      <c r="M1385" t="s">
        <v>9</v>
      </c>
    </row>
    <row r="1386" spans="1:13" x14ac:dyDescent="0.25">
      <c r="A1386">
        <v>50718</v>
      </c>
      <c r="B1386" t="s">
        <v>18</v>
      </c>
      <c r="C1386">
        <v>20</v>
      </c>
      <c r="D1386">
        <v>5</v>
      </c>
      <c r="E1386">
        <f>297*2</f>
        <v>594</v>
      </c>
      <c r="F1386">
        <v>9.1</v>
      </c>
      <c r="G1386">
        <v>3.3</v>
      </c>
      <c r="H1386">
        <v>4.5</v>
      </c>
      <c r="I1386">
        <v>3.9</v>
      </c>
      <c r="K1386">
        <f t="shared" si="120"/>
        <v>0.84615384615384615</v>
      </c>
      <c r="L1386">
        <f t="shared" si="121"/>
        <v>0.4285714285714286</v>
      </c>
      <c r="M1386" t="s">
        <v>9</v>
      </c>
    </row>
    <row r="1387" spans="1:13" x14ac:dyDescent="0.25">
      <c r="A1387">
        <v>50718</v>
      </c>
      <c r="B1387" t="s">
        <v>18</v>
      </c>
      <c r="C1387">
        <v>21</v>
      </c>
      <c r="D1387">
        <v>1</v>
      </c>
      <c r="E1387">
        <f>198*2</f>
        <v>396</v>
      </c>
      <c r="F1387">
        <v>10.9</v>
      </c>
      <c r="G1387">
        <v>5.2</v>
      </c>
      <c r="H1387">
        <v>4.5</v>
      </c>
      <c r="I1387">
        <v>3.8</v>
      </c>
      <c r="K1387">
        <f t="shared" si="120"/>
        <v>1.368421052631579</v>
      </c>
      <c r="L1387">
        <f t="shared" si="121"/>
        <v>0.34862385321100914</v>
      </c>
    </row>
    <row r="1388" spans="1:13" x14ac:dyDescent="0.25">
      <c r="A1388">
        <v>50718</v>
      </c>
      <c r="B1388" t="s">
        <v>18</v>
      </c>
      <c r="C1388">
        <v>21</v>
      </c>
      <c r="D1388">
        <v>2</v>
      </c>
      <c r="E1388">
        <f>202*2</f>
        <v>404</v>
      </c>
      <c r="F1388">
        <v>9.6</v>
      </c>
      <c r="G1388">
        <v>3.5</v>
      </c>
      <c r="H1388">
        <v>4.3</v>
      </c>
      <c r="I1388">
        <v>5.0999999999999996</v>
      </c>
      <c r="K1388">
        <f t="shared" ref="K1388:K1448" si="122">G1388/I1388</f>
        <v>0.68627450980392157</v>
      </c>
      <c r="L1388">
        <f t="shared" ref="L1388:L1448" si="123">I1388/F1388</f>
        <v>0.53125</v>
      </c>
    </row>
    <row r="1389" spans="1:13" x14ac:dyDescent="0.25">
      <c r="A1389">
        <v>50718</v>
      </c>
      <c r="B1389" t="s">
        <v>18</v>
      </c>
      <c r="C1389">
        <v>21</v>
      </c>
      <c r="D1389">
        <v>3</v>
      </c>
      <c r="E1389">
        <f>229*2</f>
        <v>458</v>
      </c>
      <c r="F1389">
        <v>11.3</v>
      </c>
      <c r="G1389">
        <v>3.8</v>
      </c>
      <c r="H1389">
        <v>5.5</v>
      </c>
      <c r="I1389">
        <v>4.3</v>
      </c>
      <c r="K1389">
        <f t="shared" si="122"/>
        <v>0.88372093023255816</v>
      </c>
      <c r="L1389">
        <f t="shared" si="123"/>
        <v>0.38053097345132741</v>
      </c>
    </row>
    <row r="1390" spans="1:13" x14ac:dyDescent="0.25">
      <c r="A1390">
        <v>50718</v>
      </c>
      <c r="B1390" t="s">
        <v>18</v>
      </c>
      <c r="C1390">
        <v>21</v>
      </c>
      <c r="D1390">
        <v>4</v>
      </c>
      <c r="E1390">
        <f>234*2</f>
        <v>468</v>
      </c>
      <c r="F1390">
        <v>10.1</v>
      </c>
      <c r="G1390">
        <v>2.9</v>
      </c>
      <c r="H1390">
        <v>3.9</v>
      </c>
      <c r="I1390">
        <v>5</v>
      </c>
      <c r="K1390">
        <f t="shared" si="122"/>
        <v>0.57999999999999996</v>
      </c>
      <c r="L1390">
        <f t="shared" si="123"/>
        <v>0.49504950495049505</v>
      </c>
    </row>
    <row r="1391" spans="1:13" x14ac:dyDescent="0.25">
      <c r="A1391">
        <v>50718</v>
      </c>
      <c r="B1391" t="s">
        <v>18</v>
      </c>
      <c r="C1391">
        <v>21</v>
      </c>
      <c r="D1391">
        <v>5</v>
      </c>
      <c r="E1391">
        <f>287*2</f>
        <v>574</v>
      </c>
      <c r="F1391">
        <v>10.7</v>
      </c>
      <c r="G1391">
        <v>3.6</v>
      </c>
      <c r="H1391">
        <v>4.4000000000000004</v>
      </c>
      <c r="I1391">
        <v>3.7</v>
      </c>
      <c r="K1391">
        <f t="shared" si="122"/>
        <v>0.97297297297297292</v>
      </c>
      <c r="L1391">
        <f t="shared" si="123"/>
        <v>0.34579439252336452</v>
      </c>
      <c r="M1391" t="s">
        <v>9</v>
      </c>
    </row>
    <row r="1392" spans="1:13" x14ac:dyDescent="0.25">
      <c r="A1392">
        <v>50718</v>
      </c>
      <c r="B1392" t="s">
        <v>18</v>
      </c>
      <c r="C1392">
        <v>22</v>
      </c>
      <c r="D1392">
        <v>1</v>
      </c>
      <c r="E1392">
        <f>118*2</f>
        <v>236</v>
      </c>
      <c r="F1392">
        <v>8.1999999999999993</v>
      </c>
      <c r="G1392">
        <v>3.2</v>
      </c>
      <c r="H1392">
        <v>6</v>
      </c>
      <c r="I1392">
        <v>3.5</v>
      </c>
      <c r="K1392">
        <f t="shared" si="122"/>
        <v>0.91428571428571437</v>
      </c>
      <c r="L1392">
        <f t="shared" si="123"/>
        <v>0.42682926829268297</v>
      </c>
    </row>
    <row r="1393" spans="1:13" x14ac:dyDescent="0.25">
      <c r="A1393">
        <v>50718</v>
      </c>
      <c r="B1393" t="s">
        <v>18</v>
      </c>
      <c r="C1393">
        <v>22</v>
      </c>
      <c r="D1393">
        <v>2</v>
      </c>
      <c r="E1393">
        <f>125*2</f>
        <v>250</v>
      </c>
      <c r="F1393">
        <v>7.9</v>
      </c>
      <c r="G1393">
        <v>4.5</v>
      </c>
      <c r="I1393">
        <f>(3.3+4.5)/2</f>
        <v>3.9</v>
      </c>
      <c r="J1393" t="s">
        <v>0</v>
      </c>
      <c r="K1393">
        <f t="shared" si="122"/>
        <v>1.153846153846154</v>
      </c>
      <c r="L1393">
        <f t="shared" si="123"/>
        <v>0.49367088607594933</v>
      </c>
    </row>
    <row r="1394" spans="1:13" x14ac:dyDescent="0.25">
      <c r="A1394">
        <v>50718</v>
      </c>
      <c r="B1394" t="s">
        <v>18</v>
      </c>
      <c r="C1394">
        <v>22</v>
      </c>
      <c r="D1394">
        <v>3</v>
      </c>
      <c r="E1394">
        <f>153*2</f>
        <v>306</v>
      </c>
      <c r="F1394">
        <v>8.6999999999999993</v>
      </c>
      <c r="G1394">
        <v>3.5</v>
      </c>
      <c r="H1394">
        <v>4.3</v>
      </c>
      <c r="I1394">
        <v>4.4000000000000004</v>
      </c>
      <c r="K1394">
        <f t="shared" si="122"/>
        <v>0.79545454545454541</v>
      </c>
      <c r="L1394">
        <f t="shared" si="123"/>
        <v>0.50574712643678166</v>
      </c>
    </row>
    <row r="1395" spans="1:13" x14ac:dyDescent="0.25">
      <c r="A1395">
        <v>50718</v>
      </c>
      <c r="B1395" t="s">
        <v>18</v>
      </c>
      <c r="C1395">
        <v>22</v>
      </c>
      <c r="D1395">
        <v>4</v>
      </c>
      <c r="E1395">
        <f>184*2</f>
        <v>368</v>
      </c>
      <c r="F1395">
        <v>7.9</v>
      </c>
      <c r="G1395">
        <v>4.5999999999999996</v>
      </c>
      <c r="H1395">
        <v>6</v>
      </c>
      <c r="I1395">
        <v>4.3</v>
      </c>
      <c r="K1395">
        <f t="shared" si="122"/>
        <v>1.069767441860465</v>
      </c>
      <c r="L1395">
        <f t="shared" si="123"/>
        <v>0.54430379746835433</v>
      </c>
    </row>
    <row r="1396" spans="1:13" x14ac:dyDescent="0.25">
      <c r="A1396">
        <v>50718</v>
      </c>
      <c r="B1396" t="s">
        <v>18</v>
      </c>
      <c r="C1396">
        <v>22</v>
      </c>
      <c r="D1396">
        <v>5</v>
      </c>
      <c r="E1396">
        <f>218*2</f>
        <v>436</v>
      </c>
      <c r="F1396">
        <v>6.4</v>
      </c>
      <c r="M1396" t="s">
        <v>2</v>
      </c>
    </row>
    <row r="1397" spans="1:13" x14ac:dyDescent="0.25">
      <c r="A1397">
        <v>50718</v>
      </c>
      <c r="B1397" t="s">
        <v>18</v>
      </c>
      <c r="C1397">
        <v>22</v>
      </c>
      <c r="D1397">
        <v>6</v>
      </c>
      <c r="E1397">
        <f>244*2</f>
        <v>488</v>
      </c>
      <c r="F1397">
        <v>5.3</v>
      </c>
      <c r="G1397">
        <v>2.7</v>
      </c>
      <c r="H1397">
        <v>2.4</v>
      </c>
      <c r="I1397">
        <v>3.1</v>
      </c>
      <c r="K1397">
        <f t="shared" si="122"/>
        <v>0.87096774193548387</v>
      </c>
      <c r="L1397">
        <f t="shared" si="123"/>
        <v>0.58490566037735847</v>
      </c>
    </row>
    <row r="1398" spans="1:13" x14ac:dyDescent="0.25">
      <c r="A1398">
        <v>50718</v>
      </c>
      <c r="B1398" t="s">
        <v>18</v>
      </c>
      <c r="C1398">
        <v>22</v>
      </c>
      <c r="D1398">
        <v>7</v>
      </c>
      <c r="E1398">
        <f>256*2</f>
        <v>512</v>
      </c>
      <c r="F1398">
        <v>7</v>
      </c>
      <c r="G1398">
        <v>2.9</v>
      </c>
      <c r="H1398">
        <v>2.7</v>
      </c>
      <c r="I1398">
        <v>2.5</v>
      </c>
      <c r="K1398">
        <f t="shared" si="122"/>
        <v>1.1599999999999999</v>
      </c>
      <c r="L1398">
        <f t="shared" si="123"/>
        <v>0.35714285714285715</v>
      </c>
      <c r="M1398" t="s">
        <v>9</v>
      </c>
    </row>
    <row r="1399" spans="1:13" x14ac:dyDescent="0.25">
      <c r="A1399">
        <v>270918</v>
      </c>
      <c r="B1399" t="s">
        <v>18</v>
      </c>
      <c r="C1399">
        <v>3</v>
      </c>
      <c r="D1399">
        <v>1</v>
      </c>
      <c r="E1399">
        <v>84</v>
      </c>
      <c r="F1399">
        <v>12.4</v>
      </c>
      <c r="G1399">
        <v>3.2</v>
      </c>
      <c r="H1399">
        <v>4.5999999999999996</v>
      </c>
      <c r="I1399">
        <v>5.2</v>
      </c>
      <c r="K1399">
        <f t="shared" si="122"/>
        <v>0.61538461538461542</v>
      </c>
      <c r="L1399">
        <f t="shared" si="123"/>
        <v>0.41935483870967744</v>
      </c>
    </row>
    <row r="1400" spans="1:13" x14ac:dyDescent="0.25">
      <c r="A1400">
        <v>270918</v>
      </c>
      <c r="B1400" t="s">
        <v>18</v>
      </c>
      <c r="C1400">
        <v>3</v>
      </c>
      <c r="D1400">
        <v>2</v>
      </c>
      <c r="E1400">
        <v>224</v>
      </c>
      <c r="F1400">
        <v>10.199999999999999</v>
      </c>
      <c r="G1400">
        <v>2.2999999999999998</v>
      </c>
      <c r="H1400">
        <v>6</v>
      </c>
      <c r="I1400">
        <v>3.9</v>
      </c>
      <c r="K1400">
        <f t="shared" si="122"/>
        <v>0.58974358974358976</v>
      </c>
      <c r="L1400">
        <f t="shared" si="123"/>
        <v>0.38235294117647062</v>
      </c>
    </row>
    <row r="1401" spans="1:13" x14ac:dyDescent="0.25">
      <c r="A1401">
        <v>270918</v>
      </c>
      <c r="B1401" t="s">
        <v>18</v>
      </c>
      <c r="C1401">
        <v>3</v>
      </c>
      <c r="D1401">
        <v>3</v>
      </c>
      <c r="E1401">
        <v>376</v>
      </c>
      <c r="F1401">
        <v>12.1</v>
      </c>
      <c r="G1401">
        <v>5.3</v>
      </c>
      <c r="H1401">
        <v>6.8</v>
      </c>
      <c r="I1401">
        <v>6.3</v>
      </c>
      <c r="K1401">
        <f t="shared" si="122"/>
        <v>0.84126984126984128</v>
      </c>
      <c r="L1401">
        <f t="shared" si="123"/>
        <v>0.52066115702479343</v>
      </c>
    </row>
    <row r="1402" spans="1:13" x14ac:dyDescent="0.25">
      <c r="A1402">
        <v>270918</v>
      </c>
      <c r="B1402" t="s">
        <v>18</v>
      </c>
      <c r="C1402">
        <v>3</v>
      </c>
      <c r="D1402">
        <v>4</v>
      </c>
      <c r="E1402">
        <v>400</v>
      </c>
      <c r="F1402">
        <v>9.1999999999999993</v>
      </c>
      <c r="G1402">
        <v>4.7</v>
      </c>
      <c r="H1402">
        <v>7.4</v>
      </c>
      <c r="I1402">
        <v>4.7</v>
      </c>
      <c r="K1402">
        <f t="shared" si="122"/>
        <v>1</v>
      </c>
      <c r="L1402">
        <f t="shared" si="123"/>
        <v>0.51086956521739135</v>
      </c>
    </row>
    <row r="1403" spans="1:13" x14ac:dyDescent="0.25">
      <c r="A1403">
        <v>270918</v>
      </c>
      <c r="B1403" t="s">
        <v>18</v>
      </c>
      <c r="C1403">
        <v>1</v>
      </c>
      <c r="D1403">
        <v>1</v>
      </c>
      <c r="E1403">
        <v>128</v>
      </c>
      <c r="F1403">
        <v>16.100000000000001</v>
      </c>
      <c r="G1403">
        <v>8.1999999999999993</v>
      </c>
      <c r="H1403">
        <v>11.3</v>
      </c>
      <c r="I1403">
        <v>8.5</v>
      </c>
      <c r="K1403">
        <f t="shared" si="122"/>
        <v>0.96470588235294108</v>
      </c>
      <c r="L1403">
        <f t="shared" si="123"/>
        <v>0.52795031055900621</v>
      </c>
    </row>
    <row r="1404" spans="1:13" x14ac:dyDescent="0.25">
      <c r="A1404">
        <v>270918</v>
      </c>
      <c r="B1404" t="s">
        <v>18</v>
      </c>
      <c r="C1404">
        <v>1</v>
      </c>
      <c r="D1404">
        <v>2</v>
      </c>
      <c r="E1404">
        <v>362</v>
      </c>
      <c r="F1404">
        <v>17.5</v>
      </c>
      <c r="G1404">
        <v>4.2</v>
      </c>
      <c r="H1404">
        <v>8.1</v>
      </c>
      <c r="I1404">
        <v>5.6</v>
      </c>
      <c r="K1404">
        <f t="shared" si="122"/>
        <v>0.75000000000000011</v>
      </c>
      <c r="L1404">
        <f t="shared" si="123"/>
        <v>0.32</v>
      </c>
    </row>
    <row r="1405" spans="1:13" x14ac:dyDescent="0.25">
      <c r="A1405">
        <v>270918</v>
      </c>
      <c r="B1405" t="s">
        <v>18</v>
      </c>
      <c r="C1405">
        <v>2</v>
      </c>
      <c r="D1405">
        <v>1</v>
      </c>
      <c r="E1405">
        <v>300</v>
      </c>
      <c r="F1405">
        <v>10.9</v>
      </c>
      <c r="G1405">
        <v>5.9</v>
      </c>
      <c r="H1405">
        <v>8.3000000000000007</v>
      </c>
      <c r="I1405">
        <v>6.5</v>
      </c>
      <c r="K1405">
        <f t="shared" si="122"/>
        <v>0.9076923076923078</v>
      </c>
      <c r="L1405">
        <f t="shared" si="123"/>
        <v>0.59633027522935778</v>
      </c>
    </row>
    <row r="1406" spans="1:13" x14ac:dyDescent="0.25">
      <c r="A1406">
        <v>270918</v>
      </c>
      <c r="B1406" t="s">
        <v>18</v>
      </c>
      <c r="C1406">
        <v>2</v>
      </c>
      <c r="D1406">
        <v>2</v>
      </c>
      <c r="E1406">
        <v>408</v>
      </c>
      <c r="J1406" t="s">
        <v>0</v>
      </c>
    </row>
    <row r="1407" spans="1:13" x14ac:dyDescent="0.25">
      <c r="A1407">
        <v>270918</v>
      </c>
      <c r="B1407" t="s">
        <v>18</v>
      </c>
      <c r="C1407">
        <v>2</v>
      </c>
      <c r="D1407">
        <v>3</v>
      </c>
      <c r="E1407">
        <v>488</v>
      </c>
      <c r="F1407">
        <v>9.1</v>
      </c>
      <c r="G1407">
        <v>3.6</v>
      </c>
      <c r="H1407">
        <v>3.6</v>
      </c>
      <c r="I1407">
        <v>3.5</v>
      </c>
      <c r="K1407">
        <f t="shared" si="122"/>
        <v>1.0285714285714287</v>
      </c>
      <c r="L1407">
        <f t="shared" si="123"/>
        <v>0.38461538461538464</v>
      </c>
    </row>
    <row r="1408" spans="1:13" x14ac:dyDescent="0.25">
      <c r="A1408">
        <v>270918</v>
      </c>
      <c r="B1408" t="s">
        <v>18</v>
      </c>
      <c r="C1408">
        <v>4</v>
      </c>
      <c r="D1408">
        <v>1</v>
      </c>
      <c r="E1408">
        <v>168</v>
      </c>
      <c r="F1408">
        <v>20.399999999999999</v>
      </c>
      <c r="G1408">
        <v>8.1999999999999993</v>
      </c>
      <c r="H1408">
        <v>8.8000000000000007</v>
      </c>
      <c r="I1408">
        <v>9.1999999999999993</v>
      </c>
      <c r="K1408">
        <f t="shared" si="122"/>
        <v>0.89130434782608692</v>
      </c>
      <c r="L1408">
        <f t="shared" si="123"/>
        <v>0.45098039215686275</v>
      </c>
    </row>
    <row r="1409" spans="1:13" x14ac:dyDescent="0.25">
      <c r="A1409">
        <v>270918</v>
      </c>
      <c r="B1409" t="s">
        <v>18</v>
      </c>
      <c r="C1409">
        <v>4</v>
      </c>
      <c r="D1409">
        <v>2</v>
      </c>
      <c r="E1409">
        <v>346</v>
      </c>
      <c r="F1409">
        <v>16.5</v>
      </c>
      <c r="G1409">
        <v>7.7</v>
      </c>
      <c r="H1409">
        <v>9.9</v>
      </c>
      <c r="I1409">
        <v>9</v>
      </c>
      <c r="K1409">
        <f t="shared" si="122"/>
        <v>0.85555555555555562</v>
      </c>
      <c r="L1409">
        <f t="shared" si="123"/>
        <v>0.54545454545454541</v>
      </c>
      <c r="M1409" t="s">
        <v>9</v>
      </c>
    </row>
    <row r="1410" spans="1:13" x14ac:dyDescent="0.25">
      <c r="A1410">
        <v>270918</v>
      </c>
      <c r="B1410" t="s">
        <v>18</v>
      </c>
      <c r="C1410">
        <v>5</v>
      </c>
      <c r="D1410">
        <v>1</v>
      </c>
      <c r="E1410">
        <v>96</v>
      </c>
      <c r="F1410">
        <v>7.2</v>
      </c>
      <c r="G1410">
        <v>2.2000000000000002</v>
      </c>
      <c r="H1410">
        <v>6.7</v>
      </c>
      <c r="I1410">
        <v>3.7</v>
      </c>
      <c r="K1410">
        <f t="shared" si="122"/>
        <v>0.59459459459459463</v>
      </c>
      <c r="L1410">
        <f t="shared" si="123"/>
        <v>0.51388888888888895</v>
      </c>
    </row>
    <row r="1411" spans="1:13" x14ac:dyDescent="0.25">
      <c r="A1411">
        <v>270918</v>
      </c>
      <c r="B1411" t="s">
        <v>18</v>
      </c>
      <c r="C1411">
        <v>5</v>
      </c>
      <c r="D1411">
        <v>2</v>
      </c>
      <c r="E1411">
        <v>206</v>
      </c>
      <c r="F1411">
        <v>8.6999999999999993</v>
      </c>
      <c r="G1411">
        <v>3.9</v>
      </c>
      <c r="H1411">
        <v>4.3</v>
      </c>
      <c r="I1411">
        <v>4.5</v>
      </c>
      <c r="K1411">
        <f t="shared" si="122"/>
        <v>0.8666666666666667</v>
      </c>
      <c r="L1411">
        <f t="shared" si="123"/>
        <v>0.51724137931034486</v>
      </c>
    </row>
    <row r="1412" spans="1:13" x14ac:dyDescent="0.25">
      <c r="A1412">
        <v>270918</v>
      </c>
      <c r="B1412" t="s">
        <v>18</v>
      </c>
      <c r="C1412">
        <v>5</v>
      </c>
      <c r="D1412">
        <v>3</v>
      </c>
      <c r="E1412">
        <v>288</v>
      </c>
      <c r="J1412" t="s">
        <v>0</v>
      </c>
    </row>
    <row r="1413" spans="1:13" x14ac:dyDescent="0.25">
      <c r="A1413">
        <v>270918</v>
      </c>
      <c r="B1413" t="s">
        <v>18</v>
      </c>
      <c r="C1413">
        <v>5</v>
      </c>
      <c r="D1413">
        <v>4</v>
      </c>
      <c r="E1413">
        <v>350</v>
      </c>
      <c r="F1413">
        <v>8.1</v>
      </c>
      <c r="G1413">
        <v>2.5</v>
      </c>
      <c r="H1413">
        <v>4</v>
      </c>
      <c r="I1413">
        <v>4.5999999999999996</v>
      </c>
      <c r="K1413">
        <f t="shared" si="122"/>
        <v>0.5434782608695653</v>
      </c>
      <c r="L1413">
        <f t="shared" si="123"/>
        <v>0.5679012345679012</v>
      </c>
    </row>
    <row r="1414" spans="1:13" x14ac:dyDescent="0.25">
      <c r="A1414">
        <v>270918</v>
      </c>
      <c r="B1414" t="s">
        <v>18</v>
      </c>
      <c r="C1414">
        <v>5</v>
      </c>
      <c r="D1414">
        <v>5</v>
      </c>
      <c r="E1414">
        <v>392</v>
      </c>
      <c r="F1414">
        <v>7.4</v>
      </c>
      <c r="G1414">
        <v>2.6</v>
      </c>
      <c r="H1414">
        <v>2.8</v>
      </c>
      <c r="I1414">
        <v>3</v>
      </c>
      <c r="K1414">
        <f t="shared" si="122"/>
        <v>0.8666666666666667</v>
      </c>
      <c r="L1414">
        <f t="shared" si="123"/>
        <v>0.40540540540540537</v>
      </c>
    </row>
    <row r="1415" spans="1:13" x14ac:dyDescent="0.25">
      <c r="A1415">
        <v>270918</v>
      </c>
      <c r="B1415" t="s">
        <v>18</v>
      </c>
      <c r="C1415">
        <v>5</v>
      </c>
      <c r="D1415">
        <v>6</v>
      </c>
      <c r="E1415">
        <v>400</v>
      </c>
      <c r="J1415" t="s">
        <v>0</v>
      </c>
    </row>
    <row r="1416" spans="1:13" x14ac:dyDescent="0.25">
      <c r="A1416">
        <v>270918</v>
      </c>
      <c r="B1416" t="s">
        <v>18</v>
      </c>
      <c r="C1416">
        <v>5</v>
      </c>
      <c r="D1416">
        <v>7</v>
      </c>
      <c r="E1416">
        <v>474</v>
      </c>
      <c r="F1416">
        <v>7.5</v>
      </c>
      <c r="G1416">
        <v>4.2</v>
      </c>
      <c r="H1416">
        <v>4.5999999999999996</v>
      </c>
      <c r="I1416">
        <v>4.5999999999999996</v>
      </c>
      <c r="K1416">
        <f t="shared" si="122"/>
        <v>0.91304347826086962</v>
      </c>
      <c r="L1416">
        <f t="shared" si="123"/>
        <v>0.61333333333333329</v>
      </c>
    </row>
    <row r="1417" spans="1:13" x14ac:dyDescent="0.25">
      <c r="A1417">
        <v>270918</v>
      </c>
      <c r="B1417" t="s">
        <v>18</v>
      </c>
      <c r="C1417">
        <v>5</v>
      </c>
      <c r="D1417">
        <v>8</v>
      </c>
      <c r="E1417">
        <v>496</v>
      </c>
      <c r="F1417">
        <v>6.8</v>
      </c>
      <c r="G1417">
        <v>4.4000000000000004</v>
      </c>
      <c r="H1417">
        <v>4.5</v>
      </c>
      <c r="I1417">
        <v>4.4000000000000004</v>
      </c>
      <c r="K1417">
        <f t="shared" si="122"/>
        <v>1</v>
      </c>
      <c r="L1417">
        <f t="shared" si="123"/>
        <v>0.6470588235294118</v>
      </c>
    </row>
    <row r="1418" spans="1:13" x14ac:dyDescent="0.25">
      <c r="A1418">
        <v>270918</v>
      </c>
      <c r="B1418" t="s">
        <v>18</v>
      </c>
      <c r="C1418">
        <v>6</v>
      </c>
      <c r="D1418">
        <v>3</v>
      </c>
      <c r="E1418">
        <v>414</v>
      </c>
      <c r="F1418">
        <v>8.4</v>
      </c>
      <c r="G1418">
        <v>5.4</v>
      </c>
      <c r="H1418">
        <v>4.5999999999999996</v>
      </c>
      <c r="I1418">
        <v>4.2</v>
      </c>
      <c r="K1418">
        <f t="shared" si="122"/>
        <v>1.2857142857142858</v>
      </c>
      <c r="L1418">
        <f t="shared" si="123"/>
        <v>0.5</v>
      </c>
    </row>
    <row r="1419" spans="1:13" x14ac:dyDescent="0.25">
      <c r="A1419">
        <v>270918</v>
      </c>
      <c r="B1419" t="s">
        <v>18</v>
      </c>
      <c r="C1419">
        <v>6</v>
      </c>
      <c r="D1419">
        <v>4</v>
      </c>
      <c r="E1419">
        <v>452</v>
      </c>
      <c r="F1419">
        <v>6.1</v>
      </c>
      <c r="G1419">
        <v>2.6</v>
      </c>
      <c r="H1419">
        <v>2.9</v>
      </c>
      <c r="I1419">
        <v>2.5</v>
      </c>
      <c r="K1419">
        <f t="shared" si="122"/>
        <v>1.04</v>
      </c>
      <c r="L1419">
        <f t="shared" si="123"/>
        <v>0.4098360655737705</v>
      </c>
    </row>
    <row r="1420" spans="1:13" x14ac:dyDescent="0.25">
      <c r="A1420">
        <v>270918</v>
      </c>
      <c r="B1420" t="s">
        <v>18</v>
      </c>
      <c r="C1420">
        <v>7</v>
      </c>
      <c r="D1420">
        <v>1</v>
      </c>
      <c r="E1420">
        <v>296</v>
      </c>
      <c r="F1420">
        <v>14.8</v>
      </c>
      <c r="G1420">
        <v>4.5</v>
      </c>
      <c r="H1420">
        <v>10.4</v>
      </c>
      <c r="I1420">
        <v>8</v>
      </c>
      <c r="K1420">
        <f t="shared" si="122"/>
        <v>0.5625</v>
      </c>
      <c r="L1420">
        <f t="shared" si="123"/>
        <v>0.54054054054054046</v>
      </c>
    </row>
    <row r="1421" spans="1:13" x14ac:dyDescent="0.25">
      <c r="A1421">
        <v>270918</v>
      </c>
      <c r="B1421" t="s">
        <v>18</v>
      </c>
      <c r="C1421">
        <v>7</v>
      </c>
      <c r="D1421">
        <v>2</v>
      </c>
      <c r="E1421">
        <v>460</v>
      </c>
      <c r="F1421">
        <v>12.3</v>
      </c>
      <c r="G1421">
        <v>6.5</v>
      </c>
      <c r="H1421">
        <v>5.2</v>
      </c>
      <c r="I1421">
        <v>5.4</v>
      </c>
      <c r="K1421">
        <f t="shared" si="122"/>
        <v>1.2037037037037037</v>
      </c>
      <c r="L1421">
        <f t="shared" si="123"/>
        <v>0.43902439024390244</v>
      </c>
    </row>
    <row r="1422" spans="1:13" x14ac:dyDescent="0.25">
      <c r="A1422">
        <v>270918</v>
      </c>
      <c r="B1422" t="s">
        <v>18</v>
      </c>
      <c r="C1422">
        <v>7</v>
      </c>
      <c r="D1422">
        <v>3</v>
      </c>
      <c r="E1422">
        <v>530</v>
      </c>
      <c r="J1422" t="s">
        <v>0</v>
      </c>
    </row>
    <row r="1423" spans="1:13" x14ac:dyDescent="0.25">
      <c r="A1423">
        <v>270918</v>
      </c>
      <c r="B1423" t="s">
        <v>18</v>
      </c>
      <c r="C1423">
        <v>7</v>
      </c>
      <c r="D1423">
        <v>4</v>
      </c>
      <c r="E1423">
        <v>572</v>
      </c>
      <c r="F1423">
        <v>12.2</v>
      </c>
      <c r="G1423">
        <v>5.6</v>
      </c>
      <c r="H1423">
        <v>4.9000000000000004</v>
      </c>
      <c r="I1423">
        <v>4.5999999999999996</v>
      </c>
      <c r="K1423">
        <f t="shared" si="122"/>
        <v>1.2173913043478262</v>
      </c>
      <c r="L1423">
        <f t="shared" si="123"/>
        <v>0.37704918032786883</v>
      </c>
    </row>
    <row r="1424" spans="1:13" x14ac:dyDescent="0.25">
      <c r="A1424">
        <v>270918</v>
      </c>
      <c r="B1424" t="s">
        <v>18</v>
      </c>
      <c r="C1424">
        <v>7</v>
      </c>
      <c r="D1424">
        <v>5</v>
      </c>
      <c r="E1424">
        <v>624</v>
      </c>
      <c r="F1424">
        <v>12.6</v>
      </c>
      <c r="G1424">
        <v>5.2</v>
      </c>
      <c r="H1424">
        <v>5</v>
      </c>
      <c r="I1424">
        <v>5</v>
      </c>
      <c r="K1424">
        <f t="shared" si="122"/>
        <v>1.04</v>
      </c>
      <c r="L1424">
        <f t="shared" si="123"/>
        <v>0.39682539682539686</v>
      </c>
    </row>
    <row r="1425" spans="1:12" x14ac:dyDescent="0.25">
      <c r="A1425">
        <v>270918</v>
      </c>
      <c r="B1425" t="s">
        <v>18</v>
      </c>
      <c r="C1425">
        <v>7</v>
      </c>
      <c r="D1425">
        <v>6</v>
      </c>
      <c r="E1425">
        <v>630</v>
      </c>
      <c r="F1425">
        <v>10.199999999999999</v>
      </c>
      <c r="G1425">
        <v>8.6</v>
      </c>
      <c r="H1425">
        <v>7.8</v>
      </c>
      <c r="I1425">
        <v>9.6</v>
      </c>
      <c r="K1425">
        <f t="shared" si="122"/>
        <v>0.89583333333333337</v>
      </c>
      <c r="L1425">
        <f t="shared" si="123"/>
        <v>0.94117647058823528</v>
      </c>
    </row>
    <row r="1426" spans="1:12" x14ac:dyDescent="0.25">
      <c r="A1426">
        <v>270918</v>
      </c>
      <c r="B1426" t="s">
        <v>18</v>
      </c>
      <c r="C1426">
        <v>8</v>
      </c>
      <c r="D1426">
        <v>1</v>
      </c>
      <c r="E1426">
        <v>424</v>
      </c>
      <c r="J1426" t="s">
        <v>0</v>
      </c>
    </row>
    <row r="1427" spans="1:12" x14ac:dyDescent="0.25">
      <c r="A1427">
        <v>270918</v>
      </c>
      <c r="B1427" t="s">
        <v>18</v>
      </c>
      <c r="C1427">
        <v>8</v>
      </c>
      <c r="D1427">
        <v>2</v>
      </c>
      <c r="E1427">
        <v>432</v>
      </c>
      <c r="F1427">
        <v>17.7</v>
      </c>
      <c r="G1427">
        <v>6.2</v>
      </c>
      <c r="H1427">
        <v>10.8</v>
      </c>
      <c r="I1427">
        <v>6.6</v>
      </c>
      <c r="K1427">
        <f t="shared" si="122"/>
        <v>0.93939393939393945</v>
      </c>
      <c r="L1427">
        <f t="shared" si="123"/>
        <v>0.3728813559322034</v>
      </c>
    </row>
    <row r="1428" spans="1:12" x14ac:dyDescent="0.25">
      <c r="A1428">
        <v>270918</v>
      </c>
      <c r="B1428" t="s">
        <v>18</v>
      </c>
      <c r="C1428">
        <v>8</v>
      </c>
      <c r="D1428">
        <v>3</v>
      </c>
      <c r="E1428">
        <v>536</v>
      </c>
      <c r="F1428">
        <v>12.7</v>
      </c>
      <c r="G1428">
        <v>5</v>
      </c>
      <c r="H1428">
        <v>6.7</v>
      </c>
      <c r="I1428">
        <v>5.8</v>
      </c>
      <c r="K1428">
        <f t="shared" si="122"/>
        <v>0.86206896551724144</v>
      </c>
      <c r="L1428">
        <f t="shared" si="123"/>
        <v>0.45669291338582679</v>
      </c>
    </row>
    <row r="1429" spans="1:12" x14ac:dyDescent="0.25">
      <c r="A1429">
        <v>270918</v>
      </c>
      <c r="B1429" t="s">
        <v>18</v>
      </c>
      <c r="C1429">
        <v>9</v>
      </c>
      <c r="D1429">
        <v>1</v>
      </c>
      <c r="E1429">
        <v>428</v>
      </c>
      <c r="F1429">
        <v>15.9</v>
      </c>
      <c r="G1429">
        <v>7.4</v>
      </c>
      <c r="H1429">
        <v>10.8</v>
      </c>
      <c r="I1429">
        <v>9.1999999999999993</v>
      </c>
      <c r="K1429">
        <f t="shared" si="122"/>
        <v>0.80434782608695665</v>
      </c>
      <c r="L1429">
        <f t="shared" si="123"/>
        <v>0.57861635220125784</v>
      </c>
    </row>
    <row r="1430" spans="1:12" x14ac:dyDescent="0.25">
      <c r="A1430">
        <v>270918</v>
      </c>
      <c r="B1430" t="s">
        <v>18</v>
      </c>
      <c r="C1430">
        <v>9</v>
      </c>
      <c r="D1430">
        <v>2</v>
      </c>
      <c r="E1430">
        <v>650</v>
      </c>
      <c r="F1430">
        <v>16.2</v>
      </c>
      <c r="G1430">
        <v>6.4</v>
      </c>
      <c r="H1430">
        <v>7.6</v>
      </c>
      <c r="I1430">
        <v>4.9000000000000004</v>
      </c>
      <c r="K1430">
        <f t="shared" si="122"/>
        <v>1.3061224489795917</v>
      </c>
      <c r="L1430">
        <f t="shared" si="123"/>
        <v>0.30246913580246915</v>
      </c>
    </row>
    <row r="1431" spans="1:12" x14ac:dyDescent="0.25">
      <c r="A1431">
        <v>270918</v>
      </c>
      <c r="B1431" t="s">
        <v>18</v>
      </c>
      <c r="C1431">
        <v>10</v>
      </c>
      <c r="D1431">
        <v>1</v>
      </c>
      <c r="E1431">
        <v>268</v>
      </c>
      <c r="J1431" t="s">
        <v>0</v>
      </c>
    </row>
    <row r="1432" spans="1:12" x14ac:dyDescent="0.25">
      <c r="A1432">
        <v>270918</v>
      </c>
      <c r="B1432" t="s">
        <v>18</v>
      </c>
      <c r="C1432">
        <v>10</v>
      </c>
      <c r="D1432">
        <v>2</v>
      </c>
      <c r="E1432">
        <v>366</v>
      </c>
      <c r="J1432" t="s">
        <v>0</v>
      </c>
    </row>
    <row r="1433" spans="1:12" x14ac:dyDescent="0.25">
      <c r="A1433">
        <v>270918</v>
      </c>
      <c r="B1433" t="s">
        <v>18</v>
      </c>
      <c r="C1433">
        <v>10</v>
      </c>
      <c r="D1433">
        <v>3</v>
      </c>
      <c r="E1433">
        <v>438</v>
      </c>
      <c r="F1433">
        <v>12.3</v>
      </c>
      <c r="G1433">
        <v>3.9</v>
      </c>
      <c r="H1433">
        <v>5.5</v>
      </c>
      <c r="I1433">
        <v>4.5999999999999996</v>
      </c>
      <c r="K1433">
        <f t="shared" si="122"/>
        <v>0.84782608695652184</v>
      </c>
      <c r="L1433">
        <f t="shared" si="123"/>
        <v>0.3739837398373983</v>
      </c>
    </row>
    <row r="1434" spans="1:12" x14ac:dyDescent="0.25">
      <c r="A1434">
        <v>270918</v>
      </c>
      <c r="B1434" t="s">
        <v>18</v>
      </c>
      <c r="C1434">
        <v>10</v>
      </c>
      <c r="D1434">
        <v>4</v>
      </c>
      <c r="E1434">
        <v>484</v>
      </c>
      <c r="F1434">
        <v>10.1</v>
      </c>
      <c r="G1434">
        <v>2.9</v>
      </c>
      <c r="H1434">
        <v>3.7</v>
      </c>
      <c r="I1434">
        <v>3.8</v>
      </c>
      <c r="K1434">
        <f t="shared" si="122"/>
        <v>0.76315789473684215</v>
      </c>
      <c r="L1434">
        <f t="shared" si="123"/>
        <v>0.37623762376237624</v>
      </c>
    </row>
    <row r="1435" spans="1:12" x14ac:dyDescent="0.25">
      <c r="A1435">
        <v>270918</v>
      </c>
      <c r="B1435" t="s">
        <v>18</v>
      </c>
      <c r="C1435">
        <v>11</v>
      </c>
      <c r="D1435">
        <v>1</v>
      </c>
      <c r="E1435">
        <v>104</v>
      </c>
      <c r="J1435" t="s">
        <v>0</v>
      </c>
    </row>
    <row r="1436" spans="1:12" x14ac:dyDescent="0.25">
      <c r="A1436">
        <v>270918</v>
      </c>
      <c r="B1436" t="s">
        <v>18</v>
      </c>
      <c r="C1436">
        <v>11</v>
      </c>
      <c r="D1436">
        <v>2</v>
      </c>
      <c r="E1436">
        <v>360</v>
      </c>
      <c r="F1436">
        <v>12.1</v>
      </c>
      <c r="G1436">
        <v>8.1</v>
      </c>
      <c r="H1436">
        <v>6.6</v>
      </c>
      <c r="I1436">
        <v>7.9</v>
      </c>
      <c r="K1436">
        <f t="shared" si="122"/>
        <v>1.0253164556962024</v>
      </c>
      <c r="L1436">
        <f t="shared" si="123"/>
        <v>0.65289256198347112</v>
      </c>
    </row>
    <row r="1437" spans="1:12" x14ac:dyDescent="0.25">
      <c r="A1437">
        <v>270918</v>
      </c>
      <c r="B1437" t="s">
        <v>18</v>
      </c>
      <c r="C1437">
        <v>11</v>
      </c>
      <c r="D1437">
        <v>3</v>
      </c>
      <c r="E1437">
        <v>370</v>
      </c>
      <c r="F1437">
        <v>12.1</v>
      </c>
      <c r="G1437">
        <v>4.3</v>
      </c>
      <c r="H1437">
        <v>5.7</v>
      </c>
      <c r="I1437">
        <v>4.5999999999999996</v>
      </c>
      <c r="K1437">
        <f t="shared" si="122"/>
        <v>0.93478260869565222</v>
      </c>
      <c r="L1437">
        <f t="shared" si="123"/>
        <v>0.3801652892561983</v>
      </c>
    </row>
    <row r="1438" spans="1:12" x14ac:dyDescent="0.25">
      <c r="A1438">
        <v>270918</v>
      </c>
      <c r="B1438" t="s">
        <v>18</v>
      </c>
      <c r="C1438">
        <v>11</v>
      </c>
      <c r="D1438">
        <v>4</v>
      </c>
      <c r="E1438">
        <v>444</v>
      </c>
      <c r="F1438">
        <v>12.2</v>
      </c>
      <c r="G1438">
        <v>4.5</v>
      </c>
      <c r="H1438">
        <v>4.8</v>
      </c>
      <c r="I1438">
        <v>4.5</v>
      </c>
      <c r="K1438">
        <f t="shared" si="122"/>
        <v>1</v>
      </c>
      <c r="L1438">
        <f t="shared" si="123"/>
        <v>0.36885245901639346</v>
      </c>
    </row>
    <row r="1439" spans="1:12" x14ac:dyDescent="0.25">
      <c r="A1439">
        <v>270918</v>
      </c>
      <c r="B1439" t="s">
        <v>18</v>
      </c>
      <c r="C1439">
        <v>11</v>
      </c>
      <c r="D1439">
        <v>5</v>
      </c>
      <c r="E1439">
        <v>456</v>
      </c>
      <c r="F1439">
        <v>10.3</v>
      </c>
      <c r="G1439">
        <v>4.9000000000000004</v>
      </c>
      <c r="H1439">
        <v>4.3</v>
      </c>
      <c r="I1439">
        <v>4.9000000000000004</v>
      </c>
      <c r="K1439">
        <f t="shared" si="122"/>
        <v>1</v>
      </c>
      <c r="L1439">
        <f t="shared" si="123"/>
        <v>0.47572815533980584</v>
      </c>
    </row>
    <row r="1440" spans="1:12" x14ac:dyDescent="0.25">
      <c r="A1440">
        <v>270918</v>
      </c>
      <c r="B1440" t="s">
        <v>18</v>
      </c>
      <c r="C1440">
        <v>11</v>
      </c>
      <c r="D1440">
        <v>6</v>
      </c>
      <c r="E1440">
        <v>476</v>
      </c>
      <c r="F1440">
        <v>11.9</v>
      </c>
      <c r="G1440">
        <v>4</v>
      </c>
      <c r="H1440">
        <v>4</v>
      </c>
      <c r="I1440">
        <v>3.6</v>
      </c>
      <c r="K1440">
        <f t="shared" si="122"/>
        <v>1.1111111111111112</v>
      </c>
      <c r="L1440">
        <f t="shared" si="123"/>
        <v>0.30252100840336132</v>
      </c>
    </row>
    <row r="1441" spans="1:13" x14ac:dyDescent="0.25">
      <c r="A1441">
        <v>270918</v>
      </c>
      <c r="B1441" t="s">
        <v>18</v>
      </c>
      <c r="C1441">
        <v>11</v>
      </c>
      <c r="D1441">
        <v>7</v>
      </c>
      <c r="E1441">
        <v>582</v>
      </c>
      <c r="F1441">
        <v>11</v>
      </c>
      <c r="G1441">
        <v>4.4000000000000004</v>
      </c>
      <c r="H1441">
        <v>4.9000000000000004</v>
      </c>
      <c r="I1441">
        <v>4.5999999999999996</v>
      </c>
      <c r="K1441">
        <f t="shared" si="122"/>
        <v>0.95652173913043492</v>
      </c>
      <c r="L1441">
        <f t="shared" si="123"/>
        <v>0.41818181818181815</v>
      </c>
    </row>
    <row r="1442" spans="1:13" x14ac:dyDescent="0.25">
      <c r="A1442">
        <v>270918</v>
      </c>
      <c r="B1442" t="s">
        <v>18</v>
      </c>
      <c r="C1442">
        <v>12</v>
      </c>
      <c r="D1442">
        <v>1</v>
      </c>
      <c r="E1442">
        <v>160</v>
      </c>
      <c r="F1442">
        <v>9.3000000000000007</v>
      </c>
      <c r="G1442">
        <v>2.2999999999999998</v>
      </c>
      <c r="H1442">
        <v>2.7</v>
      </c>
      <c r="I1442">
        <v>3.2</v>
      </c>
      <c r="K1442">
        <f t="shared" si="122"/>
        <v>0.71874999999999989</v>
      </c>
      <c r="L1442">
        <f t="shared" si="123"/>
        <v>0.34408602150537632</v>
      </c>
    </row>
    <row r="1443" spans="1:13" x14ac:dyDescent="0.25">
      <c r="A1443">
        <v>270918</v>
      </c>
      <c r="B1443" t="s">
        <v>18</v>
      </c>
      <c r="C1443">
        <v>12</v>
      </c>
      <c r="D1443">
        <v>2</v>
      </c>
      <c r="E1443">
        <v>220</v>
      </c>
      <c r="F1443">
        <v>8.6</v>
      </c>
      <c r="G1443">
        <v>4.4000000000000004</v>
      </c>
      <c r="H1443">
        <v>4.0999999999999996</v>
      </c>
      <c r="I1443">
        <v>3.7</v>
      </c>
      <c r="K1443">
        <f t="shared" si="122"/>
        <v>1.1891891891891893</v>
      </c>
      <c r="L1443">
        <f t="shared" si="123"/>
        <v>0.43023255813953493</v>
      </c>
    </row>
    <row r="1444" spans="1:13" x14ac:dyDescent="0.25">
      <c r="A1444">
        <v>270918</v>
      </c>
      <c r="B1444" t="s">
        <v>18</v>
      </c>
      <c r="C1444">
        <v>12</v>
      </c>
      <c r="D1444">
        <v>3</v>
      </c>
      <c r="E1444">
        <v>240</v>
      </c>
      <c r="F1444">
        <v>7.7</v>
      </c>
      <c r="G1444">
        <v>5.3</v>
      </c>
      <c r="H1444">
        <v>4.2</v>
      </c>
      <c r="I1444">
        <v>4.0999999999999996</v>
      </c>
      <c r="K1444">
        <f t="shared" si="122"/>
        <v>1.2926829268292683</v>
      </c>
      <c r="L1444">
        <f t="shared" si="123"/>
        <v>0.53246753246753242</v>
      </c>
    </row>
    <row r="1445" spans="1:13" x14ac:dyDescent="0.25">
      <c r="A1445">
        <v>270918</v>
      </c>
      <c r="B1445" t="s">
        <v>18</v>
      </c>
      <c r="C1445">
        <v>12</v>
      </c>
      <c r="D1445">
        <v>4</v>
      </c>
      <c r="E1445">
        <v>310</v>
      </c>
      <c r="M1445" t="s">
        <v>2</v>
      </c>
    </row>
    <row r="1446" spans="1:13" x14ac:dyDescent="0.25">
      <c r="A1446">
        <v>270918</v>
      </c>
      <c r="B1446" t="s">
        <v>18</v>
      </c>
      <c r="C1446">
        <v>12</v>
      </c>
      <c r="D1446">
        <v>5</v>
      </c>
      <c r="E1446">
        <v>344</v>
      </c>
      <c r="F1446">
        <v>6.3</v>
      </c>
      <c r="G1446">
        <v>3.7</v>
      </c>
      <c r="H1446">
        <v>3.8</v>
      </c>
      <c r="I1446">
        <v>3.3</v>
      </c>
      <c r="K1446">
        <f t="shared" si="122"/>
        <v>1.1212121212121213</v>
      </c>
      <c r="L1446">
        <f t="shared" si="123"/>
        <v>0.52380952380952384</v>
      </c>
    </row>
    <row r="1447" spans="1:13" x14ac:dyDescent="0.25">
      <c r="A1447">
        <v>270918</v>
      </c>
      <c r="B1447" t="s">
        <v>18</v>
      </c>
      <c r="C1447">
        <v>12</v>
      </c>
      <c r="D1447">
        <v>6</v>
      </c>
      <c r="E1447">
        <v>380</v>
      </c>
      <c r="F1447">
        <v>5.4</v>
      </c>
      <c r="G1447">
        <v>5.2</v>
      </c>
      <c r="H1447">
        <v>4</v>
      </c>
      <c r="I1447">
        <v>4</v>
      </c>
      <c r="K1447">
        <f t="shared" si="122"/>
        <v>1.3</v>
      </c>
      <c r="L1447">
        <f t="shared" si="123"/>
        <v>0.7407407407407407</v>
      </c>
    </row>
    <row r="1448" spans="1:13" x14ac:dyDescent="0.25">
      <c r="A1448">
        <v>270918</v>
      </c>
      <c r="B1448" t="s">
        <v>18</v>
      </c>
      <c r="C1448">
        <v>12</v>
      </c>
      <c r="D1448">
        <v>7</v>
      </c>
      <c r="E1448">
        <v>404</v>
      </c>
      <c r="F1448">
        <v>5.7</v>
      </c>
      <c r="G1448">
        <v>5.3</v>
      </c>
      <c r="H1448">
        <v>5.6</v>
      </c>
      <c r="I1448">
        <v>4.7</v>
      </c>
      <c r="K1448">
        <f t="shared" si="122"/>
        <v>1.1276595744680851</v>
      </c>
      <c r="L1448">
        <f t="shared" si="123"/>
        <v>0.82456140350877194</v>
      </c>
    </row>
  </sheetData>
  <autoFilter ref="A1:M1448" xr:uid="{82825256-BBF0-4A72-9F10-6C3AC0B4C6B6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F48B-03DF-4AFE-9AFB-61AF08E54356}">
  <dimension ref="A1:M14"/>
  <sheetViews>
    <sheetView workbookViewId="0">
      <selection activeCell="A5" sqref="A5:XFD14"/>
    </sheetView>
  </sheetViews>
  <sheetFormatPr defaultRowHeight="15" x14ac:dyDescent="0.25"/>
  <sheetData>
    <row r="1" spans="1:13" x14ac:dyDescent="0.25">
      <c r="A1">
        <v>110918</v>
      </c>
      <c r="B1" t="s">
        <v>19</v>
      </c>
      <c r="C1">
        <v>1</v>
      </c>
      <c r="D1">
        <v>1</v>
      </c>
      <c r="E1">
        <f>31*2</f>
        <v>62</v>
      </c>
      <c r="F1">
        <v>20.8</v>
      </c>
      <c r="G1">
        <v>6.5</v>
      </c>
      <c r="H1">
        <v>12.6</v>
      </c>
      <c r="I1">
        <v>9.5</v>
      </c>
      <c r="K1">
        <f t="shared" ref="K1:K14" si="0">G1/I1</f>
        <v>0.68421052631578949</v>
      </c>
      <c r="L1">
        <f t="shared" ref="L1:L14" si="1">I1/F1</f>
        <v>0.45673076923076922</v>
      </c>
    </row>
    <row r="2" spans="1:13" x14ac:dyDescent="0.25">
      <c r="A2">
        <v>110918</v>
      </c>
      <c r="B2" t="s">
        <v>19</v>
      </c>
      <c r="C2">
        <v>1</v>
      </c>
      <c r="D2">
        <v>2</v>
      </c>
      <c r="E2">
        <f>113*2</f>
        <v>226</v>
      </c>
      <c r="F2">
        <v>17</v>
      </c>
      <c r="G2">
        <v>9.1999999999999993</v>
      </c>
      <c r="H2">
        <v>10.9</v>
      </c>
      <c r="I2">
        <v>11</v>
      </c>
      <c r="K2">
        <f t="shared" si="0"/>
        <v>0.83636363636363631</v>
      </c>
      <c r="L2">
        <f t="shared" si="1"/>
        <v>0.6470588235294118</v>
      </c>
    </row>
    <row r="3" spans="1:13" x14ac:dyDescent="0.25">
      <c r="A3">
        <v>110918</v>
      </c>
      <c r="B3" t="s">
        <v>19</v>
      </c>
      <c r="C3">
        <v>1</v>
      </c>
      <c r="D3">
        <v>3</v>
      </c>
      <c r="E3">
        <f>122*2</f>
        <v>244</v>
      </c>
      <c r="F3">
        <v>16.600000000000001</v>
      </c>
      <c r="G3">
        <v>5.4</v>
      </c>
      <c r="H3">
        <v>8.8000000000000007</v>
      </c>
      <c r="I3">
        <v>8</v>
      </c>
      <c r="K3">
        <f t="shared" si="0"/>
        <v>0.67500000000000004</v>
      </c>
      <c r="L3">
        <f t="shared" si="1"/>
        <v>0.48192771084337344</v>
      </c>
    </row>
    <row r="4" spans="1:13" x14ac:dyDescent="0.25">
      <c r="A4">
        <v>110918</v>
      </c>
      <c r="B4" t="s">
        <v>19</v>
      </c>
      <c r="C4">
        <v>1</v>
      </c>
      <c r="D4">
        <v>4</v>
      </c>
      <c r="E4">
        <f>145*2</f>
        <v>290</v>
      </c>
      <c r="F4">
        <v>16.8</v>
      </c>
      <c r="G4">
        <v>5.6</v>
      </c>
      <c r="H4">
        <v>8.5</v>
      </c>
      <c r="I4">
        <v>8</v>
      </c>
      <c r="K4">
        <f t="shared" si="0"/>
        <v>0.7</v>
      </c>
      <c r="L4">
        <f t="shared" si="1"/>
        <v>0.47619047619047616</v>
      </c>
    </row>
    <row r="5" spans="1:13" x14ac:dyDescent="0.25">
      <c r="A5">
        <v>120618</v>
      </c>
      <c r="B5" t="s">
        <v>18</v>
      </c>
      <c r="C5">
        <v>1</v>
      </c>
      <c r="D5">
        <v>1</v>
      </c>
      <c r="E5">
        <v>462</v>
      </c>
      <c r="F5">
        <v>15.5</v>
      </c>
      <c r="G5">
        <v>5.3</v>
      </c>
      <c r="H5">
        <v>4.4000000000000004</v>
      </c>
      <c r="I5">
        <v>5.9</v>
      </c>
      <c r="K5">
        <f t="shared" si="0"/>
        <v>0.89830508474576265</v>
      </c>
      <c r="L5">
        <f t="shared" si="1"/>
        <v>0.38064516129032261</v>
      </c>
      <c r="M5" t="s">
        <v>7</v>
      </c>
    </row>
    <row r="6" spans="1:13" x14ac:dyDescent="0.25">
      <c r="A6">
        <v>120618</v>
      </c>
      <c r="B6" t="s">
        <v>18</v>
      </c>
      <c r="C6">
        <v>3</v>
      </c>
      <c r="D6">
        <v>1</v>
      </c>
      <c r="E6">
        <f>112*2-(9*2)</f>
        <v>206</v>
      </c>
      <c r="F6">
        <v>18.100000000000001</v>
      </c>
      <c r="G6">
        <v>7.6</v>
      </c>
      <c r="H6">
        <v>11.5</v>
      </c>
      <c r="I6">
        <v>8.6</v>
      </c>
      <c r="K6">
        <f t="shared" si="0"/>
        <v>0.88372093023255816</v>
      </c>
      <c r="L6">
        <f t="shared" si="1"/>
        <v>0.47513812154696128</v>
      </c>
      <c r="M6" t="s">
        <v>7</v>
      </c>
    </row>
    <row r="7" spans="1:13" x14ac:dyDescent="0.25">
      <c r="A7">
        <v>120618</v>
      </c>
      <c r="B7" t="s">
        <v>18</v>
      </c>
      <c r="C7">
        <v>3</v>
      </c>
      <c r="D7">
        <v>2</v>
      </c>
      <c r="E7">
        <f>236*2-(9*2)</f>
        <v>454</v>
      </c>
      <c r="F7">
        <v>15.9</v>
      </c>
      <c r="G7">
        <v>6.1</v>
      </c>
      <c r="H7">
        <v>7.3</v>
      </c>
      <c r="I7">
        <v>6.4</v>
      </c>
      <c r="K7">
        <f t="shared" si="0"/>
        <v>0.95312499999999989</v>
      </c>
      <c r="L7">
        <f t="shared" si="1"/>
        <v>0.40251572327044027</v>
      </c>
      <c r="M7" t="s">
        <v>7</v>
      </c>
    </row>
    <row r="8" spans="1:13" x14ac:dyDescent="0.25">
      <c r="A8">
        <v>120618</v>
      </c>
      <c r="B8" t="s">
        <v>18</v>
      </c>
      <c r="C8">
        <v>5</v>
      </c>
      <c r="D8">
        <v>1</v>
      </c>
      <c r="E8">
        <f>149*2-(12*2)</f>
        <v>274</v>
      </c>
      <c r="F8">
        <v>7.9</v>
      </c>
      <c r="G8">
        <v>1.9</v>
      </c>
      <c r="H8">
        <v>6.1</v>
      </c>
      <c r="I8">
        <v>5.3</v>
      </c>
      <c r="K8">
        <f t="shared" si="0"/>
        <v>0.35849056603773582</v>
      </c>
      <c r="L8">
        <f t="shared" si="1"/>
        <v>0.670886075949367</v>
      </c>
      <c r="M8" t="s">
        <v>7</v>
      </c>
    </row>
    <row r="9" spans="1:13" x14ac:dyDescent="0.25">
      <c r="A9">
        <v>120618</v>
      </c>
      <c r="B9" t="s">
        <v>18</v>
      </c>
      <c r="C9">
        <v>5</v>
      </c>
      <c r="D9">
        <v>2</v>
      </c>
      <c r="E9">
        <f>186*2-(12*2)</f>
        <v>348</v>
      </c>
      <c r="F9">
        <v>9.8000000000000007</v>
      </c>
      <c r="J9" t="s">
        <v>0</v>
      </c>
      <c r="M9" t="s">
        <v>7</v>
      </c>
    </row>
    <row r="10" spans="1:13" x14ac:dyDescent="0.25">
      <c r="A10">
        <v>120618</v>
      </c>
      <c r="B10" t="s">
        <v>18</v>
      </c>
      <c r="C10">
        <v>5</v>
      </c>
      <c r="D10">
        <v>3</v>
      </c>
      <c r="E10">
        <f>222*2-(12*2)</f>
        <v>420</v>
      </c>
      <c r="F10">
        <v>9.1</v>
      </c>
      <c r="G10">
        <v>2.7</v>
      </c>
      <c r="H10">
        <v>4.0999999999999996</v>
      </c>
      <c r="I10">
        <v>3.3</v>
      </c>
      <c r="K10">
        <f t="shared" si="0"/>
        <v>0.81818181818181823</v>
      </c>
      <c r="L10">
        <f t="shared" si="1"/>
        <v>0.36263736263736263</v>
      </c>
      <c r="M10" t="s">
        <v>7</v>
      </c>
    </row>
    <row r="11" spans="1:13" x14ac:dyDescent="0.25">
      <c r="A11">
        <v>120618</v>
      </c>
      <c r="B11" t="s">
        <v>18</v>
      </c>
      <c r="C11">
        <v>5</v>
      </c>
      <c r="D11">
        <v>4</v>
      </c>
      <c r="E11">
        <f>256*2-(12*2)</f>
        <v>488</v>
      </c>
      <c r="F11">
        <v>7.7</v>
      </c>
      <c r="G11">
        <v>1.8</v>
      </c>
      <c r="H11">
        <v>4.7</v>
      </c>
      <c r="I11">
        <v>3.6</v>
      </c>
      <c r="K11">
        <f t="shared" si="0"/>
        <v>0.5</v>
      </c>
      <c r="L11">
        <f t="shared" si="1"/>
        <v>0.46753246753246752</v>
      </c>
      <c r="M11" t="s">
        <v>7</v>
      </c>
    </row>
    <row r="12" spans="1:13" x14ac:dyDescent="0.25">
      <c r="A12">
        <v>120618</v>
      </c>
      <c r="B12" t="s">
        <v>18</v>
      </c>
      <c r="C12">
        <v>5</v>
      </c>
      <c r="D12">
        <v>5</v>
      </c>
      <c r="E12">
        <f>262*2-(12*2)</f>
        <v>500</v>
      </c>
      <c r="F12">
        <v>10.5</v>
      </c>
      <c r="G12">
        <v>3.6</v>
      </c>
      <c r="H12">
        <v>4.4000000000000004</v>
      </c>
      <c r="I12">
        <v>4.8</v>
      </c>
      <c r="K12">
        <f t="shared" si="0"/>
        <v>0.75</v>
      </c>
      <c r="L12">
        <f t="shared" si="1"/>
        <v>0.45714285714285713</v>
      </c>
      <c r="M12" t="s">
        <v>7</v>
      </c>
    </row>
    <row r="13" spans="1:13" x14ac:dyDescent="0.25">
      <c r="A13">
        <v>120618</v>
      </c>
      <c r="B13" t="s">
        <v>18</v>
      </c>
      <c r="C13">
        <v>5</v>
      </c>
      <c r="D13">
        <v>6</v>
      </c>
      <c r="E13">
        <f>270*2-(12*2)</f>
        <v>516</v>
      </c>
      <c r="F13">
        <v>7.9</v>
      </c>
      <c r="G13">
        <v>3.5</v>
      </c>
      <c r="H13">
        <v>3</v>
      </c>
      <c r="I13">
        <v>2.7</v>
      </c>
      <c r="K13">
        <f t="shared" si="0"/>
        <v>1.2962962962962963</v>
      </c>
      <c r="L13">
        <f t="shared" si="1"/>
        <v>0.34177215189873417</v>
      </c>
    </row>
    <row r="14" spans="1:13" x14ac:dyDescent="0.25">
      <c r="A14">
        <v>120618</v>
      </c>
      <c r="B14" t="s">
        <v>18</v>
      </c>
      <c r="C14">
        <v>5</v>
      </c>
      <c r="D14">
        <v>8</v>
      </c>
      <c r="E14">
        <f>302*2-(12*2)</f>
        <v>580</v>
      </c>
      <c r="F14">
        <v>8.4</v>
      </c>
      <c r="G14">
        <v>2.7</v>
      </c>
      <c r="H14">
        <v>3.8</v>
      </c>
      <c r="I14">
        <v>2.6</v>
      </c>
      <c r="K14">
        <f t="shared" si="0"/>
        <v>1.0384615384615385</v>
      </c>
      <c r="L14">
        <f t="shared" si="1"/>
        <v>0.30952380952380953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vivo results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2023-03-21T15:03:21Z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2023-03-02T09:39:08Z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dd6c2ba7-15a2-46ad-a5d2-44ec72470916</vt:lpwstr>
  </property>
  <property fmtid="{D5CDD505-2E9C-101B-9397-08002B2CF9AE}" pid="8" name="MSIP_Label_6a2630e2-1ac5-455e-8217-0156b1936a76_ContentBits">
    <vt:lpwstr>0</vt:lpwstr>
  </property>
</Properties>
</file>