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TedLim/Documents/GitHub/data_apps/src/ticket_to_ride/"/>
    </mc:Choice>
  </mc:AlternateContent>
  <xr:revisionPtr revIDLastSave="0" documentId="13_ncr:1_{A63C48DB-375C-8D4A-AD4F-EDFA67CDA0B4}" xr6:coauthVersionLast="45" xr6:coauthVersionMax="45" xr10:uidLastSave="{00000000-0000-0000-0000-000000000000}"/>
  <bookViews>
    <workbookView xWindow="1120" yWindow="460" windowWidth="24480" windowHeight="15540" firstSheet="1" activeTab="1" xr2:uid="{BF4FBA0A-CEE5-364F-9051-10858521324A}"/>
  </bookViews>
  <sheets>
    <sheet name="Route_Point_Conversion" sheetId="1" r:id="rId1"/>
    <sheet name="Draft" sheetId="17" r:id="rId2"/>
    <sheet name="Color_Info" sheetId="15" r:id="rId3"/>
    <sheet name="Ticket_Info" sheetId="3" r:id="rId4"/>
    <sheet name="Route_Info" sheetId="10" r:id="rId5"/>
    <sheet name="City_Info" sheetId="11" r:id="rId6"/>
    <sheet name="Quadrant_Scratch" sheetId="14" r:id="rId7"/>
    <sheet name="Ticket_Chart_Scratch" sheetId="20" r:id="rId8"/>
    <sheet name="Thought_Experiments_Scratch" sheetId="22" r:id="rId9"/>
    <sheet name="Strategy_Scratch" sheetId="21" r:id="rId10"/>
  </sheets>
  <definedNames>
    <definedName name="_xlchart.v1.0" hidden="1">Ticket_Chart_Scratch!$E$4:$E$49</definedName>
    <definedName name="_xlchart.v1.1" hidden="1">Ticket_Chart_Scratch!$F$3</definedName>
    <definedName name="_xlchart.v1.2" hidden="1">Ticket_Chart_Scratch!$F$4:$F$49</definedName>
    <definedName name="_xlchart.v1.3" hidden="1">Ticket_Chart_Scratch!$E$4:$E$49</definedName>
    <definedName name="_xlchart.v1.4" hidden="1">Ticket_Chart_Scratch!$F$3</definedName>
    <definedName name="_xlchart.v1.5" hidden="1">Ticket_Chart_Scratch!$F$4:$F$49</definedName>
    <definedName name="Route_Info_Table">Route_Info!$A$3:$G$93</definedName>
  </definedNames>
  <calcPr calcId="191029"/>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6" i="21" l="1"/>
  <c r="C95" i="21"/>
  <c r="C94" i="21"/>
  <c r="C93" i="21"/>
  <c r="G90" i="21"/>
  <c r="F90" i="21"/>
  <c r="D90" i="21"/>
  <c r="B90" i="21" s="1"/>
  <c r="C90" i="21"/>
  <c r="J81" i="21"/>
  <c r="I81" i="21"/>
  <c r="G81" i="21"/>
  <c r="F81" i="21"/>
  <c r="D81" i="21"/>
  <c r="C81" i="21"/>
  <c r="B81" i="21"/>
  <c r="M73" i="21"/>
  <c r="L73" i="21"/>
  <c r="J72" i="21"/>
  <c r="I72" i="21"/>
  <c r="G72" i="21"/>
  <c r="F72" i="21"/>
  <c r="D72" i="21"/>
  <c r="B72" i="21" s="1"/>
  <c r="C72" i="21"/>
  <c r="B63" i="21"/>
  <c r="O64" i="21"/>
  <c r="P64" i="21"/>
  <c r="M64" i="21"/>
  <c r="L64" i="21"/>
  <c r="J63" i="21"/>
  <c r="I63" i="21"/>
  <c r="G63" i="21"/>
  <c r="F63" i="21"/>
  <c r="D63" i="21"/>
  <c r="C63" i="21"/>
  <c r="D35" i="21"/>
  <c r="C35" i="21"/>
  <c r="D34" i="21"/>
  <c r="C34" i="21"/>
  <c r="G33" i="21"/>
  <c r="F33" i="21"/>
  <c r="D33" i="21"/>
  <c r="C33" i="21"/>
  <c r="G32" i="21"/>
  <c r="F32" i="21"/>
  <c r="D32" i="21"/>
  <c r="C32" i="21"/>
  <c r="G31" i="21"/>
  <c r="F31" i="21"/>
  <c r="D31" i="21"/>
  <c r="C31" i="21"/>
  <c r="G30" i="21"/>
  <c r="G36" i="21" s="1"/>
  <c r="F30" i="21"/>
  <c r="F36" i="21" s="1"/>
  <c r="D30" i="21"/>
  <c r="C30" i="21"/>
  <c r="D25" i="21"/>
  <c r="C25" i="21"/>
  <c r="J24" i="21"/>
  <c r="I24" i="21"/>
  <c r="G24" i="21"/>
  <c r="F24" i="21"/>
  <c r="D24" i="21"/>
  <c r="C24" i="21"/>
  <c r="J23" i="21"/>
  <c r="I23" i="21"/>
  <c r="G23" i="21"/>
  <c r="F23" i="21"/>
  <c r="D23" i="21"/>
  <c r="C23" i="21"/>
  <c r="J22" i="21"/>
  <c r="I22" i="21"/>
  <c r="G22" i="21"/>
  <c r="F22" i="21"/>
  <c r="D22" i="21"/>
  <c r="C22" i="21"/>
  <c r="J21" i="21"/>
  <c r="I21" i="21"/>
  <c r="G21" i="21"/>
  <c r="F21" i="21"/>
  <c r="D21" i="21"/>
  <c r="C21" i="21"/>
  <c r="D16" i="21"/>
  <c r="C16" i="21"/>
  <c r="M15" i="21"/>
  <c r="L15" i="21"/>
  <c r="J15" i="21"/>
  <c r="I15" i="21"/>
  <c r="D15" i="21"/>
  <c r="C15" i="21"/>
  <c r="M14" i="21"/>
  <c r="L14" i="21"/>
  <c r="J14" i="21"/>
  <c r="I14" i="21"/>
  <c r="D14" i="21"/>
  <c r="C14" i="21"/>
  <c r="M13" i="21"/>
  <c r="L13" i="21"/>
  <c r="J13" i="21"/>
  <c r="I13" i="21"/>
  <c r="G13" i="21"/>
  <c r="F13" i="21"/>
  <c r="D13" i="21"/>
  <c r="C13" i="21"/>
  <c r="M12" i="21"/>
  <c r="L12" i="21"/>
  <c r="J12" i="21"/>
  <c r="I12" i="21"/>
  <c r="G12" i="21"/>
  <c r="G18" i="21" s="1"/>
  <c r="F12" i="21"/>
  <c r="F18" i="21" s="1"/>
  <c r="D12" i="21"/>
  <c r="C12" i="21"/>
  <c r="P6" i="21"/>
  <c r="O6" i="21"/>
  <c r="M6" i="21"/>
  <c r="L6" i="21"/>
  <c r="J6" i="21"/>
  <c r="I6" i="21"/>
  <c r="G6" i="21"/>
  <c r="F6" i="21"/>
  <c r="D6" i="21"/>
  <c r="C6" i="21"/>
  <c r="P5" i="21"/>
  <c r="O5" i="21"/>
  <c r="M5" i="21"/>
  <c r="L5" i="21"/>
  <c r="J5" i="21"/>
  <c r="I5" i="21"/>
  <c r="G5" i="21"/>
  <c r="F5" i="21"/>
  <c r="D5" i="21"/>
  <c r="C5" i="21"/>
  <c r="P4" i="21"/>
  <c r="O4" i="21"/>
  <c r="M4" i="21"/>
  <c r="L4" i="21"/>
  <c r="J4" i="21"/>
  <c r="I4" i="21"/>
  <c r="G4" i="21"/>
  <c r="F4" i="21"/>
  <c r="D4" i="21"/>
  <c r="C4" i="21"/>
  <c r="P3" i="21"/>
  <c r="O3" i="21"/>
  <c r="O9" i="21" s="1"/>
  <c r="M3" i="21"/>
  <c r="L3" i="21"/>
  <c r="J3" i="21"/>
  <c r="I3" i="21"/>
  <c r="I9" i="21" s="1"/>
  <c r="G3" i="21"/>
  <c r="F3" i="21"/>
  <c r="D3" i="21"/>
  <c r="C3" i="21"/>
  <c r="C9" i="21" s="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F51" i="20"/>
  <c r="F50" i="20"/>
  <c r="I3" i="15"/>
  <c r="I4" i="15"/>
  <c r="I5" i="15"/>
  <c r="I6" i="15"/>
  <c r="I7" i="15"/>
  <c r="I8" i="15"/>
  <c r="I9" i="15"/>
  <c r="I10" i="15"/>
  <c r="I11" i="15"/>
  <c r="E7" i="1"/>
  <c r="E8" i="1"/>
  <c r="E6" i="1"/>
  <c r="E5" i="1"/>
  <c r="E4" i="1"/>
  <c r="D9" i="21" l="1"/>
  <c r="J9" i="21"/>
  <c r="P9" i="21"/>
  <c r="D18" i="21"/>
  <c r="J18" i="21"/>
  <c r="G27" i="21"/>
  <c r="L18" i="21"/>
  <c r="C27" i="21"/>
  <c r="I27" i="21"/>
  <c r="L9" i="21"/>
  <c r="F9" i="21"/>
  <c r="G9" i="21"/>
  <c r="M9" i="21"/>
  <c r="D36" i="21"/>
  <c r="B36" i="21" s="1"/>
  <c r="C39" i="21" s="1"/>
  <c r="C36" i="21"/>
  <c r="D27" i="21"/>
  <c r="J27" i="21"/>
  <c r="F27" i="21"/>
  <c r="M18" i="21"/>
  <c r="C18" i="21"/>
  <c r="I18" i="2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27" i="21" l="1"/>
  <c r="C40" i="21" s="1"/>
  <c r="B9" i="21"/>
  <c r="C42" i="21" s="1"/>
  <c r="B18" i="21"/>
  <c r="C41" i="21" s="1"/>
  <c r="G4" i="20"/>
  <c r="G8" i="20"/>
  <c r="G12" i="20"/>
  <c r="G16" i="20"/>
  <c r="G20" i="20"/>
  <c r="G24" i="20"/>
  <c r="G28" i="20"/>
  <c r="G32" i="20"/>
  <c r="G36" i="20"/>
  <c r="G40" i="20"/>
  <c r="G44" i="20"/>
  <c r="G48" i="20"/>
  <c r="G9" i="20"/>
  <c r="G13" i="20"/>
  <c r="G17" i="20"/>
  <c r="G21" i="20"/>
  <c r="G25" i="20"/>
  <c r="G29" i="20"/>
  <c r="G33" i="20"/>
  <c r="G37" i="20"/>
  <c r="G41" i="20"/>
  <c r="G45" i="20"/>
  <c r="G49" i="20"/>
  <c r="G10" i="20"/>
  <c r="G14" i="20"/>
  <c r="G18" i="20"/>
  <c r="G22" i="20"/>
  <c r="G26" i="20"/>
  <c r="G30" i="20"/>
  <c r="G34" i="20"/>
  <c r="G38" i="20"/>
  <c r="G42" i="20"/>
  <c r="G46" i="20"/>
  <c r="G11" i="20"/>
  <c r="G15" i="20"/>
  <c r="G19" i="20"/>
  <c r="G23" i="20"/>
  <c r="G27" i="20"/>
  <c r="G31" i="20"/>
  <c r="G35" i="20"/>
  <c r="G39" i="20"/>
  <c r="G43" i="20"/>
  <c r="G47" i="20"/>
  <c r="G5" i="20"/>
  <c r="G6" i="20"/>
  <c r="G7" i="20"/>
  <c r="H3" i="15"/>
  <c r="H4" i="15"/>
  <c r="H5" i="15"/>
  <c r="H6" i="15"/>
  <c r="H7" i="15"/>
  <c r="H8" i="15"/>
  <c r="H9" i="15"/>
  <c r="H10" i="15"/>
  <c r="H11" i="15"/>
  <c r="E14" i="3" l="1"/>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E41" i="3"/>
  <c r="F41" i="3"/>
  <c r="E42" i="3"/>
  <c r="F42" i="3"/>
  <c r="E43" i="3"/>
  <c r="F43" i="3"/>
  <c r="E44" i="3"/>
  <c r="F44" i="3"/>
  <c r="E45" i="3"/>
  <c r="F45" i="3"/>
  <c r="E46" i="3"/>
  <c r="F46" i="3"/>
  <c r="E47" i="3"/>
  <c r="F47" i="3"/>
  <c r="E48" i="3"/>
  <c r="F48" i="3"/>
  <c r="E4" i="3"/>
  <c r="F4" i="3"/>
  <c r="E5" i="3"/>
  <c r="F5" i="3"/>
  <c r="E6" i="3"/>
  <c r="F6" i="3"/>
  <c r="E7" i="3"/>
  <c r="F7" i="3"/>
  <c r="E8" i="3"/>
  <c r="F8" i="3"/>
  <c r="E9" i="3"/>
  <c r="F9" i="3"/>
  <c r="E10" i="3"/>
  <c r="F10" i="3"/>
  <c r="E11" i="3"/>
  <c r="F11" i="3"/>
  <c r="E12" i="3"/>
  <c r="F12" i="3"/>
  <c r="E13" i="3"/>
  <c r="F13" i="3"/>
  <c r="F3" i="3"/>
  <c r="E3" i="3"/>
  <c r="F79" i="10" l="1"/>
  <c r="G79" i="10" s="1"/>
  <c r="F80" i="10"/>
  <c r="G80" i="10" s="1"/>
  <c r="F81" i="10"/>
  <c r="G81" i="10" s="1"/>
  <c r="F82" i="10"/>
  <c r="G82" i="10" s="1"/>
  <c r="F83" i="10"/>
  <c r="G83" i="10" s="1"/>
  <c r="F84" i="10"/>
  <c r="G84" i="10" s="1"/>
  <c r="F85" i="10"/>
  <c r="G85" i="10" s="1"/>
  <c r="F86" i="10"/>
  <c r="G86" i="10" s="1"/>
  <c r="F87" i="10"/>
  <c r="G87" i="10" s="1"/>
  <c r="F88" i="10"/>
  <c r="G88" i="10" s="1"/>
  <c r="F89" i="10"/>
  <c r="G89" i="10" s="1"/>
  <c r="F90" i="10"/>
  <c r="G90" i="10" s="1"/>
  <c r="F91" i="10"/>
  <c r="G91" i="10" s="1"/>
  <c r="F92" i="10"/>
  <c r="G92" i="10" s="1"/>
  <c r="F93" i="10"/>
  <c r="G93" i="10" s="1"/>
  <c r="F65" i="10"/>
  <c r="G65" i="10" s="1"/>
  <c r="F66" i="10"/>
  <c r="G66" i="10" s="1"/>
  <c r="F67" i="10"/>
  <c r="G67" i="10" s="1"/>
  <c r="F68" i="10"/>
  <c r="G68" i="10" s="1"/>
  <c r="F69" i="10"/>
  <c r="G69" i="10" s="1"/>
  <c r="F70" i="10"/>
  <c r="G70" i="10" s="1"/>
  <c r="F71" i="10"/>
  <c r="G71" i="10" s="1"/>
  <c r="F72" i="10"/>
  <c r="G72" i="10" s="1"/>
  <c r="F73" i="10"/>
  <c r="G73" i="10" s="1"/>
  <c r="F74" i="10"/>
  <c r="G74" i="10" s="1"/>
  <c r="F75" i="10"/>
  <c r="G75" i="10" s="1"/>
  <c r="F76" i="10"/>
  <c r="G76" i="10" s="1"/>
  <c r="F77" i="10"/>
  <c r="G77" i="10" s="1"/>
  <c r="F78" i="10"/>
  <c r="G78" i="10" s="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J32" i="3"/>
  <c r="J33" i="3"/>
  <c r="J34" i="3"/>
  <c r="J35" i="3"/>
  <c r="J36" i="3"/>
  <c r="J37" i="3"/>
  <c r="J38" i="3"/>
  <c r="J39" i="3"/>
  <c r="J40" i="3"/>
  <c r="J41" i="3"/>
  <c r="J42" i="3"/>
  <c r="J43" i="3"/>
  <c r="J44" i="3"/>
  <c r="J45" i="3"/>
  <c r="J46" i="3"/>
  <c r="J47" i="3"/>
  <c r="J48" i="3"/>
  <c r="H31" i="3"/>
  <c r="H32" i="3"/>
  <c r="H33" i="3"/>
  <c r="H34" i="3"/>
  <c r="H35" i="3"/>
  <c r="H36" i="3"/>
  <c r="H37" i="3"/>
  <c r="H38" i="3"/>
  <c r="H39" i="3"/>
  <c r="H40" i="3"/>
  <c r="H41" i="3"/>
  <c r="H42" i="3"/>
  <c r="H43" i="3"/>
  <c r="H44" i="3"/>
  <c r="H45" i="3"/>
  <c r="H46" i="3"/>
  <c r="H47" i="3"/>
  <c r="H48" i="3"/>
  <c r="H4" i="3"/>
  <c r="H5" i="3"/>
  <c r="H6" i="3"/>
  <c r="H7" i="3"/>
  <c r="H8" i="3"/>
  <c r="H9" i="3"/>
  <c r="H10" i="3"/>
  <c r="H11" i="3"/>
  <c r="H12" i="3"/>
  <c r="H13" i="3"/>
  <c r="H14" i="3"/>
  <c r="H15" i="3"/>
  <c r="H16" i="3"/>
  <c r="H17" i="3"/>
  <c r="H18" i="3"/>
  <c r="H19" i="3"/>
  <c r="H20" i="3"/>
  <c r="H21" i="3"/>
  <c r="H22" i="3"/>
  <c r="H23" i="3"/>
  <c r="H24" i="3"/>
  <c r="H25" i="3"/>
  <c r="H26" i="3"/>
  <c r="H27" i="3"/>
  <c r="H28" i="3"/>
  <c r="H29" i="3"/>
  <c r="H30" i="3"/>
  <c r="J3" i="3"/>
  <c r="J4" i="3"/>
  <c r="J5" i="3"/>
  <c r="J6" i="3"/>
  <c r="J7" i="3"/>
  <c r="J8" i="3"/>
  <c r="J9" i="3"/>
  <c r="J10" i="3"/>
  <c r="J11" i="3"/>
  <c r="J12" i="3"/>
  <c r="J13" i="3"/>
  <c r="J14" i="3"/>
  <c r="J15" i="3"/>
  <c r="J16" i="3"/>
  <c r="J17" i="3"/>
  <c r="J18" i="3"/>
  <c r="J19" i="3"/>
  <c r="J20" i="3"/>
  <c r="J21" i="3"/>
  <c r="J22" i="3"/>
  <c r="J23" i="3"/>
  <c r="J24" i="3"/>
  <c r="J25" i="3"/>
  <c r="J26" i="3"/>
  <c r="J27" i="3"/>
  <c r="J28" i="3"/>
  <c r="J29" i="3"/>
  <c r="H3" i="3"/>
  <c r="J30" i="3"/>
  <c r="J31" i="3"/>
  <c r="F3" i="10"/>
  <c r="G3" i="10" s="1"/>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1" i="10"/>
  <c r="G21" i="10" s="1"/>
  <c r="F22" i="10"/>
  <c r="G22" i="10" s="1"/>
  <c r="F23" i="10"/>
  <c r="G23" i="10" s="1"/>
  <c r="F24" i="10"/>
  <c r="G24" i="10" s="1"/>
  <c r="F25" i="10"/>
  <c r="G25" i="10" s="1"/>
  <c r="F26" i="10"/>
  <c r="G26" i="10" s="1"/>
  <c r="F27" i="10"/>
  <c r="G27" i="10" s="1"/>
  <c r="F28" i="10"/>
  <c r="G28" i="10" s="1"/>
  <c r="F29" i="10"/>
  <c r="G29" i="10" s="1"/>
  <c r="F30" i="10"/>
  <c r="G30" i="10" s="1"/>
  <c r="F31" i="10"/>
  <c r="G31" i="10" s="1"/>
  <c r="F32" i="10"/>
  <c r="G32" i="10" s="1"/>
  <c r="F33" i="10"/>
  <c r="G33" i="10" s="1"/>
  <c r="F34" i="10"/>
  <c r="G34" i="10" s="1"/>
  <c r="F35" i="10"/>
  <c r="G35" i="10" s="1"/>
  <c r="F36" i="10"/>
  <c r="G36" i="10" s="1"/>
  <c r="F37" i="10"/>
  <c r="G37" i="10" s="1"/>
  <c r="F38" i="10"/>
  <c r="G38" i="10" s="1"/>
  <c r="F39" i="10"/>
  <c r="G39" i="10" s="1"/>
  <c r="F40" i="10"/>
  <c r="G40" i="10" s="1"/>
  <c r="F41" i="10"/>
  <c r="G41" i="10" s="1"/>
  <c r="F42" i="10"/>
  <c r="G42" i="10" s="1"/>
  <c r="F43" i="10"/>
  <c r="G43" i="10" s="1"/>
  <c r="F44" i="10"/>
  <c r="G44" i="10" s="1"/>
  <c r="F45" i="10"/>
  <c r="G45" i="10" s="1"/>
  <c r="F46" i="10"/>
  <c r="G46" i="10" s="1"/>
  <c r="F47" i="10"/>
  <c r="G47" i="10" s="1"/>
  <c r="F48" i="10"/>
  <c r="G48" i="10" s="1"/>
  <c r="F49" i="10"/>
  <c r="G49" i="10" s="1"/>
  <c r="F50" i="10"/>
  <c r="G50" i="10" s="1"/>
  <c r="F51" i="10"/>
  <c r="G51" i="10" s="1"/>
  <c r="F52" i="10"/>
  <c r="G52" i="10" s="1"/>
  <c r="F53" i="10"/>
  <c r="G53" i="10" s="1"/>
  <c r="F54" i="10"/>
  <c r="G54" i="10" s="1"/>
  <c r="F55" i="10"/>
  <c r="G55" i="10" s="1"/>
  <c r="F56" i="10"/>
  <c r="G56" i="10" s="1"/>
  <c r="F57" i="10"/>
  <c r="G57" i="10" s="1"/>
  <c r="F58" i="10"/>
  <c r="G58" i="10" s="1"/>
  <c r="F59" i="10"/>
  <c r="G59" i="10" s="1"/>
  <c r="F60" i="10"/>
  <c r="G60" i="10" s="1"/>
  <c r="F61" i="10"/>
  <c r="G61" i="10" s="1"/>
  <c r="F62" i="10"/>
  <c r="G62" i="10" s="1"/>
  <c r="F63" i="10"/>
  <c r="G63" i="10" s="1"/>
  <c r="F64" i="10"/>
  <c r="G64" i="10" s="1"/>
  <c r="F4" i="11"/>
  <c r="F5" i="11"/>
  <c r="H5" i="11" s="1"/>
  <c r="F6" i="11"/>
  <c r="F7" i="11"/>
  <c r="H7" i="11" s="1"/>
  <c r="F8" i="11"/>
  <c r="F9" i="11"/>
  <c r="H9" i="11" s="1"/>
  <c r="F10" i="11"/>
  <c r="F11" i="11"/>
  <c r="H11" i="11" s="1"/>
  <c r="F12" i="11"/>
  <c r="F13" i="11"/>
  <c r="H13" i="11" s="1"/>
  <c r="F14" i="11"/>
  <c r="F15" i="11"/>
  <c r="F16" i="11"/>
  <c r="F17" i="11"/>
  <c r="H17" i="11" s="1"/>
  <c r="F18" i="11"/>
  <c r="F19" i="11"/>
  <c r="F20" i="11"/>
  <c r="F21" i="11"/>
  <c r="H21" i="11" s="1"/>
  <c r="F22" i="11"/>
  <c r="F23" i="11"/>
  <c r="F24" i="11"/>
  <c r="F25" i="11"/>
  <c r="H25" i="11" s="1"/>
  <c r="F26" i="11"/>
  <c r="F27" i="11"/>
  <c r="F28" i="11"/>
  <c r="F29" i="11"/>
  <c r="H29" i="11" s="1"/>
  <c r="F30" i="11"/>
  <c r="F31" i="11"/>
  <c r="F32" i="11"/>
  <c r="F33" i="11"/>
  <c r="H33" i="11" s="1"/>
  <c r="F34" i="11"/>
  <c r="F35" i="11"/>
  <c r="F36" i="11"/>
  <c r="F37" i="11"/>
  <c r="H37" i="11" s="1"/>
  <c r="F38" i="11"/>
  <c r="H38" i="11" s="1"/>
  <c r="F39" i="11"/>
  <c r="F40" i="11"/>
  <c r="F41" i="11"/>
  <c r="H41" i="11" s="1"/>
  <c r="F42" i="11"/>
  <c r="H42" i="11" s="1"/>
  <c r="F43" i="11"/>
  <c r="F44" i="11"/>
  <c r="F45" i="11"/>
  <c r="H45" i="11" s="1"/>
  <c r="F46" i="11"/>
  <c r="H46" i="11" s="1"/>
  <c r="F47" i="11"/>
  <c r="F48" i="11"/>
  <c r="F49" i="11"/>
  <c r="H49" i="11" s="1"/>
  <c r="F3" i="11"/>
  <c r="H3" i="11" s="1"/>
  <c r="C4" i="11"/>
  <c r="C10" i="11"/>
  <c r="C11" i="11"/>
  <c r="C26" i="11"/>
  <c r="C12" i="11"/>
  <c r="C13" i="11"/>
  <c r="C14" i="11"/>
  <c r="C5" i="11"/>
  <c r="C3" i="11"/>
  <c r="C19" i="11"/>
  <c r="C20" i="11"/>
  <c r="C18" i="11"/>
  <c r="C29" i="11"/>
  <c r="C42" i="11"/>
  <c r="C9" i="11"/>
  <c r="C21" i="11"/>
  <c r="C30" i="11"/>
  <c r="C27" i="11"/>
  <c r="C15" i="11"/>
  <c r="C16" i="11"/>
  <c r="C17" i="11"/>
  <c r="C31" i="11"/>
  <c r="C22" i="11"/>
  <c r="C23" i="11"/>
  <c r="C24" i="11"/>
  <c r="C25" i="11"/>
  <c r="C37" i="11"/>
  <c r="C38" i="11"/>
  <c r="C46" i="11"/>
  <c r="C32" i="11"/>
  <c r="C33" i="11"/>
  <c r="C34" i="11"/>
  <c r="C35" i="11"/>
  <c r="C43" i="11"/>
  <c r="C36" i="11"/>
  <c r="C44" i="11"/>
  <c r="C45" i="11"/>
  <c r="C28" i="11"/>
  <c r="C41" i="11"/>
  <c r="C47" i="11"/>
  <c r="C48" i="11"/>
  <c r="C49" i="11"/>
  <c r="C6" i="11"/>
  <c r="C7" i="11"/>
  <c r="C39" i="11"/>
  <c r="C40" i="11"/>
  <c r="C8" i="11"/>
  <c r="K31" i="3" l="1"/>
  <c r="D7" i="11"/>
  <c r="H48" i="11"/>
  <c r="H44" i="11"/>
  <c r="H40" i="11"/>
  <c r="H36" i="11"/>
  <c r="H32" i="11"/>
  <c r="H28" i="11"/>
  <c r="H24" i="11"/>
  <c r="H20" i="11"/>
  <c r="H16" i="11"/>
  <c r="H12" i="11"/>
  <c r="H8" i="11"/>
  <c r="H4" i="11"/>
  <c r="H47" i="11"/>
  <c r="H43" i="11"/>
  <c r="H39" i="11"/>
  <c r="H35" i="11"/>
  <c r="H31" i="11"/>
  <c r="H27" i="11"/>
  <c r="H23" i="11"/>
  <c r="H19" i="11"/>
  <c r="H15" i="11"/>
  <c r="H34" i="11"/>
  <c r="H30" i="11"/>
  <c r="H26" i="11"/>
  <c r="H22" i="11"/>
  <c r="H18" i="11"/>
  <c r="H14" i="11"/>
  <c r="H10" i="11"/>
  <c r="H6" i="11"/>
  <c r="K44" i="3"/>
  <c r="K36" i="3"/>
  <c r="K48" i="3"/>
  <c r="K47" i="3"/>
  <c r="K45" i="3"/>
  <c r="K43" i="3"/>
  <c r="K41" i="3"/>
  <c r="K40" i="3"/>
  <c r="K39" i="3"/>
  <c r="K37" i="3"/>
  <c r="K35" i="3"/>
  <c r="K33" i="3"/>
  <c r="K32" i="3"/>
  <c r="K46" i="3"/>
  <c r="K42" i="3"/>
  <c r="K38" i="3"/>
  <c r="K34" i="3"/>
  <c r="K14" i="3"/>
  <c r="K27" i="3"/>
  <c r="D22" i="11"/>
  <c r="D41" i="11"/>
  <c r="D3" i="11"/>
  <c r="D39" i="11"/>
  <c r="D19" i="11"/>
  <c r="D35" i="11"/>
  <c r="D27" i="11"/>
  <c r="D11" i="11"/>
  <c r="D37" i="11"/>
  <c r="D26" i="11"/>
  <c r="D25" i="11"/>
  <c r="D17" i="11"/>
  <c r="K26" i="3"/>
  <c r="K4" i="3"/>
  <c r="D44" i="11"/>
  <c r="D28" i="11"/>
  <c r="K3" i="3"/>
  <c r="K13" i="3"/>
  <c r="D40" i="11"/>
  <c r="K7" i="3"/>
  <c r="K20" i="3"/>
  <c r="K8" i="3"/>
  <c r="K29" i="3"/>
  <c r="D49" i="11"/>
  <c r="K12" i="3"/>
  <c r="K5" i="3"/>
  <c r="K23" i="3"/>
  <c r="K28" i="3"/>
  <c r="D8" i="11"/>
  <c r="D9" i="11"/>
  <c r="D20" i="11"/>
  <c r="K17" i="3"/>
  <c r="D32" i="11"/>
  <c r="D34" i="11"/>
  <c r="K6" i="3"/>
  <c r="K19" i="3"/>
  <c r="D18" i="11"/>
  <c r="D5" i="11"/>
  <c r="D21" i="11"/>
  <c r="D47" i="11"/>
  <c r="K10" i="3"/>
  <c r="D43" i="11"/>
  <c r="K15" i="3"/>
  <c r="K21" i="3"/>
  <c r="D16" i="11"/>
  <c r="K16" i="3"/>
  <c r="D6" i="11"/>
  <c r="D33" i="11"/>
  <c r="D29" i="11"/>
  <c r="D36" i="11"/>
  <c r="K11" i="3"/>
  <c r="D14" i="11"/>
  <c r="K24" i="3"/>
  <c r="K25" i="3"/>
  <c r="K9" i="3"/>
  <c r="D45" i="11"/>
  <c r="D15" i="11"/>
  <c r="D24" i="11"/>
  <c r="D31" i="11"/>
  <c r="D48" i="11"/>
  <c r="D46" i="11"/>
  <c r="D38" i="11"/>
  <c r="D30" i="11"/>
  <c r="D42" i="11"/>
  <c r="D13" i="11"/>
  <c r="D4" i="11"/>
  <c r="K30" i="3"/>
  <c r="K22" i="3"/>
  <c r="K18" i="3"/>
  <c r="D23" i="11"/>
  <c r="D10" i="11"/>
  <c r="D12" i="11"/>
  <c r="D4" i="1"/>
  <c r="D5" i="1"/>
  <c r="D6" i="1"/>
  <c r="D7" i="1"/>
  <c r="D8" i="1"/>
  <c r="D3" i="1"/>
  <c r="E23" i="11" l="1"/>
  <c r="E36" i="11"/>
  <c r="E29" i="11"/>
  <c r="E31" i="11"/>
  <c r="E46" i="11"/>
  <c r="E25" i="11"/>
  <c r="E39" i="11"/>
  <c r="E34" i="11" l="1"/>
  <c r="E4" i="11"/>
  <c r="E42" i="11"/>
  <c r="E15" i="11"/>
  <c r="E13" i="11"/>
  <c r="E44" i="11"/>
  <c r="E16" i="11"/>
  <c r="E37" i="11"/>
  <c r="E28" i="11"/>
  <c r="E22" i="11"/>
  <c r="E40" i="11"/>
  <c r="E38" i="11"/>
  <c r="E43" i="11"/>
  <c r="E35" i="11"/>
  <c r="E30" i="11"/>
  <c r="E11" i="11"/>
  <c r="E45" i="11"/>
  <c r="E41" i="11"/>
  <c r="E17" i="11"/>
  <c r="E19" i="11"/>
  <c r="E14" i="11"/>
  <c r="E10" i="11"/>
  <c r="E24" i="11"/>
  <c r="E26" i="11"/>
  <c r="E5" i="11"/>
  <c r="E21" i="11"/>
  <c r="E8" i="11"/>
  <c r="E47" i="11"/>
  <c r="E32" i="11"/>
  <c r="E7" i="11"/>
  <c r="E12" i="11"/>
  <c r="E33" i="11"/>
  <c r="E6" i="11"/>
  <c r="E27" i="11"/>
  <c r="E20" i="11"/>
  <c r="E9" i="11"/>
  <c r="E18" i="11"/>
  <c r="E48" i="11"/>
  <c r="E49" i="11"/>
  <c r="E3" i="11"/>
</calcChain>
</file>

<file path=xl/sharedStrings.xml><?xml version="1.0" encoding="utf-8"?>
<sst xmlns="http://schemas.openxmlformats.org/spreadsheetml/2006/main" count="767" uniqueCount="219">
  <si>
    <t>Points</t>
  </si>
  <si>
    <t>Efficiency</t>
  </si>
  <si>
    <t>ID</t>
  </si>
  <si>
    <t>City01</t>
  </si>
  <si>
    <t>City02</t>
  </si>
  <si>
    <t>Edinburgh</t>
  </si>
  <si>
    <t>London</t>
  </si>
  <si>
    <t>Amsterdam</t>
  </si>
  <si>
    <t>Dieppe</t>
  </si>
  <si>
    <t>Brest</t>
  </si>
  <si>
    <t>Bruxelles</t>
  </si>
  <si>
    <t>Paris</t>
  </si>
  <si>
    <t>Frankfurt</t>
  </si>
  <si>
    <t>Zurich</t>
  </si>
  <si>
    <t>Marseille</t>
  </si>
  <si>
    <t>Pamplona</t>
  </si>
  <si>
    <t>Kyiv</t>
  </si>
  <si>
    <t>Budapest</t>
  </si>
  <si>
    <t>Bucresti</t>
  </si>
  <si>
    <t>Warszawa</t>
  </si>
  <si>
    <t>Smolensk</t>
  </si>
  <si>
    <t>Wilno</t>
  </si>
  <si>
    <t>Berlin</t>
  </si>
  <si>
    <t>Munchen</t>
  </si>
  <si>
    <t>Essen</t>
  </si>
  <si>
    <t>Wien</t>
  </si>
  <si>
    <t>Zagrab</t>
  </si>
  <si>
    <t>Madrid</t>
  </si>
  <si>
    <t>Barcelona</t>
  </si>
  <si>
    <t>Roma</t>
  </si>
  <si>
    <t>Sarajevo</t>
  </si>
  <si>
    <t>Riga</t>
  </si>
  <si>
    <t>Petrograd</t>
  </si>
  <si>
    <t>Kharkov</t>
  </si>
  <si>
    <t>Sevastopol</t>
  </si>
  <si>
    <t>Constantinople</t>
  </si>
  <si>
    <t>Sofia</t>
  </si>
  <si>
    <t>Sevastapol</t>
  </si>
  <si>
    <t>Rostov</t>
  </si>
  <si>
    <t>Sochi</t>
  </si>
  <si>
    <t>Smyrna</t>
  </si>
  <si>
    <t>Angora</t>
  </si>
  <si>
    <t>Lisboa</t>
  </si>
  <si>
    <t>Cadiz</t>
  </si>
  <si>
    <t>KobenHavn</t>
  </si>
  <si>
    <t>Kobenhavn</t>
  </si>
  <si>
    <t>Venezia</t>
  </si>
  <si>
    <t>Athena</t>
  </si>
  <si>
    <t>Palermo</t>
  </si>
  <si>
    <t>Brindisi</t>
  </si>
  <si>
    <t>Athina</t>
  </si>
  <si>
    <t>Stockholm</t>
  </si>
  <si>
    <t>Moskva</t>
  </si>
  <si>
    <t>City</t>
  </si>
  <si>
    <t>RtP_Table</t>
  </si>
  <si>
    <t>Ticket Info</t>
  </si>
  <si>
    <t>Route01_ID</t>
  </si>
  <si>
    <t>Route02_ID</t>
  </si>
  <si>
    <t>Route03_ID</t>
  </si>
  <si>
    <t>Route04_ID</t>
  </si>
  <si>
    <t>Route05_ID</t>
  </si>
  <si>
    <t>Route06_ID</t>
  </si>
  <si>
    <t>Route07_ID</t>
  </si>
  <si>
    <t>Route08_ID</t>
  </si>
  <si>
    <t>Ticket_Points</t>
  </si>
  <si>
    <t>Erzurum</t>
  </si>
  <si>
    <t>Danzig</t>
  </si>
  <si>
    <t>Route_Points</t>
  </si>
  <si>
    <t>Route_Length</t>
  </si>
  <si>
    <t>Route_Info_Table</t>
  </si>
  <si>
    <t>Cities_Table</t>
  </si>
  <si>
    <t>AVG_Route_Length</t>
  </si>
  <si>
    <t>AVG_Eff</t>
  </si>
  <si>
    <t>Ticket_Destination_Freq</t>
  </si>
  <si>
    <t>Route</t>
  </si>
  <si>
    <t>Path_Num</t>
  </si>
  <si>
    <t>Total_Interaction</t>
  </si>
  <si>
    <t>Quad01</t>
  </si>
  <si>
    <t>Quad02</t>
  </si>
  <si>
    <t>Quad</t>
  </si>
  <si>
    <t>Color Table</t>
  </si>
  <si>
    <t>Color</t>
  </si>
  <si>
    <t>Length1</t>
  </si>
  <si>
    <t>Length2</t>
  </si>
  <si>
    <t>Length3</t>
  </si>
  <si>
    <t>Length4</t>
  </si>
  <si>
    <t>Length6</t>
  </si>
  <si>
    <t>Length8</t>
  </si>
  <si>
    <t>Orange</t>
  </si>
  <si>
    <t>Black</t>
  </si>
  <si>
    <t>Yellow</t>
  </si>
  <si>
    <t>White</t>
  </si>
  <si>
    <t>Green</t>
  </si>
  <si>
    <t>Blue</t>
  </si>
  <si>
    <t>Purple</t>
  </si>
  <si>
    <t>Red</t>
  </si>
  <si>
    <t>Gray</t>
  </si>
  <si>
    <t>Row Labels</t>
  </si>
  <si>
    <t>Grand Total</t>
  </si>
  <si>
    <t>NC</t>
  </si>
  <si>
    <t>NE</t>
  </si>
  <si>
    <t>NW</t>
  </si>
  <si>
    <t>SC</t>
  </si>
  <si>
    <t>SE</t>
  </si>
  <si>
    <t>SW</t>
  </si>
  <si>
    <t>Name</t>
  </si>
  <si>
    <t>Route Length</t>
  </si>
  <si>
    <t>PercentGrowth</t>
  </si>
  <si>
    <t>Route Colors</t>
  </si>
  <si>
    <t>Destination Tickets</t>
  </si>
  <si>
    <t>Amsterdam-Pamplona</t>
  </si>
  <si>
    <t>Amsterdam-Wilno</t>
  </si>
  <si>
    <t>Angora-Kharkov</t>
  </si>
  <si>
    <t>Athina-Angora</t>
  </si>
  <si>
    <t>Athina-Wilno</t>
  </si>
  <si>
    <t>Barcelona-Bruxelles</t>
  </si>
  <si>
    <t>Barcelona-Munchen</t>
  </si>
  <si>
    <t>Berlin-Bucresti</t>
  </si>
  <si>
    <t>Berlin-Moskva</t>
  </si>
  <si>
    <t>Berlin-Roma</t>
  </si>
  <si>
    <t>Brest-Marseille</t>
  </si>
  <si>
    <t>Brest-Petrograd</t>
  </si>
  <si>
    <t>Brest-Venezia</t>
  </si>
  <si>
    <t>Bruxelles-Danzig</t>
  </si>
  <si>
    <t>Budapest-Sofia</t>
  </si>
  <si>
    <t>Cadiz-Stockholm</t>
  </si>
  <si>
    <t>Edinburgh-Athina</t>
  </si>
  <si>
    <t>Edinburgh-Paris</t>
  </si>
  <si>
    <t>Essen-Kyiv</t>
  </si>
  <si>
    <t>Frankfurt-Kobenhavn</t>
  </si>
  <si>
    <t>Frankfurt-Smolensk</t>
  </si>
  <si>
    <t>Kobenhavn-Erzurum</t>
  </si>
  <si>
    <t>Kyiv-Petrograd</t>
  </si>
  <si>
    <t>Kyiv-Sochi</t>
  </si>
  <si>
    <t>Lisboa-Danzig</t>
  </si>
  <si>
    <t>London-Berlin</t>
  </si>
  <si>
    <t>London-Wien</t>
  </si>
  <si>
    <t>Madrid-Dieppe</t>
  </si>
  <si>
    <t>Madrid-Zurich</t>
  </si>
  <si>
    <t>Marseille-Essen</t>
  </si>
  <si>
    <t>Palermo-Constantinople</t>
  </si>
  <si>
    <t>Palermo-Moskva</t>
  </si>
  <si>
    <t>Paris-Wien</t>
  </si>
  <si>
    <t>Paris-Zagrab</t>
  </si>
  <si>
    <t>Riga-Bucresti</t>
  </si>
  <si>
    <t>Roma-Smyrna</t>
  </si>
  <si>
    <t>Rostov-Erzurum</t>
  </si>
  <si>
    <t>Sarajevo-Sevastopol</t>
  </si>
  <si>
    <t>Smolensk-Rostov</t>
  </si>
  <si>
    <t>Sofia-Smyrna</t>
  </si>
  <si>
    <t>Stockholm-Wien</t>
  </si>
  <si>
    <t>Venezia-Constantinople</t>
  </si>
  <si>
    <t>Warszawa-Smolensk</t>
  </si>
  <si>
    <t>Zagrab-Brindisi</t>
  </si>
  <si>
    <t>Zurich-Brindisi</t>
  </si>
  <si>
    <t>Zurich-Budapest</t>
  </si>
  <si>
    <t>Sum of Efficiency</t>
  </si>
  <si>
    <t>std dev</t>
  </si>
  <si>
    <t>mean</t>
  </si>
  <si>
    <t>We look at a table of the top 20 most efficient destination tickets</t>
  </si>
  <si>
    <t>Rank</t>
  </si>
  <si>
    <t>Here we see that the Top 11 tickets upon completion make routes as efficient as length 6 routes.</t>
  </si>
  <si>
    <t>Best  Value Ticket Strat</t>
  </si>
  <si>
    <t>1p</t>
  </si>
  <si>
    <t>2p</t>
  </si>
  <si>
    <t>3p</t>
  </si>
  <si>
    <t>4p</t>
  </si>
  <si>
    <t>5p</t>
  </si>
  <si>
    <t>Length</t>
  </si>
  <si>
    <t>16x4</t>
  </si>
  <si>
    <t>Total_Route_Points</t>
  </si>
  <si>
    <t>Player</t>
  </si>
  <si>
    <t>AVG</t>
  </si>
  <si>
    <t>w/o tickets</t>
  </si>
  <si>
    <t>w/tickets</t>
  </si>
  <si>
    <t>Points Standard</t>
  </si>
  <si>
    <t>Introduction</t>
  </si>
  <si>
    <t>In TTRE, players will earn more points for claiming longer routes, making it more efficient to use Train Cards on longer routes.</t>
  </si>
  <si>
    <t>Ticket to Ride Europe(TTRE) is a multiplayer board game where players use matching Train Cards to build railway routes between cities to earn the most points.</t>
  </si>
  <si>
    <t>Claiming Routes</t>
  </si>
  <si>
    <t>Train Routes come in 9 different colors: 8 main colors (Green, Blue, White, Purple, Black, Red, Orange, Yellow) and 1 "wild" color (Gray). We first see which color of routes yield the most total points.</t>
  </si>
  <si>
    <t>We see that Green/Blue are the colors that have the most potential points out of the main colors, while Orange/Yellow have the least potential points. However, both pale in comparison to the total potential points that the Gray routes offer.</t>
  </si>
  <si>
    <t>We can  look at why this is the case in this breakdown of the routes:</t>
  </si>
  <si>
    <t>This table suggests the colors that yield the most points are generally the ones with the most longest routes. E.g. Green/Blue have the most length 4 routes out of the main colors, so they yield more points than the other main colors.</t>
  </si>
  <si>
    <t>Since there are many rounds in the game where players will be holding cards, holding the higher value Green/Blue train color cards will give you a better chance to get the longer routes as well as deny other players from getting those points.</t>
  </si>
  <si>
    <t>Ticket Efficiency</t>
  </si>
  <si>
    <t>The next observation is the outlier in the [3.1, 3.2] bin, the Palermo to Constantinople Destination Ticket. Looking at this ticket, it is the only ticket to utilize a length 6 route in its shortest path, making it very point efficient.</t>
  </si>
  <si>
    <t>Additionally, we notice that the more efficient Destination Tickets all incorporate a length 4 Route in their shortest route path.</t>
  </si>
  <si>
    <t>One possible strategy here may be to complete high value destination tickets, ones that include a length 4 Route in their shortest route, ASAP.</t>
  </si>
  <si>
    <t>The Strategies</t>
  </si>
  <si>
    <t>Claiming Longest Routes</t>
  </si>
  <si>
    <t xml:space="preserve">From previous observations, we determined one possible strategy may be to claim as many long routes as possible. </t>
  </si>
  <si>
    <t>To begin determining the efficacy of this strategy, we will simulate a game of TTRE under certain assumptions as a basis for discussion.</t>
  </si>
  <si>
    <t>Simulation Assumptions</t>
  </si>
  <si>
    <t>Point Distributions (High Value Ticket Strategy)</t>
  </si>
  <si>
    <t>Point Distributions (Long Route Strategy)</t>
  </si>
  <si>
    <t>Players complete all tickets.</t>
  </si>
  <si>
    <t>Each player begins with 1 Long Destination Ticket and 1 normal Destination Ticket, distributed by descending point efficiency.</t>
  </si>
  <si>
    <t>In isolation, this isn't too interesting, so let's look at the next strategy for comparison.</t>
  </si>
  <si>
    <t>From previous observations, we determined another possible strategy may be to claim as many high value Destination Tickets as possible.</t>
  </si>
  <si>
    <t>To begin determining the efficacy of this strategy, we will simulate a game of TTRE under similar assumptions as the previous simulation as a basis for discussion.</t>
  </si>
  <si>
    <t>Averaging the points of all players at the end of the game, we get a value we will call the "Points Standard", the point amount to describe how well a player performed.</t>
  </si>
  <si>
    <t>Points from not using Stations and bonus points from "longest continous route" are not considered.</t>
  </si>
  <si>
    <t>Instead of only giving players 2 Destination Tickets, we will give as many valid Destination Tickets as possible to each player by descending point efficiency.</t>
  </si>
  <si>
    <t>If not all train cars are used, and it is not possible to give them a Destination Ticket, we will have players use the remaining train cars by claiming routes.</t>
  </si>
  <si>
    <t>Leftover routes are then distributed by descending length and in an appropriate manner until every player uses all his/her train cars.</t>
  </si>
  <si>
    <t>Comparing the two simulations, we observe that the points earned on average are higher with the best value ticket strategy than the longest route strategy.</t>
  </si>
  <si>
    <t>This is not to say one strategy is better than the other. The takeaway is simply that completing tickets give better value to your routes than not completing tickets. Thus, if you find yourself looking for more points, try to complete a Destination Ticket.</t>
  </si>
  <si>
    <t>This analysis aims to inform players's decision-making by illustrating to what degree claiming routes and completing Destination Tickets, can maximize their points earned per Train Card used.</t>
  </si>
  <si>
    <t>From this observation, a player may notice a simple strategy to have is to claim the longest routes ASAP.</t>
  </si>
  <si>
    <t>Instead of focusing on which Destination Tickets give the most points, we will look at the Destination Tickets that give the best value for each train card used.</t>
  </si>
  <si>
    <t>We measure the destination ticket value by looking at the (Destination Ticket points + Points per Route Length) / (Route Length). To calculate the Points per Route Length for each Destination Ticket, we assume the shortest route is the shortest possible path in length to get from city A to city B.</t>
  </si>
  <si>
    <t>The first observation is that Destination Tickets make routes point efficient. With all tickets valuing a point efficiency &gt;2, this means that all routes &lt;= length 4 that contribute to a Destination Ticket are more point efficient than a standalone route of length 4.</t>
  </si>
  <si>
    <t>Conclusion</t>
  </si>
  <si>
    <t>What we can draw from this analysis is that the length 8 route, the 2 length 6 routes, and Destination Tickets with at least 1 length 4 route in its shortest path are high value objectives to claim while playing TTRE.</t>
  </si>
  <si>
    <t>The fun part of the game is figuring out at what time you should take what moves. Should you immediately try to get the length 8 route? Should you take the risk early to scavenge for high efficiency Destination tickets?</t>
  </si>
  <si>
    <t>Another dimension to this game is about turn efficiency. Should you simply wait and draw until you have 45 train cars in your hand and then try to use your train cars all at once?</t>
  </si>
  <si>
    <t>How does all of this change with the number of players?</t>
  </si>
  <si>
    <t>Easy to play hard to master games that many designers aspire to 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</si>
</sst>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0"/>
      <name val="Calibri"/>
      <family val="2"/>
      <scheme val="minor"/>
    </font>
    <font>
      <sz val="8"/>
      <name val="Calibri"/>
      <family val="2"/>
      <scheme val="minor"/>
    </font>
    <font>
      <sz val="12"/>
      <color rgb="FF000000"/>
      <name val="Calibri"/>
      <family val="2"/>
      <scheme val="minor"/>
    </font>
    <font>
      <sz val="12"/>
      <color theme="1"/>
      <name val="Calibri"/>
      <family val="2"/>
      <scheme val="minor"/>
    </font>
    <font>
      <b/>
      <sz val="12"/>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63">
    <xf numFmtId="0" fontId="0" fillId="0" borderId="0" xfId="0"/>
    <xf numFmtId="0" fontId="1" fillId="2" borderId="0" xfId="0" applyFont="1" applyFill="1"/>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applyBorder="1"/>
    <xf numFmtId="0" fontId="1" fillId="3" borderId="0" xfId="0" applyFont="1" applyFill="1" applyBorder="1"/>
    <xf numFmtId="2" fontId="0" fillId="0" borderId="0" xfId="0" applyNumberFormat="1" applyBorder="1"/>
    <xf numFmtId="0" fontId="1" fillId="3" borderId="0" xfId="0" applyFont="1" applyFill="1"/>
    <xf numFmtId="2" fontId="0" fillId="0" borderId="0" xfId="0" applyNumberFormat="1"/>
    <xf numFmtId="0" fontId="0" fillId="3" borderId="0" xfId="0" applyFill="1" applyBorder="1"/>
    <xf numFmtId="0" fontId="0" fillId="4" borderId="0" xfId="0" applyFont="1" applyFill="1" applyBorder="1"/>
    <xf numFmtId="0" fontId="0" fillId="0" borderId="0" xfId="0" applyFont="1" applyBorder="1"/>
    <xf numFmtId="0" fontId="0" fillId="0" borderId="4" xfId="0" applyBorder="1"/>
    <xf numFmtId="0" fontId="1" fillId="2" borderId="5" xfId="0" applyFont="1" applyFill="1" applyBorder="1"/>
    <xf numFmtId="0" fontId="1" fillId="2" borderId="6" xfId="0" applyFont="1" applyFill="1" applyBorder="1"/>
    <xf numFmtId="0" fontId="0" fillId="2" borderId="6" xfId="0" applyFill="1" applyBorder="1"/>
    <xf numFmtId="0" fontId="0" fillId="2" borderId="7" xfId="0" applyFill="1" applyBorder="1"/>
    <xf numFmtId="0" fontId="0" fillId="0" borderId="8" xfId="0" applyBorder="1"/>
    <xf numFmtId="0" fontId="0" fillId="0" borderId="9" xfId="0" applyBorder="1"/>
    <xf numFmtId="0" fontId="1" fillId="3" borderId="10" xfId="0" applyFont="1" applyFill="1" applyBorder="1"/>
    <xf numFmtId="0" fontId="1" fillId="3" borderId="11" xfId="0" applyFont="1" applyFill="1" applyBorder="1"/>
    <xf numFmtId="0" fontId="1" fillId="3" borderId="12" xfId="0" applyFont="1" applyFill="1"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0" fillId="0" borderId="0" xfId="0" applyNumberForma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9" fontId="0" fillId="0" borderId="0" xfId="1" applyFont="1"/>
    <xf numFmtId="0" fontId="1" fillId="2" borderId="7" xfId="0" applyFont="1"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2" fontId="0" fillId="0" borderId="4" xfId="0" applyNumberFormat="1" applyBorder="1"/>
    <xf numFmtId="2" fontId="0" fillId="0" borderId="23" xfId="0" applyNumberFormat="1" applyBorder="1"/>
    <xf numFmtId="0" fontId="5" fillId="3" borderId="2" xfId="0" applyFont="1" applyFill="1" applyBorder="1"/>
    <xf numFmtId="0" fontId="5" fillId="3" borderId="3" xfId="0" applyFont="1" applyFill="1" applyBorder="1"/>
    <xf numFmtId="0" fontId="1" fillId="3" borderId="1" xfId="0" applyFont="1" applyFill="1" applyBorder="1"/>
    <xf numFmtId="0" fontId="1" fillId="3" borderId="2" xfId="0" applyFont="1" applyFill="1" applyBorder="1"/>
    <xf numFmtId="0" fontId="0" fillId="5" borderId="15" xfId="0" applyFill="1" applyBorder="1"/>
    <xf numFmtId="0" fontId="0" fillId="5" borderId="16" xfId="0" applyFill="1" applyBorder="1"/>
    <xf numFmtId="0" fontId="0" fillId="5" borderId="0" xfId="0" applyFill="1" applyBorder="1"/>
    <xf numFmtId="0" fontId="0" fillId="5" borderId="17" xfId="0" applyFill="1" applyBorder="1"/>
    <xf numFmtId="0" fontId="3" fillId="5" borderId="15" xfId="0" applyFont="1" applyFill="1" applyBorder="1"/>
    <xf numFmtId="0" fontId="5" fillId="2" borderId="2" xfId="0" applyFont="1" applyFill="1" applyBorder="1"/>
    <xf numFmtId="0" fontId="0" fillId="6" borderId="11" xfId="0" applyFill="1" applyBorder="1"/>
    <xf numFmtId="0" fontId="0" fillId="7" borderId="11" xfId="0" applyFill="1" applyBorder="1"/>
    <xf numFmtId="0" fontId="0" fillId="6" borderId="20" xfId="0" applyFill="1" applyBorder="1"/>
    <xf numFmtId="0" fontId="0" fillId="7" borderId="25" xfId="0" applyFill="1" applyBorder="1"/>
    <xf numFmtId="0" fontId="0" fillId="6" borderId="22" xfId="0" applyFill="1" applyBorder="1"/>
    <xf numFmtId="0" fontId="0" fillId="6" borderId="26" xfId="0" applyFill="1" applyBorder="1"/>
    <xf numFmtId="0" fontId="0" fillId="7" borderId="26" xfId="0" applyFill="1" applyBorder="1"/>
    <xf numFmtId="0" fontId="0" fillId="0" borderId="26" xfId="0" applyBorder="1"/>
    <xf numFmtId="0" fontId="0" fillId="7" borderId="12" xfId="0" applyFill="1" applyBorder="1"/>
    <xf numFmtId="0" fontId="0" fillId="0" borderId="17" xfId="0" applyFill="1" applyBorder="1"/>
    <xf numFmtId="0" fontId="0" fillId="0" borderId="19" xfId="0" applyFill="1" applyBorder="1"/>
  </cellXfs>
  <cellStyles count="2">
    <cellStyle name="Normal" xfId="0" builtinId="0"/>
    <cellStyle name="Percent" xfId="1" builtinId="5"/>
  </cellStyles>
  <dxfs count="33">
    <dxf>
      <numFmt numFmtId="0" formatCode="General"/>
    </dxf>
    <dxf>
      <numFmt numFmtId="0" formatCode="General"/>
    </dxf>
    <dxf>
      <numFmt numFmtId="0" formatCode="General"/>
    </dxf>
    <dxf>
      <numFmt numFmtId="2" formatCode="0.00"/>
    </dxf>
    <dxf>
      <numFmt numFmtId="2" formatCode="0.00"/>
    </dxf>
    <dxf>
      <font>
        <b val="0"/>
        <i val="0"/>
        <strike val="0"/>
        <condense val="0"/>
        <extend val="0"/>
        <outline val="0"/>
        <shadow val="0"/>
        <u val="none"/>
        <vertAlign val="baseline"/>
        <sz val="12"/>
        <color theme="0"/>
        <name val="Calibri"/>
        <family val="2"/>
        <scheme val="minor"/>
      </font>
      <fill>
        <patternFill patternType="solid">
          <fgColor indexed="64"/>
          <bgColor theme="0" tint="-0.499984740745262"/>
        </patternFill>
      </fill>
    </dxf>
    <dxf>
      <numFmt numFmtId="2" formatCode="0.00"/>
    </dxf>
    <dxf>
      <numFmt numFmtId="0" formatCode="General"/>
    </dxf>
    <dxf>
      <numFmt numFmtId="0" formatCode="General"/>
    </dxf>
    <dxf>
      <border outline="0">
        <left style="medium">
          <color indexed="64"/>
        </left>
        <right style="medium">
          <color indexed="64"/>
        </right>
        <bottom style="medium">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theme="0" tint="-0.499984740745262"/>
        </patternFill>
      </fill>
    </dxf>
    <dxf>
      <numFmt numFmtId="2" formatCode="0.00"/>
    </dxf>
    <dxf>
      <numFmt numFmtId="0" formatCode="General"/>
    </dxf>
    <dxf>
      <numFmt numFmtId="0" formatCode="General"/>
    </dxf>
    <dxf>
      <numFmt numFmtId="0" formatCode="General"/>
    </dxf>
    <dxf>
      <border diagonalUp="0" diagonalDown="0">
        <left style="medium">
          <color indexed="64"/>
        </left>
        <right style="medium">
          <color indexed="64"/>
        </right>
        <top style="medium">
          <color indexed="64"/>
        </top>
        <bottom style="medium">
          <color indexed="64"/>
        </bottom>
      </border>
    </dxf>
    <dxf>
      <fill>
        <patternFill patternType="solid">
          <fgColor indexed="64"/>
          <bgColor theme="0" tint="-0.499984740745262"/>
        </patternFill>
      </fill>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thin">
          <color indexed="64"/>
        </top>
        <bottom style="medium">
          <color indexed="64"/>
        </bottom>
      </border>
    </dxf>
    <dxf>
      <border outline="0">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theme="0" tint="-0.499984740745262"/>
        </patternFill>
      </fill>
      <border diagonalUp="0" diagonalDown="0" outline="0">
        <left style="thin">
          <color indexed="64"/>
        </left>
        <right style="thin">
          <color indexed="64"/>
        </right>
        <top/>
        <bottom/>
      </border>
    </dxf>
    <dxf>
      <numFmt numFmtId="2" formatCode="0.00"/>
    </dxf>
    <dxf>
      <border outline="0">
        <left style="medium">
          <color indexed="64"/>
        </left>
        <right style="medium">
          <color indexed="64"/>
        </right>
        <bottom style="medium">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Points to Route Length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Route_Point_Conversion!$D$2</c:f>
              <c:strCache>
                <c:ptCount val="1"/>
                <c:pt idx="0">
                  <c:v>Efficiency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Route_Point_Conversion!$B$3:$B$8</c:f>
              <c:numCache>
                <c:formatCode>General</c:formatCode>
                <c:ptCount val="6"/>
                <c:pt idx="0">
                  <c:v>1</c:v>
                </c:pt>
                <c:pt idx="1">
                  <c:v>2</c:v>
                </c:pt>
                <c:pt idx="2">
                  <c:v>3</c:v>
                </c:pt>
                <c:pt idx="3">
                  <c:v>4</c:v>
                </c:pt>
                <c:pt idx="4">
                  <c:v>6</c:v>
                </c:pt>
                <c:pt idx="5">
                  <c:v>8</c:v>
                </c:pt>
              </c:numCache>
            </c:numRef>
          </c:cat>
          <c:val>
            <c:numRef>
              <c:f>Route_Point_Conversion!$D$3:$D$8</c:f>
              <c:numCache>
                <c:formatCode>0.00</c:formatCode>
                <c:ptCount val="6"/>
                <c:pt idx="0">
                  <c:v>1</c:v>
                </c:pt>
                <c:pt idx="1">
                  <c:v>1</c:v>
                </c:pt>
                <c:pt idx="2">
                  <c:v>1.3333333333333333</c:v>
                </c:pt>
                <c:pt idx="3">
                  <c:v>1.75</c:v>
                </c:pt>
                <c:pt idx="4">
                  <c:v>2.5</c:v>
                </c:pt>
                <c:pt idx="5">
                  <c:v>2.625</c:v>
                </c:pt>
              </c:numCache>
            </c:numRef>
          </c:val>
          <c:extLst>
            <c:ext xmlns:c16="http://schemas.microsoft.com/office/drawing/2014/chart" uri="{C3380CC4-5D6E-409C-BE32-E72D297353CC}">
              <c16:uniqueId val="{00000000-72E6-6E46-86F6-361AD69E245A}"/>
            </c:ext>
          </c:extLst>
        </c:ser>
        <c:dLbls>
          <c:dLblPos val="outEnd"/>
          <c:showLegendKey val="0"/>
          <c:showVal val="1"/>
          <c:showCatName val="0"/>
          <c:showSerName val="0"/>
          <c:showPercent val="0"/>
          <c:showBubbleSize val="0"/>
        </c:dLbls>
        <c:gapWidth val="219"/>
        <c:overlap val="-27"/>
        <c:axId val="1841540144"/>
        <c:axId val="1841541776"/>
      </c:barChart>
      <c:catAx>
        <c:axId val="184154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Route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41776"/>
        <c:crosses val="autoZero"/>
        <c:auto val="1"/>
        <c:lblAlgn val="ctr"/>
        <c:lblOffset val="100"/>
        <c:noMultiLvlLbl val="0"/>
      </c:catAx>
      <c:valAx>
        <c:axId val="184154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to Route Length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4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Value Ticket Strategy</a:t>
            </a:r>
          </a:p>
          <a:p>
            <a:pPr>
              <a:defRPr/>
            </a:pPr>
            <a:r>
              <a:rPr lang="en-US"/>
              <a:t>Points</a:t>
            </a:r>
            <a:r>
              <a:rPr lang="en-US" baseline="0"/>
              <a:t> Standard 2-5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Strategy_Scratch!$C$38</c:f>
              <c:strCache>
                <c:ptCount val="1"/>
                <c:pt idx="0">
                  <c:v>Points Standard</c:v>
                </c:pt>
              </c:strCache>
            </c:strRef>
          </c:tx>
          <c:spPr>
            <a:solidFill>
              <a:schemeClr val="accent1"/>
            </a:solidFill>
            <a:ln>
              <a:noFill/>
            </a:ln>
            <a:effectLst/>
          </c:spPr>
          <c:invertIfNegative val="0"/>
          <c:cat>
            <c:numRef>
              <c:f>Strategy_Scratch!$B$39:$B$42</c:f>
              <c:numCache>
                <c:formatCode>General</c:formatCode>
                <c:ptCount val="4"/>
                <c:pt idx="0">
                  <c:v>2</c:v>
                </c:pt>
                <c:pt idx="1">
                  <c:v>3</c:v>
                </c:pt>
                <c:pt idx="2">
                  <c:v>4</c:v>
                </c:pt>
                <c:pt idx="3">
                  <c:v>5</c:v>
                </c:pt>
              </c:numCache>
            </c:numRef>
          </c:cat>
          <c:val>
            <c:numRef>
              <c:f>Strategy_Scratch!$C$39:$C$42</c:f>
              <c:numCache>
                <c:formatCode>General</c:formatCode>
                <c:ptCount val="4"/>
                <c:pt idx="0">
                  <c:v>116.5</c:v>
                </c:pt>
                <c:pt idx="1">
                  <c:v>114.66666666666667</c:v>
                </c:pt>
                <c:pt idx="2">
                  <c:v>113.5</c:v>
                </c:pt>
                <c:pt idx="3">
                  <c:v>111</c:v>
                </c:pt>
              </c:numCache>
            </c:numRef>
          </c:val>
          <c:extLst>
            <c:ext xmlns:c16="http://schemas.microsoft.com/office/drawing/2014/chart" uri="{C3380CC4-5D6E-409C-BE32-E72D297353CC}">
              <c16:uniqueId val="{00000000-1D1F-A549-95F9-2BC519B7C82C}"/>
            </c:ext>
          </c:extLst>
        </c:ser>
        <c:dLbls>
          <c:showLegendKey val="0"/>
          <c:showVal val="0"/>
          <c:showCatName val="0"/>
          <c:showSerName val="0"/>
          <c:showPercent val="0"/>
          <c:showBubbleSize val="0"/>
        </c:dLbls>
        <c:gapWidth val="219"/>
        <c:overlap val="-27"/>
        <c:axId val="1941290112"/>
        <c:axId val="1941292384"/>
      </c:barChart>
      <c:catAx>
        <c:axId val="194129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92384"/>
        <c:crosses val="autoZero"/>
        <c:auto val="1"/>
        <c:lblAlgn val="ctr"/>
        <c:lblOffset val="100"/>
        <c:noMultiLvlLbl val="0"/>
      </c:catAx>
      <c:valAx>
        <c:axId val="194129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Earned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Strategy_Scratch!$C$38</c:f>
              <c:strCache>
                <c:ptCount val="1"/>
                <c:pt idx="0">
                  <c:v>Points Standard</c:v>
                </c:pt>
              </c:strCache>
            </c:strRef>
          </c:tx>
          <c:spPr>
            <a:solidFill>
              <a:schemeClr val="accent1"/>
            </a:solidFill>
            <a:ln>
              <a:noFill/>
            </a:ln>
            <a:effectLst/>
          </c:spPr>
          <c:invertIfNegative val="0"/>
          <c:cat>
            <c:numRef>
              <c:f>Strategy_Scratch!$B$39:$B$42</c:f>
              <c:numCache>
                <c:formatCode>General</c:formatCode>
                <c:ptCount val="4"/>
                <c:pt idx="0">
                  <c:v>2</c:v>
                </c:pt>
                <c:pt idx="1">
                  <c:v>3</c:v>
                </c:pt>
                <c:pt idx="2">
                  <c:v>4</c:v>
                </c:pt>
                <c:pt idx="3">
                  <c:v>5</c:v>
                </c:pt>
              </c:numCache>
            </c:numRef>
          </c:cat>
          <c:val>
            <c:numRef>
              <c:f>Strategy_Scratch!$C$39:$C$42</c:f>
              <c:numCache>
                <c:formatCode>General</c:formatCode>
                <c:ptCount val="4"/>
                <c:pt idx="0">
                  <c:v>116.5</c:v>
                </c:pt>
                <c:pt idx="1">
                  <c:v>114.66666666666667</c:v>
                </c:pt>
                <c:pt idx="2">
                  <c:v>113.5</c:v>
                </c:pt>
                <c:pt idx="3">
                  <c:v>111</c:v>
                </c:pt>
              </c:numCache>
            </c:numRef>
          </c:val>
          <c:extLst>
            <c:ext xmlns:c16="http://schemas.microsoft.com/office/drawing/2014/chart" uri="{C3380CC4-5D6E-409C-BE32-E72D297353CC}">
              <c16:uniqueId val="{00000000-4F4A-E74D-A689-66D343934B74}"/>
            </c:ext>
          </c:extLst>
        </c:ser>
        <c:dLbls>
          <c:showLegendKey val="0"/>
          <c:showVal val="0"/>
          <c:showCatName val="0"/>
          <c:showSerName val="0"/>
          <c:showPercent val="0"/>
          <c:showBubbleSize val="0"/>
        </c:dLbls>
        <c:gapWidth val="219"/>
        <c:overlap val="-27"/>
        <c:axId val="1941290112"/>
        <c:axId val="1941292384"/>
      </c:barChart>
      <c:catAx>
        <c:axId val="194129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92384"/>
        <c:crosses val="autoZero"/>
        <c:auto val="1"/>
        <c:lblAlgn val="ctr"/>
        <c:lblOffset val="100"/>
        <c:noMultiLvlLbl val="0"/>
      </c:catAx>
      <c:valAx>
        <c:axId val="194129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9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Strategy_Scratch!$C$92</c:f>
              <c:strCache>
                <c:ptCount val="1"/>
                <c:pt idx="0">
                  <c:v>Points Standard</c:v>
                </c:pt>
              </c:strCache>
            </c:strRef>
          </c:tx>
          <c:spPr>
            <a:solidFill>
              <a:schemeClr val="accent1"/>
            </a:solidFill>
            <a:ln>
              <a:noFill/>
            </a:ln>
            <a:effectLst/>
          </c:spPr>
          <c:invertIfNegative val="0"/>
          <c:cat>
            <c:numRef>
              <c:f>Strategy_Scratch!$B$93:$B$96</c:f>
              <c:numCache>
                <c:formatCode>General</c:formatCode>
                <c:ptCount val="4"/>
                <c:pt idx="0">
                  <c:v>2</c:v>
                </c:pt>
                <c:pt idx="1">
                  <c:v>3</c:v>
                </c:pt>
                <c:pt idx="2">
                  <c:v>4</c:v>
                </c:pt>
                <c:pt idx="3">
                  <c:v>5</c:v>
                </c:pt>
              </c:numCache>
            </c:numRef>
          </c:cat>
          <c:val>
            <c:numRef>
              <c:f>Strategy_Scratch!$C$93:$C$96</c:f>
              <c:numCache>
                <c:formatCode>General</c:formatCode>
                <c:ptCount val="4"/>
                <c:pt idx="0">
                  <c:v>111.5</c:v>
                </c:pt>
                <c:pt idx="1">
                  <c:v>108</c:v>
                </c:pt>
                <c:pt idx="2">
                  <c:v>105.25</c:v>
                </c:pt>
                <c:pt idx="3">
                  <c:v>103.6</c:v>
                </c:pt>
              </c:numCache>
            </c:numRef>
          </c:val>
          <c:extLst>
            <c:ext xmlns:c16="http://schemas.microsoft.com/office/drawing/2014/chart" uri="{C3380CC4-5D6E-409C-BE32-E72D297353CC}">
              <c16:uniqueId val="{00000000-EE85-3E49-A8A9-EAABAC875C32}"/>
            </c:ext>
          </c:extLst>
        </c:ser>
        <c:dLbls>
          <c:showLegendKey val="0"/>
          <c:showVal val="0"/>
          <c:showCatName val="0"/>
          <c:showSerName val="0"/>
          <c:showPercent val="0"/>
          <c:showBubbleSize val="0"/>
        </c:dLbls>
        <c:gapWidth val="219"/>
        <c:overlap val="-27"/>
        <c:axId val="1908594848"/>
        <c:axId val="1908596480"/>
      </c:barChart>
      <c:catAx>
        <c:axId val="19085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96480"/>
        <c:crosses val="autoZero"/>
        <c:auto val="1"/>
        <c:lblAlgn val="ctr"/>
        <c:lblOffset val="100"/>
        <c:noMultiLvlLbl val="0"/>
      </c:catAx>
      <c:valAx>
        <c:axId val="190859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9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Point</a:t>
            </a:r>
            <a:r>
              <a:rPr lang="en-US" baseline="0"/>
              <a:t>s per Route 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Route_Point_Conversion!$C$2</c:f>
              <c:strCache>
                <c:ptCount val="1"/>
                <c:pt idx="0">
                  <c:v>Route_Points</c:v>
                </c:pt>
              </c:strCache>
            </c:strRef>
          </c:tx>
          <c:spPr>
            <a:solidFill>
              <a:schemeClr val="accent1"/>
            </a:solidFill>
            <a:ln>
              <a:noFill/>
            </a:ln>
            <a:effectLst/>
          </c:spPr>
          <c:invertIfNegative val="0"/>
          <c:cat>
            <c:numRef>
              <c:f>Route_Point_Conversion!$B$3:$B$8</c:f>
              <c:numCache>
                <c:formatCode>General</c:formatCode>
                <c:ptCount val="6"/>
                <c:pt idx="0">
                  <c:v>1</c:v>
                </c:pt>
                <c:pt idx="1">
                  <c:v>2</c:v>
                </c:pt>
                <c:pt idx="2">
                  <c:v>3</c:v>
                </c:pt>
                <c:pt idx="3">
                  <c:v>4</c:v>
                </c:pt>
                <c:pt idx="4">
                  <c:v>6</c:v>
                </c:pt>
                <c:pt idx="5">
                  <c:v>8</c:v>
                </c:pt>
              </c:numCache>
            </c:numRef>
          </c:cat>
          <c:val>
            <c:numRef>
              <c:f>Route_Point_Conversion!$C$3:$C$8</c:f>
              <c:numCache>
                <c:formatCode>General</c:formatCode>
                <c:ptCount val="6"/>
                <c:pt idx="0">
                  <c:v>1</c:v>
                </c:pt>
                <c:pt idx="1">
                  <c:v>2</c:v>
                </c:pt>
                <c:pt idx="2">
                  <c:v>4</c:v>
                </c:pt>
                <c:pt idx="3">
                  <c:v>7</c:v>
                </c:pt>
                <c:pt idx="4">
                  <c:v>15</c:v>
                </c:pt>
                <c:pt idx="5">
                  <c:v>21</c:v>
                </c:pt>
              </c:numCache>
            </c:numRef>
          </c:val>
          <c:extLst>
            <c:ext xmlns:c16="http://schemas.microsoft.com/office/drawing/2014/chart" uri="{C3380CC4-5D6E-409C-BE32-E72D297353CC}">
              <c16:uniqueId val="{00000000-1ADE-C846-97EA-B3E793F1F08F}"/>
            </c:ext>
          </c:extLst>
        </c:ser>
        <c:dLbls>
          <c:showLegendKey val="0"/>
          <c:showVal val="0"/>
          <c:showCatName val="0"/>
          <c:showSerName val="0"/>
          <c:showPercent val="0"/>
          <c:showBubbleSize val="0"/>
        </c:dLbls>
        <c:gapWidth val="219"/>
        <c:overlap val="-27"/>
        <c:axId val="1941995792"/>
        <c:axId val="1941984960"/>
      </c:barChart>
      <c:catAx>
        <c:axId val="194199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Route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84960"/>
        <c:crosses val="autoZero"/>
        <c:auto val="1"/>
        <c:lblAlgn val="ctr"/>
        <c:lblOffset val="100"/>
        <c:noMultiLvlLbl val="0"/>
      </c:catAx>
      <c:valAx>
        <c:axId val="194198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9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Route Points to Route Length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Route_Point_Conversion!$D$2</c:f>
              <c:strCache>
                <c:ptCount val="1"/>
                <c:pt idx="0">
                  <c:v>Efficiency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Route_Point_Conversion!$B$3:$B$8</c:f>
              <c:numCache>
                <c:formatCode>General</c:formatCode>
                <c:ptCount val="6"/>
                <c:pt idx="0">
                  <c:v>1</c:v>
                </c:pt>
                <c:pt idx="1">
                  <c:v>2</c:v>
                </c:pt>
                <c:pt idx="2">
                  <c:v>3</c:v>
                </c:pt>
                <c:pt idx="3">
                  <c:v>4</c:v>
                </c:pt>
                <c:pt idx="4">
                  <c:v>6</c:v>
                </c:pt>
                <c:pt idx="5">
                  <c:v>8</c:v>
                </c:pt>
              </c:numCache>
            </c:numRef>
          </c:cat>
          <c:val>
            <c:numRef>
              <c:f>Route_Point_Conversion!$D$3:$D$8</c:f>
              <c:numCache>
                <c:formatCode>0.00</c:formatCode>
                <c:ptCount val="6"/>
                <c:pt idx="0">
                  <c:v>1</c:v>
                </c:pt>
                <c:pt idx="1">
                  <c:v>1</c:v>
                </c:pt>
                <c:pt idx="2">
                  <c:v>1.3333333333333333</c:v>
                </c:pt>
                <c:pt idx="3">
                  <c:v>1.75</c:v>
                </c:pt>
                <c:pt idx="4">
                  <c:v>2.5</c:v>
                </c:pt>
                <c:pt idx="5">
                  <c:v>2.625</c:v>
                </c:pt>
              </c:numCache>
            </c:numRef>
          </c:val>
          <c:extLst>
            <c:ext xmlns:c16="http://schemas.microsoft.com/office/drawing/2014/chart" uri="{C3380CC4-5D6E-409C-BE32-E72D297353CC}">
              <c16:uniqueId val="{00000000-8780-BC40-BAFB-DD9B5E36D78A}"/>
            </c:ext>
          </c:extLst>
        </c:ser>
        <c:dLbls>
          <c:dLblPos val="outEnd"/>
          <c:showLegendKey val="0"/>
          <c:showVal val="1"/>
          <c:showCatName val="0"/>
          <c:showSerName val="0"/>
          <c:showPercent val="0"/>
          <c:showBubbleSize val="0"/>
        </c:dLbls>
        <c:gapWidth val="219"/>
        <c:overlap val="-27"/>
        <c:axId val="1841540144"/>
        <c:axId val="1841541776"/>
      </c:barChart>
      <c:catAx>
        <c:axId val="184154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Route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41776"/>
        <c:crosses val="autoZero"/>
        <c:auto val="1"/>
        <c:lblAlgn val="ctr"/>
        <c:lblOffset val="100"/>
        <c:noMultiLvlLbl val="0"/>
      </c:catAx>
      <c:valAx>
        <c:axId val="184154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Route Points to Length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4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Main Colors Total Points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Color_Info!$H$2</c:f>
              <c:strCache>
                <c:ptCount val="1"/>
                <c:pt idx="0">
                  <c:v>Points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5087-CC4A-A617-5F329971000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087-CC4A-A617-5F3299710002}"/>
              </c:ext>
            </c:extLst>
          </c:dPt>
          <c:dPt>
            <c:idx val="2"/>
            <c:invertIfNegative val="0"/>
            <c:bubble3D val="0"/>
            <c:spPr>
              <a:solidFill>
                <a:schemeClr val="bg1"/>
              </a:solidFill>
              <a:ln>
                <a:solidFill>
                  <a:schemeClr val="accent1"/>
                </a:solidFill>
              </a:ln>
              <a:effectLst/>
            </c:spPr>
            <c:extLst>
              <c:ext xmlns:c16="http://schemas.microsoft.com/office/drawing/2014/chart" uri="{C3380CC4-5D6E-409C-BE32-E72D297353CC}">
                <c16:uniqueId val="{00000005-5087-CC4A-A617-5F3299710002}"/>
              </c:ext>
            </c:extLst>
          </c:dPt>
          <c:dPt>
            <c:idx val="3"/>
            <c:invertIfNegative val="0"/>
            <c:bubble3D val="0"/>
            <c:spPr>
              <a:solidFill>
                <a:srgbClr val="7030A0"/>
              </a:solidFill>
              <a:ln>
                <a:noFill/>
              </a:ln>
              <a:effectLst/>
            </c:spPr>
            <c:extLst>
              <c:ext xmlns:c16="http://schemas.microsoft.com/office/drawing/2014/chart" uri="{C3380CC4-5D6E-409C-BE32-E72D297353CC}">
                <c16:uniqueId val="{00000007-5087-CC4A-A617-5F3299710002}"/>
              </c:ext>
            </c:extLst>
          </c:dPt>
          <c:dPt>
            <c:idx val="4"/>
            <c:invertIfNegative val="0"/>
            <c:bubble3D val="0"/>
            <c:spPr>
              <a:solidFill>
                <a:schemeClr val="tx1"/>
              </a:solidFill>
              <a:ln>
                <a:noFill/>
              </a:ln>
              <a:effectLst/>
            </c:spPr>
            <c:extLst>
              <c:ext xmlns:c16="http://schemas.microsoft.com/office/drawing/2014/chart" uri="{C3380CC4-5D6E-409C-BE32-E72D297353CC}">
                <c16:uniqueId val="{00000009-5087-CC4A-A617-5F3299710002}"/>
              </c:ext>
            </c:extLst>
          </c:dPt>
          <c:dPt>
            <c:idx val="5"/>
            <c:invertIfNegative val="0"/>
            <c:bubble3D val="0"/>
            <c:spPr>
              <a:solidFill>
                <a:srgbClr val="C00000"/>
              </a:solidFill>
              <a:ln>
                <a:noFill/>
              </a:ln>
              <a:effectLst/>
            </c:spPr>
            <c:extLst>
              <c:ext xmlns:c16="http://schemas.microsoft.com/office/drawing/2014/chart" uri="{C3380CC4-5D6E-409C-BE32-E72D297353CC}">
                <c16:uniqueId val="{0000000B-5087-CC4A-A617-5F3299710002}"/>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D-5087-CC4A-A617-5F3299710002}"/>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5087-CC4A-A617-5F3299710002}"/>
              </c:ext>
            </c:extLst>
          </c:dPt>
          <c:cat>
            <c:strRef>
              <c:f>Color_Info!$A$3:$A$10</c:f>
              <c:strCache>
                <c:ptCount val="8"/>
                <c:pt idx="0">
                  <c:v>Green</c:v>
                </c:pt>
                <c:pt idx="1">
                  <c:v>Blue</c:v>
                </c:pt>
                <c:pt idx="2">
                  <c:v>White</c:v>
                </c:pt>
                <c:pt idx="3">
                  <c:v>Purple</c:v>
                </c:pt>
                <c:pt idx="4">
                  <c:v>Black</c:v>
                </c:pt>
                <c:pt idx="5">
                  <c:v>Red</c:v>
                </c:pt>
                <c:pt idx="6">
                  <c:v>Orange</c:v>
                </c:pt>
                <c:pt idx="7">
                  <c:v>Yellow</c:v>
                </c:pt>
              </c:strCache>
            </c:strRef>
          </c:cat>
          <c:val>
            <c:numRef>
              <c:f>Color_Info!$H$3:$H$10</c:f>
              <c:numCache>
                <c:formatCode>General</c:formatCode>
                <c:ptCount val="8"/>
                <c:pt idx="0">
                  <c:v>33</c:v>
                </c:pt>
                <c:pt idx="1">
                  <c:v>33</c:v>
                </c:pt>
                <c:pt idx="2">
                  <c:v>31</c:v>
                </c:pt>
                <c:pt idx="3">
                  <c:v>31</c:v>
                </c:pt>
                <c:pt idx="4">
                  <c:v>30</c:v>
                </c:pt>
                <c:pt idx="5">
                  <c:v>30</c:v>
                </c:pt>
                <c:pt idx="6">
                  <c:v>29</c:v>
                </c:pt>
                <c:pt idx="7">
                  <c:v>29</c:v>
                </c:pt>
              </c:numCache>
            </c:numRef>
          </c:val>
          <c:extLst>
            <c:ext xmlns:c16="http://schemas.microsoft.com/office/drawing/2014/chart" uri="{C3380CC4-5D6E-409C-BE32-E72D297353CC}">
              <c16:uniqueId val="{00000010-5087-CC4A-A617-5F3299710002}"/>
            </c:ext>
          </c:extLst>
        </c:ser>
        <c:dLbls>
          <c:showLegendKey val="0"/>
          <c:showVal val="0"/>
          <c:showCatName val="0"/>
          <c:showSerName val="0"/>
          <c:showPercent val="0"/>
          <c:showBubbleSize val="0"/>
        </c:dLbls>
        <c:gapWidth val="219"/>
        <c:overlap val="-27"/>
        <c:axId val="1863187680"/>
        <c:axId val="1850293552"/>
      </c:barChart>
      <c:catAx>
        <c:axId val="18631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Main Colors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93552"/>
        <c:crosses val="autoZero"/>
        <c:auto val="1"/>
        <c:lblAlgn val="ctr"/>
        <c:lblOffset val="100"/>
        <c:noMultiLvlLbl val="0"/>
      </c:catAx>
      <c:valAx>
        <c:axId val="185029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8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Colors Total Points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Color_Info!$H$2</c:f>
              <c:strCache>
                <c:ptCount val="1"/>
                <c:pt idx="0">
                  <c:v>Points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14AF-9847-957B-2ADA75FD651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14AF-9847-957B-2ADA75FD651C}"/>
              </c:ext>
            </c:extLst>
          </c:dPt>
          <c:dPt>
            <c:idx val="2"/>
            <c:invertIfNegative val="0"/>
            <c:bubble3D val="0"/>
            <c:spPr>
              <a:solidFill>
                <a:schemeClr val="bg1"/>
              </a:solidFill>
              <a:ln>
                <a:solidFill>
                  <a:schemeClr val="accent1"/>
                </a:solidFill>
              </a:ln>
              <a:effectLst/>
            </c:spPr>
            <c:extLst>
              <c:ext xmlns:c16="http://schemas.microsoft.com/office/drawing/2014/chart" uri="{C3380CC4-5D6E-409C-BE32-E72D297353CC}">
                <c16:uniqueId val="{00000005-14AF-9847-957B-2ADA75FD651C}"/>
              </c:ext>
            </c:extLst>
          </c:dPt>
          <c:dPt>
            <c:idx val="3"/>
            <c:invertIfNegative val="0"/>
            <c:bubble3D val="0"/>
            <c:spPr>
              <a:solidFill>
                <a:srgbClr val="7030A0"/>
              </a:solidFill>
              <a:ln>
                <a:noFill/>
              </a:ln>
              <a:effectLst/>
            </c:spPr>
            <c:extLst>
              <c:ext xmlns:c16="http://schemas.microsoft.com/office/drawing/2014/chart" uri="{C3380CC4-5D6E-409C-BE32-E72D297353CC}">
                <c16:uniqueId val="{00000007-14AF-9847-957B-2ADA75FD651C}"/>
              </c:ext>
            </c:extLst>
          </c:dPt>
          <c:dPt>
            <c:idx val="4"/>
            <c:invertIfNegative val="0"/>
            <c:bubble3D val="0"/>
            <c:spPr>
              <a:solidFill>
                <a:schemeClr val="tx1"/>
              </a:solidFill>
              <a:ln>
                <a:noFill/>
              </a:ln>
              <a:effectLst/>
            </c:spPr>
            <c:extLst>
              <c:ext xmlns:c16="http://schemas.microsoft.com/office/drawing/2014/chart" uri="{C3380CC4-5D6E-409C-BE32-E72D297353CC}">
                <c16:uniqueId val="{00000009-14AF-9847-957B-2ADA75FD651C}"/>
              </c:ext>
            </c:extLst>
          </c:dPt>
          <c:dPt>
            <c:idx val="5"/>
            <c:invertIfNegative val="0"/>
            <c:bubble3D val="0"/>
            <c:spPr>
              <a:solidFill>
                <a:srgbClr val="C00000"/>
              </a:solidFill>
              <a:ln>
                <a:noFill/>
              </a:ln>
              <a:effectLst/>
            </c:spPr>
            <c:extLst>
              <c:ext xmlns:c16="http://schemas.microsoft.com/office/drawing/2014/chart" uri="{C3380CC4-5D6E-409C-BE32-E72D297353CC}">
                <c16:uniqueId val="{0000000B-14AF-9847-957B-2ADA75FD651C}"/>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D-14AF-9847-957B-2ADA75FD651C}"/>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14AF-9847-957B-2ADA75FD651C}"/>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11-14AF-9847-957B-2ADA75FD651C}"/>
              </c:ext>
            </c:extLst>
          </c:dPt>
          <c:cat>
            <c:strRef>
              <c:f>Color_Info!$A$3:$A$11</c:f>
              <c:strCache>
                <c:ptCount val="9"/>
                <c:pt idx="0">
                  <c:v>Green</c:v>
                </c:pt>
                <c:pt idx="1">
                  <c:v>Blue</c:v>
                </c:pt>
                <c:pt idx="2">
                  <c:v>White</c:v>
                </c:pt>
                <c:pt idx="3">
                  <c:v>Purple</c:v>
                </c:pt>
                <c:pt idx="4">
                  <c:v>Black</c:v>
                </c:pt>
                <c:pt idx="5">
                  <c:v>Red</c:v>
                </c:pt>
                <c:pt idx="6">
                  <c:v>Orange</c:v>
                </c:pt>
                <c:pt idx="7">
                  <c:v>Yellow</c:v>
                </c:pt>
                <c:pt idx="8">
                  <c:v>Gray</c:v>
                </c:pt>
              </c:strCache>
            </c:strRef>
          </c:cat>
          <c:val>
            <c:numRef>
              <c:f>Color_Info!$H$3:$H$11</c:f>
              <c:numCache>
                <c:formatCode>General</c:formatCode>
                <c:ptCount val="9"/>
                <c:pt idx="0">
                  <c:v>33</c:v>
                </c:pt>
                <c:pt idx="1">
                  <c:v>33</c:v>
                </c:pt>
                <c:pt idx="2">
                  <c:v>31</c:v>
                </c:pt>
                <c:pt idx="3">
                  <c:v>31</c:v>
                </c:pt>
                <c:pt idx="4">
                  <c:v>30</c:v>
                </c:pt>
                <c:pt idx="5">
                  <c:v>30</c:v>
                </c:pt>
                <c:pt idx="6">
                  <c:v>29</c:v>
                </c:pt>
                <c:pt idx="7">
                  <c:v>29</c:v>
                </c:pt>
                <c:pt idx="8">
                  <c:v>202</c:v>
                </c:pt>
              </c:numCache>
            </c:numRef>
          </c:val>
          <c:extLst>
            <c:ext xmlns:c16="http://schemas.microsoft.com/office/drawing/2014/chart" uri="{C3380CC4-5D6E-409C-BE32-E72D297353CC}">
              <c16:uniqueId val="{00000012-14AF-9847-957B-2ADA75FD651C}"/>
            </c:ext>
          </c:extLst>
        </c:ser>
        <c:dLbls>
          <c:showLegendKey val="0"/>
          <c:showVal val="0"/>
          <c:showCatName val="0"/>
          <c:showSerName val="0"/>
          <c:showPercent val="0"/>
          <c:showBubbleSize val="0"/>
        </c:dLbls>
        <c:gapWidth val="219"/>
        <c:overlap val="-27"/>
        <c:axId val="1863187680"/>
        <c:axId val="1850293552"/>
      </c:barChart>
      <c:catAx>
        <c:axId val="18631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All Colors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93552"/>
        <c:crosses val="autoZero"/>
        <c:auto val="1"/>
        <c:lblAlgn val="ctr"/>
        <c:lblOffset val="100"/>
        <c:noMultiLvlLbl val="0"/>
      </c:catAx>
      <c:valAx>
        <c:axId val="185029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8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Point</a:t>
            </a:r>
            <a:r>
              <a:rPr lang="en-US" baseline="0"/>
              <a:t>s per Route 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Route_Point_Conversion!$C$2</c:f>
              <c:strCache>
                <c:ptCount val="1"/>
                <c:pt idx="0">
                  <c:v>Route_Points</c:v>
                </c:pt>
              </c:strCache>
            </c:strRef>
          </c:tx>
          <c:spPr>
            <a:solidFill>
              <a:schemeClr val="accent1"/>
            </a:solidFill>
            <a:ln>
              <a:noFill/>
            </a:ln>
            <a:effectLst/>
          </c:spPr>
          <c:invertIfNegative val="0"/>
          <c:cat>
            <c:numRef>
              <c:f>Route_Point_Conversion!$B$3:$B$8</c:f>
              <c:numCache>
                <c:formatCode>General</c:formatCode>
                <c:ptCount val="6"/>
                <c:pt idx="0">
                  <c:v>1</c:v>
                </c:pt>
                <c:pt idx="1">
                  <c:v>2</c:v>
                </c:pt>
                <c:pt idx="2">
                  <c:v>3</c:v>
                </c:pt>
                <c:pt idx="3">
                  <c:v>4</c:v>
                </c:pt>
                <c:pt idx="4">
                  <c:v>6</c:v>
                </c:pt>
                <c:pt idx="5">
                  <c:v>8</c:v>
                </c:pt>
              </c:numCache>
            </c:numRef>
          </c:cat>
          <c:val>
            <c:numRef>
              <c:f>Route_Point_Conversion!$C$3:$C$8</c:f>
              <c:numCache>
                <c:formatCode>General</c:formatCode>
                <c:ptCount val="6"/>
                <c:pt idx="0">
                  <c:v>1</c:v>
                </c:pt>
                <c:pt idx="1">
                  <c:v>2</c:v>
                </c:pt>
                <c:pt idx="2">
                  <c:v>4</c:v>
                </c:pt>
                <c:pt idx="3">
                  <c:v>7</c:v>
                </c:pt>
                <c:pt idx="4">
                  <c:v>15</c:v>
                </c:pt>
                <c:pt idx="5">
                  <c:v>21</c:v>
                </c:pt>
              </c:numCache>
            </c:numRef>
          </c:val>
          <c:extLst>
            <c:ext xmlns:c16="http://schemas.microsoft.com/office/drawing/2014/chart" uri="{C3380CC4-5D6E-409C-BE32-E72D297353CC}">
              <c16:uniqueId val="{00000000-B991-834D-9091-41DFE8196F25}"/>
            </c:ext>
          </c:extLst>
        </c:ser>
        <c:dLbls>
          <c:showLegendKey val="0"/>
          <c:showVal val="0"/>
          <c:showCatName val="0"/>
          <c:showSerName val="0"/>
          <c:showPercent val="0"/>
          <c:showBubbleSize val="0"/>
        </c:dLbls>
        <c:gapWidth val="219"/>
        <c:overlap val="-27"/>
        <c:axId val="1941995792"/>
        <c:axId val="1941984960"/>
      </c:barChart>
      <c:catAx>
        <c:axId val="194199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Route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84960"/>
        <c:crosses val="autoZero"/>
        <c:auto val="1"/>
        <c:lblAlgn val="ctr"/>
        <c:lblOffset val="100"/>
        <c:noMultiLvlLbl val="0"/>
      </c:catAx>
      <c:valAx>
        <c:axId val="194198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9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Main Colors Total Points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Color_Info!$H$2</c:f>
              <c:strCache>
                <c:ptCount val="1"/>
                <c:pt idx="0">
                  <c:v>Points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6398-B048-9001-FA6C1268072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6398-B048-9001-FA6C1268072B}"/>
              </c:ext>
            </c:extLst>
          </c:dPt>
          <c:dPt>
            <c:idx val="2"/>
            <c:invertIfNegative val="0"/>
            <c:bubble3D val="0"/>
            <c:spPr>
              <a:solidFill>
                <a:schemeClr val="bg1"/>
              </a:solidFill>
              <a:ln>
                <a:solidFill>
                  <a:schemeClr val="accent1"/>
                </a:solidFill>
              </a:ln>
              <a:effectLst/>
            </c:spPr>
            <c:extLst>
              <c:ext xmlns:c16="http://schemas.microsoft.com/office/drawing/2014/chart" uri="{C3380CC4-5D6E-409C-BE32-E72D297353CC}">
                <c16:uniqueId val="{00000003-6398-B048-9001-FA6C1268072B}"/>
              </c:ext>
            </c:extLst>
          </c:dPt>
          <c:dPt>
            <c:idx val="3"/>
            <c:invertIfNegative val="0"/>
            <c:bubble3D val="0"/>
            <c:spPr>
              <a:solidFill>
                <a:srgbClr val="7030A0"/>
              </a:solidFill>
              <a:ln>
                <a:noFill/>
              </a:ln>
              <a:effectLst/>
            </c:spPr>
            <c:extLst>
              <c:ext xmlns:c16="http://schemas.microsoft.com/office/drawing/2014/chart" uri="{C3380CC4-5D6E-409C-BE32-E72D297353CC}">
                <c16:uniqueId val="{00000004-6398-B048-9001-FA6C1268072B}"/>
              </c:ext>
            </c:extLst>
          </c:dPt>
          <c:dPt>
            <c:idx val="4"/>
            <c:invertIfNegative val="0"/>
            <c:bubble3D val="0"/>
            <c:spPr>
              <a:solidFill>
                <a:schemeClr val="tx1"/>
              </a:solidFill>
              <a:ln>
                <a:noFill/>
              </a:ln>
              <a:effectLst/>
            </c:spPr>
            <c:extLst>
              <c:ext xmlns:c16="http://schemas.microsoft.com/office/drawing/2014/chart" uri="{C3380CC4-5D6E-409C-BE32-E72D297353CC}">
                <c16:uniqueId val="{00000005-6398-B048-9001-FA6C1268072B}"/>
              </c:ext>
            </c:extLst>
          </c:dPt>
          <c:dPt>
            <c:idx val="5"/>
            <c:invertIfNegative val="0"/>
            <c:bubble3D val="0"/>
            <c:spPr>
              <a:solidFill>
                <a:srgbClr val="C00000"/>
              </a:solidFill>
              <a:ln>
                <a:noFill/>
              </a:ln>
              <a:effectLst/>
            </c:spPr>
            <c:extLst>
              <c:ext xmlns:c16="http://schemas.microsoft.com/office/drawing/2014/chart" uri="{C3380CC4-5D6E-409C-BE32-E72D297353CC}">
                <c16:uniqueId val="{00000006-6398-B048-9001-FA6C1268072B}"/>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6398-B048-9001-FA6C1268072B}"/>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8-6398-B048-9001-FA6C1268072B}"/>
              </c:ext>
            </c:extLst>
          </c:dPt>
          <c:cat>
            <c:strRef>
              <c:f>Color_Info!$A$3:$A$10</c:f>
              <c:strCache>
                <c:ptCount val="8"/>
                <c:pt idx="0">
                  <c:v>Green</c:v>
                </c:pt>
                <c:pt idx="1">
                  <c:v>Blue</c:v>
                </c:pt>
                <c:pt idx="2">
                  <c:v>White</c:v>
                </c:pt>
                <c:pt idx="3">
                  <c:v>Purple</c:v>
                </c:pt>
                <c:pt idx="4">
                  <c:v>Black</c:v>
                </c:pt>
                <c:pt idx="5">
                  <c:v>Red</c:v>
                </c:pt>
                <c:pt idx="6">
                  <c:v>Orange</c:v>
                </c:pt>
                <c:pt idx="7">
                  <c:v>Yellow</c:v>
                </c:pt>
              </c:strCache>
            </c:strRef>
          </c:cat>
          <c:val>
            <c:numRef>
              <c:f>Color_Info!$H$3:$H$10</c:f>
              <c:numCache>
                <c:formatCode>General</c:formatCode>
                <c:ptCount val="8"/>
                <c:pt idx="0">
                  <c:v>33</c:v>
                </c:pt>
                <c:pt idx="1">
                  <c:v>33</c:v>
                </c:pt>
                <c:pt idx="2">
                  <c:v>31</c:v>
                </c:pt>
                <c:pt idx="3">
                  <c:v>31</c:v>
                </c:pt>
                <c:pt idx="4">
                  <c:v>30</c:v>
                </c:pt>
                <c:pt idx="5">
                  <c:v>30</c:v>
                </c:pt>
                <c:pt idx="6">
                  <c:v>29</c:v>
                </c:pt>
                <c:pt idx="7">
                  <c:v>29</c:v>
                </c:pt>
              </c:numCache>
            </c:numRef>
          </c:val>
          <c:extLst>
            <c:ext xmlns:c16="http://schemas.microsoft.com/office/drawing/2014/chart" uri="{C3380CC4-5D6E-409C-BE32-E72D297353CC}">
              <c16:uniqueId val="{00000000-6398-B048-9001-FA6C1268072B}"/>
            </c:ext>
          </c:extLst>
        </c:ser>
        <c:dLbls>
          <c:showLegendKey val="0"/>
          <c:showVal val="0"/>
          <c:showCatName val="0"/>
          <c:showSerName val="0"/>
          <c:showPercent val="0"/>
          <c:showBubbleSize val="0"/>
        </c:dLbls>
        <c:gapWidth val="219"/>
        <c:overlap val="-27"/>
        <c:axId val="1863187680"/>
        <c:axId val="1850293552"/>
      </c:barChart>
      <c:catAx>
        <c:axId val="18631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Main Colors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93552"/>
        <c:crosses val="autoZero"/>
        <c:auto val="1"/>
        <c:lblAlgn val="ctr"/>
        <c:lblOffset val="100"/>
        <c:noMultiLvlLbl val="0"/>
      </c:catAx>
      <c:valAx>
        <c:axId val="185029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8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Colors Total Points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Color_Info!$H$2</c:f>
              <c:strCache>
                <c:ptCount val="1"/>
                <c:pt idx="0">
                  <c:v>Points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A791-B449-8847-6A09E1BDEEB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791-B449-8847-6A09E1BDEEB5}"/>
              </c:ext>
            </c:extLst>
          </c:dPt>
          <c:dPt>
            <c:idx val="2"/>
            <c:invertIfNegative val="0"/>
            <c:bubble3D val="0"/>
            <c:spPr>
              <a:solidFill>
                <a:schemeClr val="bg1"/>
              </a:solidFill>
              <a:ln>
                <a:solidFill>
                  <a:schemeClr val="accent1"/>
                </a:solidFill>
              </a:ln>
              <a:effectLst/>
            </c:spPr>
            <c:extLst>
              <c:ext xmlns:c16="http://schemas.microsoft.com/office/drawing/2014/chart" uri="{C3380CC4-5D6E-409C-BE32-E72D297353CC}">
                <c16:uniqueId val="{00000005-A791-B449-8847-6A09E1BDEEB5}"/>
              </c:ext>
            </c:extLst>
          </c:dPt>
          <c:dPt>
            <c:idx val="3"/>
            <c:invertIfNegative val="0"/>
            <c:bubble3D val="0"/>
            <c:spPr>
              <a:solidFill>
                <a:srgbClr val="7030A0"/>
              </a:solidFill>
              <a:ln>
                <a:noFill/>
              </a:ln>
              <a:effectLst/>
            </c:spPr>
            <c:extLst>
              <c:ext xmlns:c16="http://schemas.microsoft.com/office/drawing/2014/chart" uri="{C3380CC4-5D6E-409C-BE32-E72D297353CC}">
                <c16:uniqueId val="{00000007-A791-B449-8847-6A09E1BDEEB5}"/>
              </c:ext>
            </c:extLst>
          </c:dPt>
          <c:dPt>
            <c:idx val="4"/>
            <c:invertIfNegative val="0"/>
            <c:bubble3D val="0"/>
            <c:spPr>
              <a:solidFill>
                <a:schemeClr val="tx1"/>
              </a:solidFill>
              <a:ln>
                <a:noFill/>
              </a:ln>
              <a:effectLst/>
            </c:spPr>
            <c:extLst>
              <c:ext xmlns:c16="http://schemas.microsoft.com/office/drawing/2014/chart" uri="{C3380CC4-5D6E-409C-BE32-E72D297353CC}">
                <c16:uniqueId val="{00000009-A791-B449-8847-6A09E1BDEEB5}"/>
              </c:ext>
            </c:extLst>
          </c:dPt>
          <c:dPt>
            <c:idx val="5"/>
            <c:invertIfNegative val="0"/>
            <c:bubble3D val="0"/>
            <c:spPr>
              <a:solidFill>
                <a:srgbClr val="C00000"/>
              </a:solidFill>
              <a:ln>
                <a:noFill/>
              </a:ln>
              <a:effectLst/>
            </c:spPr>
            <c:extLst>
              <c:ext xmlns:c16="http://schemas.microsoft.com/office/drawing/2014/chart" uri="{C3380CC4-5D6E-409C-BE32-E72D297353CC}">
                <c16:uniqueId val="{0000000B-A791-B449-8847-6A09E1BDEEB5}"/>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D-A791-B449-8847-6A09E1BDEEB5}"/>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A791-B449-8847-6A09E1BDEEB5}"/>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11-A791-B449-8847-6A09E1BDEEB5}"/>
              </c:ext>
            </c:extLst>
          </c:dPt>
          <c:cat>
            <c:strRef>
              <c:f>Color_Info!$A$3:$A$11</c:f>
              <c:strCache>
                <c:ptCount val="9"/>
                <c:pt idx="0">
                  <c:v>Green</c:v>
                </c:pt>
                <c:pt idx="1">
                  <c:v>Blue</c:v>
                </c:pt>
                <c:pt idx="2">
                  <c:v>White</c:v>
                </c:pt>
                <c:pt idx="3">
                  <c:v>Purple</c:v>
                </c:pt>
                <c:pt idx="4">
                  <c:v>Black</c:v>
                </c:pt>
                <c:pt idx="5">
                  <c:v>Red</c:v>
                </c:pt>
                <c:pt idx="6">
                  <c:v>Orange</c:v>
                </c:pt>
                <c:pt idx="7">
                  <c:v>Yellow</c:v>
                </c:pt>
                <c:pt idx="8">
                  <c:v>Gray</c:v>
                </c:pt>
              </c:strCache>
            </c:strRef>
          </c:cat>
          <c:val>
            <c:numRef>
              <c:f>Color_Info!$H$3:$H$11</c:f>
              <c:numCache>
                <c:formatCode>General</c:formatCode>
                <c:ptCount val="9"/>
                <c:pt idx="0">
                  <c:v>33</c:v>
                </c:pt>
                <c:pt idx="1">
                  <c:v>33</c:v>
                </c:pt>
                <c:pt idx="2">
                  <c:v>31</c:v>
                </c:pt>
                <c:pt idx="3">
                  <c:v>31</c:v>
                </c:pt>
                <c:pt idx="4">
                  <c:v>30</c:v>
                </c:pt>
                <c:pt idx="5">
                  <c:v>30</c:v>
                </c:pt>
                <c:pt idx="6">
                  <c:v>29</c:v>
                </c:pt>
                <c:pt idx="7">
                  <c:v>29</c:v>
                </c:pt>
                <c:pt idx="8">
                  <c:v>202</c:v>
                </c:pt>
              </c:numCache>
            </c:numRef>
          </c:val>
          <c:extLst>
            <c:ext xmlns:c16="http://schemas.microsoft.com/office/drawing/2014/chart" uri="{C3380CC4-5D6E-409C-BE32-E72D297353CC}">
              <c16:uniqueId val="{00000010-A791-B449-8847-6A09E1BDEEB5}"/>
            </c:ext>
          </c:extLst>
        </c:ser>
        <c:dLbls>
          <c:showLegendKey val="0"/>
          <c:showVal val="0"/>
          <c:showCatName val="0"/>
          <c:showSerName val="0"/>
          <c:showPercent val="0"/>
          <c:showBubbleSize val="0"/>
        </c:dLbls>
        <c:gapWidth val="219"/>
        <c:overlap val="-27"/>
        <c:axId val="1863187680"/>
        <c:axId val="1850293552"/>
      </c:barChart>
      <c:catAx>
        <c:axId val="186318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All Colors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93552"/>
        <c:crosses val="autoZero"/>
        <c:auto val="1"/>
        <c:lblAlgn val="ctr"/>
        <c:lblOffset val="100"/>
        <c:noMultiLvlLbl val="0"/>
      </c:catAx>
      <c:valAx>
        <c:axId val="185029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18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Claiming Longest Routes </a:t>
            </a:r>
            <a:r>
              <a:rPr lang="en-US" baseline="0"/>
              <a:t>Strategy</a:t>
            </a:r>
            <a:endParaRPr lang="en-US"/>
          </a:p>
          <a:p>
            <a:pPr>
              <a:defRPr/>
            </a:pPr>
            <a:r>
              <a:rPr lang="en-US"/>
              <a:t>Points Standard for 2-5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Strategy_Scratch!$C$92</c:f>
              <c:strCache>
                <c:ptCount val="1"/>
                <c:pt idx="0">
                  <c:v>Points Standard</c:v>
                </c:pt>
              </c:strCache>
            </c:strRef>
          </c:tx>
          <c:spPr>
            <a:solidFill>
              <a:schemeClr val="accent1"/>
            </a:solidFill>
            <a:ln>
              <a:noFill/>
            </a:ln>
            <a:effectLst/>
          </c:spPr>
          <c:invertIfNegative val="0"/>
          <c:cat>
            <c:numRef>
              <c:f>Strategy_Scratch!$B$93:$B$96</c:f>
              <c:numCache>
                <c:formatCode>General</c:formatCode>
                <c:ptCount val="4"/>
                <c:pt idx="0">
                  <c:v>2</c:v>
                </c:pt>
                <c:pt idx="1">
                  <c:v>3</c:v>
                </c:pt>
                <c:pt idx="2">
                  <c:v>4</c:v>
                </c:pt>
                <c:pt idx="3">
                  <c:v>5</c:v>
                </c:pt>
              </c:numCache>
            </c:numRef>
          </c:cat>
          <c:val>
            <c:numRef>
              <c:f>Strategy_Scratch!$C$93:$C$96</c:f>
              <c:numCache>
                <c:formatCode>General</c:formatCode>
                <c:ptCount val="4"/>
                <c:pt idx="0">
                  <c:v>111.5</c:v>
                </c:pt>
                <c:pt idx="1">
                  <c:v>108</c:v>
                </c:pt>
                <c:pt idx="2">
                  <c:v>105.25</c:v>
                </c:pt>
                <c:pt idx="3">
                  <c:v>103.6</c:v>
                </c:pt>
              </c:numCache>
            </c:numRef>
          </c:val>
          <c:extLst>
            <c:ext xmlns:c16="http://schemas.microsoft.com/office/drawing/2014/chart" uri="{C3380CC4-5D6E-409C-BE32-E72D297353CC}">
              <c16:uniqueId val="{00000000-D264-854E-BD8D-597FA6384B58}"/>
            </c:ext>
          </c:extLst>
        </c:ser>
        <c:dLbls>
          <c:showLegendKey val="0"/>
          <c:showVal val="0"/>
          <c:showCatName val="0"/>
          <c:showSerName val="0"/>
          <c:showPercent val="0"/>
          <c:showBubbleSize val="0"/>
        </c:dLbls>
        <c:gapWidth val="219"/>
        <c:overlap val="-27"/>
        <c:axId val="1908594848"/>
        <c:axId val="1908596480"/>
      </c:barChart>
      <c:catAx>
        <c:axId val="190859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96480"/>
        <c:crosses val="autoZero"/>
        <c:auto val="1"/>
        <c:lblAlgn val="ctr"/>
        <c:lblOffset val="100"/>
        <c:noMultiLvlLbl val="0"/>
      </c:catAx>
      <c:valAx>
        <c:axId val="190859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Earned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9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Destination Ticket Point Efficieny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Destination Ticket Point Efficieny Histogram</a:t>
          </a:r>
        </a:p>
      </cx:txPr>
    </cx:title>
    <cx:plotArea>
      <cx:plotAreaRegion>
        <cx:series layoutId="clusteredColumn" uniqueId="{0B32EA36-499B-B543-AF0F-30EE3FF4659B}">
          <cx:tx>
            <cx:txData>
              <cx:f>_xlchart.v1.1</cx:f>
              <cx:v>Efficiency</cx:v>
            </cx:txData>
          </cx:tx>
          <cx:dataPt idx="4"/>
          <cx:dataId val="0"/>
          <cx:layoutPr>
            <cx:binning intervalClosed="r" underflow="2">
              <cx:binSize val="0.10000000000000001"/>
            </cx:binning>
          </cx:layoutPr>
        </cx:series>
      </cx:plotAreaRegion>
      <cx:axis id="0">
        <cx:catScaling gapWidth="0"/>
        <cx:title>
          <cx:tx>
            <cx:txData>
              <cx:v>Points per Route Length 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Points per Route Length Bins</a:t>
              </a:r>
            </a:p>
          </cx:txPr>
        </cx:title>
        <cx:tickLabels/>
      </cx:axis>
      <cx:axis id="1">
        <cx:valScaling/>
        <cx:title>
          <cx:tx>
            <cx:txData>
              <cx:v># of Tickets per Bin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of Tickets per Bin</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Destination Ticket Point Efficieny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Destination Ticket Point Efficieny</a:t>
          </a:r>
        </a:p>
      </cx:txPr>
    </cx:title>
    <cx:plotArea>
      <cx:plotAreaRegion>
        <cx:series layoutId="clusteredColumn" uniqueId="{0B32EA36-499B-B543-AF0F-30EE3FF4659B}">
          <cx:tx>
            <cx:txData>
              <cx:f>_xlchart.v1.4</cx:f>
              <cx:v>Efficiency</cx:v>
            </cx:txData>
          </cx:tx>
          <cx:dataPt idx="4"/>
          <cx:dataId val="0"/>
          <cx:layoutPr>
            <cx:binning intervalClosed="r" underflow="2">
              <cx:binSize val="0.10000000000000001"/>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6.xml"/><Relationship Id="rId5" Type="http://schemas.microsoft.com/office/2014/relationships/chartEx" Target="../charts/chartEx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38100</xdr:colOff>
      <xdr:row>1</xdr:row>
      <xdr:rowOff>69850</xdr:rowOff>
    </xdr:from>
    <xdr:to>
      <xdr:col>11</xdr:col>
      <xdr:colOff>482600</xdr:colOff>
      <xdr:row>14</xdr:row>
      <xdr:rowOff>171450</xdr:rowOff>
    </xdr:to>
    <xdr:graphicFrame macro="">
      <xdr:nvGraphicFramePr>
        <xdr:cNvPr id="2" name="Chart 1">
          <a:extLst>
            <a:ext uri="{FF2B5EF4-FFF2-40B4-BE49-F238E27FC236}">
              <a16:creationId xmlns:a16="http://schemas.microsoft.com/office/drawing/2014/main" id="{33009EEF-C788-6948-AD8F-550C00625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15</xdr:row>
      <xdr:rowOff>107950</xdr:rowOff>
    </xdr:from>
    <xdr:to>
      <xdr:col>11</xdr:col>
      <xdr:colOff>482600</xdr:colOff>
      <xdr:row>29</xdr:row>
      <xdr:rowOff>6350</xdr:rowOff>
    </xdr:to>
    <xdr:graphicFrame macro="">
      <xdr:nvGraphicFramePr>
        <xdr:cNvPr id="3" name="Chart 2">
          <a:extLst>
            <a:ext uri="{FF2B5EF4-FFF2-40B4-BE49-F238E27FC236}">
              <a16:creationId xmlns:a16="http://schemas.microsoft.com/office/drawing/2014/main" id="{A0A39132-852B-F849-B3F8-8CA482DFA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8</xdr:row>
      <xdr:rowOff>38100</xdr:rowOff>
    </xdr:from>
    <xdr:to>
      <xdr:col>5</xdr:col>
      <xdr:colOff>533400</xdr:colOff>
      <xdr:row>21</xdr:row>
      <xdr:rowOff>139700</xdr:rowOff>
    </xdr:to>
    <xdr:graphicFrame macro="">
      <xdr:nvGraphicFramePr>
        <xdr:cNvPr id="2" name="Chart 1">
          <a:extLst>
            <a:ext uri="{FF2B5EF4-FFF2-40B4-BE49-F238E27FC236}">
              <a16:creationId xmlns:a16="http://schemas.microsoft.com/office/drawing/2014/main" id="{07CEB7EE-8468-7449-AD24-350F5D810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368300</xdr:colOff>
      <xdr:row>28</xdr:row>
      <xdr:rowOff>25401</xdr:rowOff>
    </xdr:from>
    <xdr:to>
      <xdr:col>5</xdr:col>
      <xdr:colOff>798689</xdr:colOff>
      <xdr:row>41</xdr:row>
      <xdr:rowOff>88901</xdr:rowOff>
    </xdr:to>
    <xdr:graphicFrame macro="">
      <xdr:nvGraphicFramePr>
        <xdr:cNvPr id="3" name="Chart 2">
          <a:extLst>
            <a:ext uri="{FF2B5EF4-FFF2-40B4-BE49-F238E27FC236}">
              <a16:creationId xmlns:a16="http://schemas.microsoft.com/office/drawing/2014/main" id="{8A7E8F24-C495-F242-868F-E02402AB8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28</xdr:row>
      <xdr:rowOff>25400</xdr:rowOff>
    </xdr:from>
    <xdr:to>
      <xdr:col>12</xdr:col>
      <xdr:colOff>811389</xdr:colOff>
      <xdr:row>41</xdr:row>
      <xdr:rowOff>84197</xdr:rowOff>
    </xdr:to>
    <xdr:graphicFrame macro="">
      <xdr:nvGraphicFramePr>
        <xdr:cNvPr id="4" name="Chart 3">
          <a:extLst>
            <a:ext uri="{FF2B5EF4-FFF2-40B4-BE49-F238E27FC236}">
              <a16:creationId xmlns:a16="http://schemas.microsoft.com/office/drawing/2014/main" id="{1C9A62BD-D2C9-FF42-BC91-44D76D3FB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165100</xdr:colOff>
      <xdr:row>46</xdr:row>
      <xdr:rowOff>12700</xdr:rowOff>
    </xdr:from>
    <xdr:to>
      <xdr:col>8</xdr:col>
      <xdr:colOff>673100</xdr:colOff>
      <xdr:row>56</xdr:row>
      <xdr:rowOff>139701</xdr:rowOff>
    </xdr:to>
    <xdr:pic>
      <xdr:nvPicPr>
        <xdr:cNvPr id="6" name="Picture 5">
          <a:extLst>
            <a:ext uri="{FF2B5EF4-FFF2-40B4-BE49-F238E27FC236}">
              <a16:creationId xmlns:a16="http://schemas.microsoft.com/office/drawing/2014/main" id="{BBA04C88-2E7B-E84F-AAEA-741F3C853F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5100" y="13017500"/>
          <a:ext cx="7112000" cy="2159000"/>
        </a:xfrm>
        <a:prstGeom prst="rect">
          <a:avLst/>
        </a:prstGeom>
      </xdr:spPr>
    </xdr:pic>
    <xdr:clientData/>
  </xdr:twoCellAnchor>
  <xdr:twoCellAnchor>
    <xdr:from>
      <xdr:col>0</xdr:col>
      <xdr:colOff>165100</xdr:colOff>
      <xdr:row>66</xdr:row>
      <xdr:rowOff>38100</xdr:rowOff>
    </xdr:from>
    <xdr:to>
      <xdr:col>9</xdr:col>
      <xdr:colOff>355600</xdr:colOff>
      <xdr:row>77</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1E17730-9D73-094F-A852-555C361B8E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5100" y="13449300"/>
              <a:ext cx="7620000" cy="227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8</xdr:row>
      <xdr:rowOff>0</xdr:rowOff>
    </xdr:from>
    <xdr:to>
      <xdr:col>11</xdr:col>
      <xdr:colOff>444500</xdr:colOff>
      <xdr:row>21</xdr:row>
      <xdr:rowOff>101600</xdr:rowOff>
    </xdr:to>
    <xdr:graphicFrame macro="">
      <xdr:nvGraphicFramePr>
        <xdr:cNvPr id="10" name="Chart 9">
          <a:extLst>
            <a:ext uri="{FF2B5EF4-FFF2-40B4-BE49-F238E27FC236}">
              <a16:creationId xmlns:a16="http://schemas.microsoft.com/office/drawing/2014/main" id="{E989859F-2C7E-6644-942F-5DB4188A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84</xdr:row>
      <xdr:rowOff>0</xdr:rowOff>
    </xdr:from>
    <xdr:to>
      <xdr:col>5</xdr:col>
      <xdr:colOff>53879</xdr:colOff>
      <xdr:row>105</xdr:row>
      <xdr:rowOff>87745</xdr:rowOff>
    </xdr:to>
    <xdr:pic>
      <xdr:nvPicPr>
        <xdr:cNvPr id="15" name="Picture 14">
          <a:extLst>
            <a:ext uri="{FF2B5EF4-FFF2-40B4-BE49-F238E27FC236}">
              <a16:creationId xmlns:a16="http://schemas.microsoft.com/office/drawing/2014/main" id="{DCC5645F-BE07-BC49-A65B-028DDA6FE65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7173864"/>
          <a:ext cx="4191000" cy="4330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790927</xdr:colOff>
      <xdr:row>0</xdr:row>
      <xdr:rowOff>173801</xdr:rowOff>
    </xdr:from>
    <xdr:to>
      <xdr:col>15</xdr:col>
      <xdr:colOff>409927</xdr:colOff>
      <xdr:row>14</xdr:row>
      <xdr:rowOff>75494</xdr:rowOff>
    </xdr:to>
    <xdr:graphicFrame macro="">
      <xdr:nvGraphicFramePr>
        <xdr:cNvPr id="4" name="Chart 3">
          <a:extLst>
            <a:ext uri="{FF2B5EF4-FFF2-40B4-BE49-F238E27FC236}">
              <a16:creationId xmlns:a16="http://schemas.microsoft.com/office/drawing/2014/main" id="{4B8CFB35-7BDC-9840-9EEE-F902DFA17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776111</xdr:colOff>
      <xdr:row>15</xdr:row>
      <xdr:rowOff>1</xdr:rowOff>
    </xdr:from>
    <xdr:to>
      <xdr:col>15</xdr:col>
      <xdr:colOff>395111</xdr:colOff>
      <xdr:row>28</xdr:row>
      <xdr:rowOff>101602</xdr:rowOff>
    </xdr:to>
    <xdr:graphicFrame macro="">
      <xdr:nvGraphicFramePr>
        <xdr:cNvPr id="5" name="Chart 4">
          <a:extLst>
            <a:ext uri="{FF2B5EF4-FFF2-40B4-BE49-F238E27FC236}">
              <a16:creationId xmlns:a16="http://schemas.microsoft.com/office/drawing/2014/main" id="{8AA687C8-A9CA-FD4E-A306-61471E454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16</xdr:col>
      <xdr:colOff>635000</xdr:colOff>
      <xdr:row>48</xdr:row>
      <xdr:rowOff>7050</xdr:rowOff>
    </xdr:to>
    <xdr:pic>
      <xdr:nvPicPr>
        <xdr:cNvPr id="3" name="Picture 2">
          <a:extLst>
            <a:ext uri="{FF2B5EF4-FFF2-40B4-BE49-F238E27FC236}">
              <a16:creationId xmlns:a16="http://schemas.microsoft.com/office/drawing/2014/main" id="{2F345921-D9DF-2F4B-A0EF-975B9DAD73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2400"/>
          <a:ext cx="13843000" cy="9608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558800</xdr:colOff>
      <xdr:row>2</xdr:row>
      <xdr:rowOff>184150</xdr:rowOff>
    </xdr:from>
    <xdr:to>
      <xdr:col>14</xdr:col>
      <xdr:colOff>635000</xdr:colOff>
      <xdr:row>17</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DE1AD4-C114-634E-98AD-ECE8544EF3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31200" y="603250"/>
              <a:ext cx="6604000" cy="2914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12</xdr:row>
      <xdr:rowOff>0</xdr:rowOff>
    </xdr:from>
    <xdr:to>
      <xdr:col>7</xdr:col>
      <xdr:colOff>215900</xdr:colOff>
      <xdr:row>25</xdr:row>
      <xdr:rowOff>114300</xdr:rowOff>
    </xdr:to>
    <xdr:graphicFrame macro="">
      <xdr:nvGraphicFramePr>
        <xdr:cNvPr id="2" name="Chart 1">
          <a:extLst>
            <a:ext uri="{FF2B5EF4-FFF2-40B4-BE49-F238E27FC236}">
              <a16:creationId xmlns:a16="http://schemas.microsoft.com/office/drawing/2014/main" id="{7F058DAE-6C24-8843-80E1-350C26DF5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5</xdr:col>
      <xdr:colOff>419100</xdr:colOff>
      <xdr:row>49</xdr:row>
      <xdr:rowOff>107949</xdr:rowOff>
    </xdr:to>
    <xdr:graphicFrame macro="">
      <xdr:nvGraphicFramePr>
        <xdr:cNvPr id="3" name="Chart 2">
          <a:extLst>
            <a:ext uri="{FF2B5EF4-FFF2-40B4-BE49-F238E27FC236}">
              <a16:creationId xmlns:a16="http://schemas.microsoft.com/office/drawing/2014/main" id="{51093E29-008C-D842-AAB1-22BBE766C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876300</xdr:colOff>
      <xdr:row>37</xdr:row>
      <xdr:rowOff>44450</xdr:rowOff>
    </xdr:from>
    <xdr:to>
      <xdr:col>8</xdr:col>
      <xdr:colOff>774700</xdr:colOff>
      <xdr:row>50</xdr:row>
      <xdr:rowOff>139700</xdr:rowOff>
    </xdr:to>
    <xdr:graphicFrame macro="">
      <xdr:nvGraphicFramePr>
        <xdr:cNvPr id="2" name="Chart 1">
          <a:extLst>
            <a:ext uri="{FF2B5EF4-FFF2-40B4-BE49-F238E27FC236}">
              <a16:creationId xmlns:a16="http://schemas.microsoft.com/office/drawing/2014/main" id="{A585BF7C-1C68-5644-986C-3BCAB5686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91</xdr:row>
      <xdr:rowOff>38100</xdr:rowOff>
    </xdr:from>
    <xdr:to>
      <xdr:col>11</xdr:col>
      <xdr:colOff>266700</xdr:colOff>
      <xdr:row>104</xdr:row>
      <xdr:rowOff>139700</xdr:rowOff>
    </xdr:to>
    <xdr:graphicFrame macro="">
      <xdr:nvGraphicFramePr>
        <xdr:cNvPr id="3" name="Chart 2">
          <a:extLst>
            <a:ext uri="{FF2B5EF4-FFF2-40B4-BE49-F238E27FC236}">
              <a16:creationId xmlns:a16="http://schemas.microsoft.com/office/drawing/2014/main" id="{22687907-5522-F44A-8701-181DCA1B7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44.63749479167" createdVersion="6" refreshedVersion="6" minRefreshableVersion="3" recordCount="46" xr:uid="{90577FFA-ABD7-5A4D-A5C4-208D1C3FE6DA}">
  <cacheSource type="worksheet">
    <worksheetSource name="Ticket_Table"/>
  </cacheSource>
  <cacheFields count="18">
    <cacheField name="ID" numFmtId="0">
      <sharedItems containsSemiMixedTypes="0" containsString="0" containsNumber="1" containsInteger="1" minValue="2000" maxValue="2045"/>
    </cacheField>
    <cacheField name="Name" numFmtId="0">
      <sharedItems count="46">
        <s v="Athina-Angora"/>
        <s v="Budapest-Sofia"/>
        <s v="Frankfurt-Kobenhavn"/>
        <s v="Rostov-Erzurum"/>
        <s v="Sofia-Smyrna"/>
        <s v="Kyiv-Petrograd"/>
        <s v="Zurich-Brindisi"/>
        <s v="Zurich-Budapest"/>
        <s v="Warszawa-Smolensk"/>
        <s v="Zagrab-Brindisi"/>
        <s v="Paris-Zagrab"/>
        <s v="Brest-Marseille"/>
        <s v="London-Berlin"/>
        <s v="Edinburgh-Paris"/>
        <s v="Amsterdam-Pamplona"/>
        <s v="Roma-Smyrna"/>
        <s v="Palermo-Constantinople"/>
        <s v="Sarajevo-Sevastopol"/>
        <s v="Madrid-Dieppe"/>
        <s v="Barcelona-Bruxelles"/>
        <s v="Paris-Wien"/>
        <s v="Barcelona-Munchen"/>
        <s v="Brest-Venezia"/>
        <s v="Smolensk-Rostov"/>
        <s v="Marseille-Essen"/>
        <s v="Kyiv-Sochi"/>
        <s v="Madrid-Zurich"/>
        <s v="Berlin-Bucresti"/>
        <s v="Bruxelles-Danzig"/>
        <s v="Berlin-Roma"/>
        <s v="Angora-Kharkov"/>
        <s v="Riga-Bucresti"/>
        <s v="Essen-Kyiv"/>
        <s v="Venezia-Constantinople"/>
        <s v="London-Wien"/>
        <s v="Athina-Wilno"/>
        <s v="Stockholm-Wien"/>
        <s v="Berlin-Moskva"/>
        <s v="Amsterdam-Wilno"/>
        <s v="Frankfurt-Smolensk"/>
        <s v="Lisboa-Danzig"/>
        <s v="Brest-Petrograd"/>
        <s v="Palermo-Moskva"/>
        <s v="Kobenhavn-Erzurum"/>
        <s v="Edinburgh-Athina"/>
        <s v="Cadiz-Stockholm"/>
      </sharedItems>
    </cacheField>
    <cacheField name="City01" numFmtId="0">
      <sharedItems/>
    </cacheField>
    <cacheField name="City02" numFmtId="0">
      <sharedItems/>
    </cacheField>
    <cacheField name="Quad01" numFmtId="0">
      <sharedItems/>
    </cacheField>
    <cacheField name="Quad02" numFmtId="0">
      <sharedItems/>
    </cacheField>
    <cacheField name="Ticket_Points" numFmtId="0">
      <sharedItems containsSemiMixedTypes="0" containsString="0" containsNumber="1" containsInteger="1" minValue="5" maxValue="21"/>
    </cacheField>
    <cacheField name="Route_Points" numFmtId="0">
      <sharedItems containsSemiMixedTypes="0" containsString="0" containsNumber="1" containsInteger="1" minValue="6" maxValue="34"/>
    </cacheField>
    <cacheField name="Route_Length" numFmtId="0">
      <sharedItems containsSemiMixedTypes="0" containsString="0" containsNumber="1" containsInteger="1" minValue="5" maxValue="21"/>
    </cacheField>
    <cacheField name="Efficiency" numFmtId="2">
      <sharedItems containsSemiMixedTypes="0" containsString="0" containsNumber="1" minValue="2" maxValue="3.125"/>
    </cacheField>
    <cacheField name="Route01_ID" numFmtId="0">
      <sharedItems containsSemiMixedTypes="0" containsString="0" containsNumber="1" containsInteger="1" minValue="10001" maxValue="10003"/>
    </cacheField>
    <cacheField name="Route02_ID" numFmtId="0">
      <sharedItems containsSemiMixedTypes="0" containsString="0" containsNumber="1" containsInteger="1" minValue="10002" maxValue="10005"/>
    </cacheField>
    <cacheField name="Route03_ID" numFmtId="0">
      <sharedItems containsString="0" containsBlank="1" containsNumber="1" containsInteger="1" minValue="10002" maxValue="10004"/>
    </cacheField>
    <cacheField name="Route04_ID" numFmtId="0">
      <sharedItems containsString="0" containsBlank="1" containsNumber="1" containsInteger="1" minValue="10002" maxValue="10004"/>
    </cacheField>
    <cacheField name="Route05_ID" numFmtId="0">
      <sharedItems containsString="0" containsBlank="1" containsNumber="1" containsInteger="1" minValue="10002" maxValue="10004"/>
    </cacheField>
    <cacheField name="Route06_ID" numFmtId="0">
      <sharedItems containsString="0" containsBlank="1" containsNumber="1" containsInteger="1" minValue="10003" maxValue="10005"/>
    </cacheField>
    <cacheField name="Route07_ID" numFmtId="0">
      <sharedItems containsString="0" containsBlank="1" containsNumber="1" containsInteger="1" minValue="10004" maxValue="10004"/>
    </cacheField>
    <cacheField name="Route08_ID" numFmtId="0">
      <sharedItems containsString="0" containsBlank="1" containsNumber="1" containsInteger="1" minValue="10004" maxValue="1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n v="2000"/>
    <x v="0"/>
    <s v="Athina"/>
    <s v="Angora"/>
    <s v="SC"/>
    <s v="SE"/>
    <n v="5"/>
    <n v="6"/>
    <n v="5"/>
    <n v="2.2000000000000002"/>
    <n v="10002"/>
    <n v="10003"/>
    <m/>
    <m/>
    <m/>
    <m/>
    <m/>
    <m/>
  </r>
  <r>
    <n v="2001"/>
    <x v="1"/>
    <s v="Budapest"/>
    <s v="Sofia"/>
    <s v="SC"/>
    <s v="SE"/>
    <n v="5"/>
    <n v="6"/>
    <n v="5"/>
    <n v="2.2000000000000002"/>
    <n v="10002"/>
    <n v="10003"/>
    <m/>
    <m/>
    <m/>
    <m/>
    <m/>
    <m/>
  </r>
  <r>
    <n v="2002"/>
    <x v="2"/>
    <s v="Frankfurt"/>
    <s v="Kobenhavn"/>
    <s v="NC"/>
    <s v="NC"/>
    <n v="5"/>
    <n v="6"/>
    <n v="5"/>
    <n v="2.2000000000000002"/>
    <n v="10002"/>
    <n v="10003"/>
    <m/>
    <m/>
    <m/>
    <m/>
    <m/>
    <m/>
  </r>
  <r>
    <n v="2003"/>
    <x v="3"/>
    <s v="Rostov"/>
    <s v="Erzurum"/>
    <s v="SE"/>
    <s v="SE"/>
    <n v="5"/>
    <n v="6"/>
    <n v="5"/>
    <n v="2.2000000000000002"/>
    <n v="10002"/>
    <n v="10003"/>
    <m/>
    <m/>
    <m/>
    <m/>
    <m/>
    <m/>
  </r>
  <r>
    <n v="2004"/>
    <x v="4"/>
    <s v="Sofia"/>
    <s v="Smyrna"/>
    <s v="SE"/>
    <s v="SE"/>
    <n v="5"/>
    <n v="6"/>
    <n v="5"/>
    <n v="2.2000000000000002"/>
    <n v="10002"/>
    <n v="10003"/>
    <m/>
    <m/>
    <m/>
    <m/>
    <m/>
    <m/>
  </r>
  <r>
    <n v="2005"/>
    <x v="5"/>
    <s v="Kyiv"/>
    <s v="Petrograd"/>
    <s v="NE"/>
    <s v="NE"/>
    <n v="6"/>
    <n v="9"/>
    <n v="6"/>
    <n v="2.5"/>
    <n v="10002"/>
    <n v="10004"/>
    <m/>
    <m/>
    <m/>
    <m/>
    <m/>
    <m/>
  </r>
  <r>
    <n v="2006"/>
    <x v="6"/>
    <s v="Zurich"/>
    <s v="Brindisi"/>
    <s v="SC"/>
    <s v="SC"/>
    <n v="6"/>
    <n v="6"/>
    <n v="6"/>
    <n v="2"/>
    <n v="10002"/>
    <n v="10002"/>
    <n v="10002"/>
    <m/>
    <m/>
    <m/>
    <m/>
    <m/>
  </r>
  <r>
    <n v="2007"/>
    <x v="7"/>
    <s v="Zurich"/>
    <s v="Budapest"/>
    <s v="SC"/>
    <s v="SC"/>
    <n v="6"/>
    <n v="7"/>
    <n v="6"/>
    <n v="2.1666666666666665"/>
    <n v="10001"/>
    <n v="10002"/>
    <n v="10003"/>
    <m/>
    <m/>
    <m/>
    <m/>
    <m/>
  </r>
  <r>
    <n v="2008"/>
    <x v="8"/>
    <s v="Warszawa"/>
    <s v="Smolensk"/>
    <s v="NE"/>
    <s v="NE"/>
    <n v="6"/>
    <n v="8"/>
    <n v="6"/>
    <n v="2.3333333333333335"/>
    <n v="10003"/>
    <n v="10003"/>
    <m/>
    <m/>
    <m/>
    <m/>
    <m/>
    <m/>
  </r>
  <r>
    <n v="2009"/>
    <x v="9"/>
    <s v="Zagrab"/>
    <s v="Brindisi"/>
    <s v="SC"/>
    <s v="SC"/>
    <n v="6"/>
    <n v="6"/>
    <n v="6"/>
    <n v="2"/>
    <n v="10002"/>
    <n v="10002"/>
    <n v="10002"/>
    <m/>
    <m/>
    <m/>
    <m/>
    <m/>
  </r>
  <r>
    <n v="2010"/>
    <x v="10"/>
    <s v="Paris"/>
    <s v="Zagrab"/>
    <s v="NW"/>
    <s v="SC"/>
    <n v="7"/>
    <n v="8"/>
    <n v="7"/>
    <n v="2.1428571428571428"/>
    <n v="10002"/>
    <n v="10002"/>
    <n v="10003"/>
    <m/>
    <m/>
    <m/>
    <m/>
    <m/>
  </r>
  <r>
    <n v="2011"/>
    <x v="11"/>
    <s v="Brest"/>
    <s v="Marseille"/>
    <s v="NW"/>
    <s v="SC"/>
    <n v="7"/>
    <n v="11"/>
    <n v="7"/>
    <n v="2.5714285714285716"/>
    <n v="10003"/>
    <n v="10004"/>
    <m/>
    <m/>
    <m/>
    <m/>
    <m/>
    <m/>
  </r>
  <r>
    <n v="2012"/>
    <x v="12"/>
    <s v="London"/>
    <s v="Berlin"/>
    <s v="NW"/>
    <s v="NE"/>
    <n v="7"/>
    <n v="8"/>
    <n v="7"/>
    <n v="2.1428571428571428"/>
    <n v="10002"/>
    <n v="10002"/>
    <n v="10003"/>
    <m/>
    <m/>
    <m/>
    <m/>
    <m/>
  </r>
  <r>
    <n v="2013"/>
    <x v="13"/>
    <s v="Edinburgh"/>
    <s v="Paris"/>
    <s v="NW"/>
    <s v="NW"/>
    <n v="7"/>
    <n v="10"/>
    <n v="7"/>
    <n v="2.4285714285714284"/>
    <n v="10001"/>
    <n v="10002"/>
    <n v="10004"/>
    <m/>
    <m/>
    <m/>
    <m/>
    <m/>
  </r>
  <r>
    <n v="2014"/>
    <x v="14"/>
    <s v="Amsterdam"/>
    <s v="Pamplona"/>
    <s v="NW"/>
    <s v="SW"/>
    <n v="7"/>
    <n v="10"/>
    <n v="7"/>
    <n v="2.4285714285714284"/>
    <n v="10001"/>
    <n v="10002"/>
    <n v="10004"/>
    <m/>
    <m/>
    <m/>
    <m/>
    <m/>
  </r>
  <r>
    <n v="2015"/>
    <x v="15"/>
    <s v="Roma"/>
    <s v="Smyrna"/>
    <s v="SC"/>
    <s v="SE"/>
    <n v="8"/>
    <n v="11"/>
    <n v="8"/>
    <n v="2.375"/>
    <n v="10002"/>
    <n v="10002"/>
    <n v="10004"/>
    <m/>
    <m/>
    <m/>
    <m/>
    <m/>
  </r>
  <r>
    <n v="2016"/>
    <x v="16"/>
    <s v="Palermo"/>
    <s v="Constantinople"/>
    <s v="SC"/>
    <s v="SE"/>
    <n v="8"/>
    <n v="17"/>
    <n v="8"/>
    <n v="3.125"/>
    <n v="10002"/>
    <n v="10005"/>
    <m/>
    <m/>
    <m/>
    <m/>
    <m/>
    <m/>
  </r>
  <r>
    <n v="2017"/>
    <x v="17"/>
    <s v="Sarajevo"/>
    <s v="Sevastopol"/>
    <s v="SC"/>
    <s v="SE"/>
    <n v="8"/>
    <n v="11"/>
    <n v="8"/>
    <n v="2.375"/>
    <n v="10002"/>
    <n v="10002"/>
    <n v="10004"/>
    <m/>
    <m/>
    <m/>
    <m/>
    <m/>
  </r>
  <r>
    <n v="2018"/>
    <x v="18"/>
    <s v="Madrid"/>
    <s v="Dieppe"/>
    <s v="SW"/>
    <s v="NW"/>
    <n v="8"/>
    <n v="12"/>
    <n v="8"/>
    <n v="2.5"/>
    <n v="10001"/>
    <n v="10003"/>
    <n v="10004"/>
    <m/>
    <m/>
    <m/>
    <m/>
    <m/>
  </r>
  <r>
    <n v="2019"/>
    <x v="19"/>
    <s v="Barcelona"/>
    <s v="Bruxelles"/>
    <s v="SW"/>
    <s v="NW"/>
    <n v="8"/>
    <n v="11"/>
    <n v="8"/>
    <n v="2.375"/>
    <n v="10002"/>
    <n v="10002"/>
    <n v="10004"/>
    <m/>
    <m/>
    <m/>
    <m/>
    <m/>
  </r>
  <r>
    <n v="2020"/>
    <x v="20"/>
    <s v="Paris"/>
    <s v="Wien"/>
    <s v="NW"/>
    <s v="SC"/>
    <n v="8"/>
    <n v="10"/>
    <n v="8"/>
    <n v="2.25"/>
    <n v="10002"/>
    <n v="10003"/>
    <n v="10003"/>
    <m/>
    <m/>
    <m/>
    <m/>
    <m/>
  </r>
  <r>
    <n v="2021"/>
    <x v="21"/>
    <s v="Barcelona"/>
    <s v="Munchen"/>
    <s v="SW"/>
    <s v="NC"/>
    <n v="8"/>
    <n v="11"/>
    <n v="8"/>
    <n v="2.375"/>
    <n v="10002"/>
    <n v="10002"/>
    <n v="10004"/>
    <m/>
    <m/>
    <m/>
    <m/>
    <m/>
  </r>
  <r>
    <n v="2022"/>
    <x v="22"/>
    <s v="Brest"/>
    <s v="Venezia"/>
    <s v="NW"/>
    <s v="SC"/>
    <n v="8"/>
    <n v="10"/>
    <n v="8"/>
    <n v="2.25"/>
    <n v="10002"/>
    <n v="10003"/>
    <n v="10003"/>
    <m/>
    <m/>
    <m/>
    <m/>
    <m/>
  </r>
  <r>
    <n v="2023"/>
    <x v="23"/>
    <s v="Smolensk"/>
    <s v="Rostov"/>
    <s v="NE"/>
    <s v="SE"/>
    <n v="8"/>
    <n v="11"/>
    <n v="8"/>
    <n v="2.375"/>
    <n v="10002"/>
    <n v="10002"/>
    <n v="10004"/>
    <m/>
    <m/>
    <m/>
    <m/>
    <m/>
  </r>
  <r>
    <n v="2024"/>
    <x v="24"/>
    <s v="Marseille"/>
    <s v="Essen"/>
    <s v="SC"/>
    <s v="NC"/>
    <n v="8"/>
    <n v="8"/>
    <n v="8"/>
    <n v="2"/>
    <n v="10002"/>
    <n v="10002"/>
    <n v="10002"/>
    <n v="10002"/>
    <m/>
    <m/>
    <m/>
    <m/>
  </r>
  <r>
    <n v="2025"/>
    <x v="25"/>
    <s v="Kyiv"/>
    <s v="Sochi"/>
    <s v="NE"/>
    <s v="SE"/>
    <n v="8"/>
    <n v="11"/>
    <n v="8"/>
    <n v="2.375"/>
    <n v="10002"/>
    <n v="10002"/>
    <n v="10004"/>
    <m/>
    <m/>
    <m/>
    <m/>
    <m/>
  </r>
  <r>
    <n v="2026"/>
    <x v="26"/>
    <s v="Madrid"/>
    <s v="Zurich"/>
    <s v="SW"/>
    <s v="SC"/>
    <n v="8"/>
    <n v="11"/>
    <n v="8"/>
    <n v="2.375"/>
    <n v="10002"/>
    <n v="10002"/>
    <n v="10004"/>
    <m/>
    <m/>
    <m/>
    <m/>
    <m/>
  </r>
  <r>
    <n v="2027"/>
    <x v="27"/>
    <s v="Berlin"/>
    <s v="Bucresti"/>
    <s v="NE"/>
    <s v="SE"/>
    <n v="8"/>
    <n v="12"/>
    <n v="8"/>
    <n v="2.5"/>
    <n v="10001"/>
    <n v="10003"/>
    <n v="10004"/>
    <m/>
    <m/>
    <m/>
    <m/>
    <m/>
  </r>
  <r>
    <n v="2028"/>
    <x v="28"/>
    <s v="Bruxelles"/>
    <s v="Danzig"/>
    <s v="NW"/>
    <s v="NC"/>
    <n v="9"/>
    <n v="13"/>
    <n v="9"/>
    <n v="2.4444444444444446"/>
    <n v="10002"/>
    <n v="10003"/>
    <n v="10004"/>
    <m/>
    <m/>
    <m/>
    <m/>
    <m/>
  </r>
  <r>
    <n v="2029"/>
    <x v="29"/>
    <s v="Berlin"/>
    <s v="Roma"/>
    <s v="NE"/>
    <s v="SC"/>
    <n v="9"/>
    <n v="10"/>
    <n v="9"/>
    <n v="2.1111111111111112"/>
    <n v="10002"/>
    <n v="10002"/>
    <n v="10002"/>
    <n v="10003"/>
    <m/>
    <m/>
    <m/>
    <m/>
  </r>
  <r>
    <n v="2030"/>
    <x v="30"/>
    <s v="Angora"/>
    <s v="Kharkov"/>
    <s v="SE"/>
    <s v="NE"/>
    <n v="10"/>
    <n v="12"/>
    <n v="10"/>
    <n v="2.2000000000000002"/>
    <n v="10002"/>
    <n v="10002"/>
    <n v="10003"/>
    <n v="10003"/>
    <m/>
    <m/>
    <m/>
    <m/>
  </r>
  <r>
    <n v="2031"/>
    <x v="31"/>
    <s v="Riga"/>
    <s v="Bucresti"/>
    <s v="NE"/>
    <s v="SE"/>
    <n v="10"/>
    <n v="16"/>
    <n v="10"/>
    <n v="2.6"/>
    <n v="10002"/>
    <n v="10004"/>
    <n v="10004"/>
    <m/>
    <m/>
    <m/>
    <m/>
    <m/>
  </r>
  <r>
    <n v="2032"/>
    <x v="32"/>
    <s v="Essen"/>
    <s v="Kyiv"/>
    <s v="NC"/>
    <s v="NE"/>
    <n v="10"/>
    <n v="16"/>
    <n v="10"/>
    <n v="2.6"/>
    <n v="10002"/>
    <n v="10004"/>
    <n v="10004"/>
    <m/>
    <m/>
    <m/>
    <m/>
    <m/>
  </r>
  <r>
    <n v="2033"/>
    <x v="33"/>
    <s v="Venezia"/>
    <s v="Constantinople"/>
    <s v="SC"/>
    <s v="SE"/>
    <n v="10"/>
    <n v="12"/>
    <n v="10"/>
    <n v="2.2000000000000002"/>
    <n v="10002"/>
    <n v="10002"/>
    <n v="10003"/>
    <n v="10003"/>
    <m/>
    <m/>
    <m/>
    <m/>
  </r>
  <r>
    <n v="2034"/>
    <x v="34"/>
    <s v="London"/>
    <s v="Wien"/>
    <s v="NW"/>
    <s v="SC"/>
    <n v="10"/>
    <n v="10"/>
    <n v="9"/>
    <n v="2.2222222222222223"/>
    <n v="10002"/>
    <n v="10002"/>
    <n v="10002"/>
    <n v="10003"/>
    <m/>
    <m/>
    <m/>
    <m/>
  </r>
  <r>
    <n v="2035"/>
    <x v="35"/>
    <s v="Athina"/>
    <s v="Wilno"/>
    <s v="SC"/>
    <s v="NE"/>
    <n v="11"/>
    <n v="15"/>
    <n v="11"/>
    <n v="2.3636363636363638"/>
    <n v="10002"/>
    <n v="10002"/>
    <n v="10003"/>
    <n v="10004"/>
    <m/>
    <m/>
    <m/>
    <m/>
  </r>
  <r>
    <n v="2036"/>
    <x v="36"/>
    <s v="Stockholm"/>
    <s v="Wien"/>
    <s v="NC"/>
    <s v="SC"/>
    <n v="11"/>
    <n v="14"/>
    <n v="11"/>
    <n v="2.2727272727272729"/>
    <n v="10002"/>
    <n v="10003"/>
    <n v="10003"/>
    <n v="10003"/>
    <m/>
    <m/>
    <m/>
    <m/>
  </r>
  <r>
    <n v="2037"/>
    <x v="37"/>
    <s v="Berlin"/>
    <s v="Moskva"/>
    <s v="NE"/>
    <s v="NE"/>
    <n v="12"/>
    <n v="17"/>
    <n v="12"/>
    <n v="2.4166666666666665"/>
    <n v="10002"/>
    <n v="10003"/>
    <n v="10003"/>
    <n v="10004"/>
    <m/>
    <m/>
    <m/>
    <m/>
  </r>
  <r>
    <n v="2038"/>
    <x v="38"/>
    <s v="Amsterdam"/>
    <s v="Wilno"/>
    <s v="NW"/>
    <s v="NE"/>
    <n v="12"/>
    <n v="17"/>
    <n v="12"/>
    <n v="2.4166666666666665"/>
    <n v="10002"/>
    <n v="10003"/>
    <n v="10003"/>
    <n v="10004"/>
    <m/>
    <m/>
    <m/>
    <m/>
  </r>
  <r>
    <n v="2039"/>
    <x v="39"/>
    <s v="Frankfurt"/>
    <s v="Smolensk"/>
    <s v="NC"/>
    <s v="NE"/>
    <n v="13"/>
    <n v="19"/>
    <n v="13"/>
    <n v="2.4615384615384617"/>
    <n v="10003"/>
    <n v="10003"/>
    <n v="10003"/>
    <n v="10004"/>
    <m/>
    <m/>
    <m/>
    <m/>
  </r>
  <r>
    <n v="2040"/>
    <x v="40"/>
    <s v="Lisboa"/>
    <s v="Danzig"/>
    <s v="SW"/>
    <s v="NC"/>
    <n v="20"/>
    <n v="30"/>
    <n v="20"/>
    <n v="2.5"/>
    <n v="10003"/>
    <n v="10003"/>
    <n v="10003"/>
    <n v="10003"/>
    <n v="10004"/>
    <n v="10004"/>
    <m/>
    <m/>
  </r>
  <r>
    <n v="2041"/>
    <x v="41"/>
    <s v="Brest"/>
    <s v="Petrograd"/>
    <s v="NW"/>
    <s v="NE"/>
    <n v="20"/>
    <n v="30"/>
    <n v="20"/>
    <n v="2.5"/>
    <n v="10003"/>
    <n v="10003"/>
    <n v="10003"/>
    <n v="10003"/>
    <n v="10004"/>
    <n v="10004"/>
    <m/>
    <m/>
  </r>
  <r>
    <n v="2042"/>
    <x v="42"/>
    <s v="Palermo"/>
    <s v="Moskva"/>
    <s v="SC"/>
    <s v="NE"/>
    <n v="20"/>
    <n v="34"/>
    <n v="20"/>
    <n v="2.7"/>
    <n v="10002"/>
    <n v="10002"/>
    <n v="10003"/>
    <n v="10003"/>
    <n v="10004"/>
    <n v="10005"/>
    <m/>
    <m/>
  </r>
  <r>
    <n v="2043"/>
    <x v="43"/>
    <s v="Kobenhavn"/>
    <s v="Erzurum"/>
    <s v="NC"/>
    <s v="SE"/>
    <n v="21"/>
    <n v="32"/>
    <n v="21"/>
    <n v="2.5238095238095237"/>
    <n v="10001"/>
    <n v="10002"/>
    <n v="10003"/>
    <n v="10003"/>
    <n v="10004"/>
    <n v="10004"/>
    <n v="10004"/>
    <m/>
  </r>
  <r>
    <n v="2044"/>
    <x v="44"/>
    <s v="Edinburgh"/>
    <s v="Athina"/>
    <s v="NW"/>
    <s v="SC"/>
    <n v="21"/>
    <n v="27"/>
    <n v="20"/>
    <n v="2.4"/>
    <n v="10001"/>
    <n v="10002"/>
    <n v="10002"/>
    <n v="10002"/>
    <n v="10002"/>
    <n v="10003"/>
    <n v="10004"/>
    <n v="10004"/>
  </r>
  <r>
    <n v="2045"/>
    <x v="45"/>
    <s v="Cadiz"/>
    <s v="Stockholm"/>
    <s v="SW"/>
    <s v="NC"/>
    <n v="21"/>
    <n v="29"/>
    <n v="21"/>
    <n v="2.3809523809523809"/>
    <n v="10002"/>
    <n v="10003"/>
    <n v="10003"/>
    <n v="10003"/>
    <n v="10003"/>
    <n v="10003"/>
    <n v="1000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6FE73-2A4B-3242-A6D1-7CEC6D27FE6B}"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0" firstHeaderRow="1" firstDataRow="1" firstDataCol="1"/>
  <pivotFields count="18">
    <pivotField showAll="0"/>
    <pivotField axis="axisRow" showAll="0" sortType="descending">
      <items count="47">
        <item x="14"/>
        <item x="38"/>
        <item x="30"/>
        <item x="0"/>
        <item x="35"/>
        <item x="19"/>
        <item x="21"/>
        <item x="27"/>
        <item x="37"/>
        <item x="29"/>
        <item x="11"/>
        <item x="41"/>
        <item x="22"/>
        <item x="28"/>
        <item x="1"/>
        <item x="45"/>
        <item x="44"/>
        <item x="13"/>
        <item x="32"/>
        <item x="2"/>
        <item x="39"/>
        <item x="43"/>
        <item x="5"/>
        <item x="25"/>
        <item x="40"/>
        <item x="12"/>
        <item x="34"/>
        <item x="18"/>
        <item x="26"/>
        <item x="24"/>
        <item x="16"/>
        <item x="42"/>
        <item x="20"/>
        <item x="10"/>
        <item x="31"/>
        <item x="15"/>
        <item x="3"/>
        <item x="17"/>
        <item x="23"/>
        <item x="4"/>
        <item x="36"/>
        <item x="33"/>
        <item x="8"/>
        <item x="9"/>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s>
  <rowFields count="1">
    <field x="1"/>
  </rowFields>
  <rowItems count="47">
    <i>
      <x v="30"/>
    </i>
    <i>
      <x v="31"/>
    </i>
    <i>
      <x v="34"/>
    </i>
    <i>
      <x v="18"/>
    </i>
    <i>
      <x v="10"/>
    </i>
    <i>
      <x v="21"/>
    </i>
    <i>
      <x v="27"/>
    </i>
    <i>
      <x v="11"/>
    </i>
    <i>
      <x v="7"/>
    </i>
    <i>
      <x v="24"/>
    </i>
    <i>
      <x v="22"/>
    </i>
    <i>
      <x v="20"/>
    </i>
    <i>
      <x v="13"/>
    </i>
    <i>
      <x/>
    </i>
    <i>
      <x v="17"/>
    </i>
    <i>
      <x v="1"/>
    </i>
    <i>
      <x v="8"/>
    </i>
    <i>
      <x v="16"/>
    </i>
    <i>
      <x v="15"/>
    </i>
    <i>
      <x v="6"/>
    </i>
    <i>
      <x v="23"/>
    </i>
    <i>
      <x v="35"/>
    </i>
    <i>
      <x v="37"/>
    </i>
    <i>
      <x v="38"/>
    </i>
    <i>
      <x v="5"/>
    </i>
    <i>
      <x v="28"/>
    </i>
    <i>
      <x v="4"/>
    </i>
    <i>
      <x v="42"/>
    </i>
    <i>
      <x v="40"/>
    </i>
    <i>
      <x v="32"/>
    </i>
    <i>
      <x v="12"/>
    </i>
    <i>
      <x v="26"/>
    </i>
    <i>
      <x v="39"/>
    </i>
    <i>
      <x v="3"/>
    </i>
    <i>
      <x v="41"/>
    </i>
    <i>
      <x v="36"/>
    </i>
    <i>
      <x v="14"/>
    </i>
    <i>
      <x v="2"/>
    </i>
    <i>
      <x v="19"/>
    </i>
    <i>
      <x v="45"/>
    </i>
    <i>
      <x v="33"/>
    </i>
    <i>
      <x v="25"/>
    </i>
    <i>
      <x v="9"/>
    </i>
    <i>
      <x v="44"/>
    </i>
    <i>
      <x v="29"/>
    </i>
    <i>
      <x v="43"/>
    </i>
    <i t="grand">
      <x/>
    </i>
  </rowItems>
  <colItems count="1">
    <i/>
  </colItems>
  <dataFields count="1">
    <dataField name="Sum of Efficienc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C3A80A-1F84-3C47-A241-0D6F2CB7A7E4}" name="RtP_Table" displayName="RtP_Table" ref="A2:E8" totalsRowShown="0" headerRowDxfId="32" tableBorderDxfId="31">
  <autoFilter ref="A2:E8" xr:uid="{B622656A-784F-6549-B79F-92B895C1D35F}"/>
  <tableColumns count="5">
    <tableColumn id="4" xr3:uid="{25421F34-CF96-5140-AB2E-938D058B1071}" name="ID"/>
    <tableColumn id="1" xr3:uid="{CCC85FD5-3C64-B14F-9476-42E30D02D7F1}" name="Route_Length"/>
    <tableColumn id="2" xr3:uid="{25B2848F-C6F8-584B-876C-39A81CA16775}" name="Route_Points"/>
    <tableColumn id="3" xr3:uid="{36D04781-2F4C-5148-A17B-D8FD34F46DE6}" name="Efficiency" dataDxfId="30">
      <calculatedColumnFormula>C3/B3</calculatedColumnFormula>
    </tableColumn>
    <tableColumn id="5" xr3:uid="{3A1AFBA4-7CE4-F74E-B877-E86D907B6AA9}" name="PercentGrow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D0B528-FDE4-ED4E-B9A5-B1A2E1E10573}" name="Color_Table" displayName="Color_Table" ref="A2:I11" totalsRowShown="0" headerRowDxfId="29" headerRowBorderDxfId="28" tableBorderDxfId="27" totalsRowBorderDxfId="26">
  <autoFilter ref="A2:I11" xr:uid="{ECF100DF-A713-0B4C-BB2A-FC49C3B6A679}"/>
  <tableColumns count="9">
    <tableColumn id="1" xr3:uid="{CC581A03-D01E-E045-905B-6AA9C7F37505}" name="Color" dataDxfId="25"/>
    <tableColumn id="2" xr3:uid="{EAC3970B-5B43-9248-BBA4-9BDB7CA24F2E}" name="Length1" dataDxfId="24"/>
    <tableColumn id="3" xr3:uid="{E7E7A1BE-4D2D-B24D-8D88-5744A5E401A4}" name="Length2" dataDxfId="23"/>
    <tableColumn id="4" xr3:uid="{64793A12-7CBF-434D-87B2-B75EFDF74D0E}" name="Length3" dataDxfId="22"/>
    <tableColumn id="5" xr3:uid="{748D0C3A-5CCA-E041-920E-64EA4E12ED01}" name="Length4" dataDxfId="21"/>
    <tableColumn id="6" xr3:uid="{B1736072-7E9C-314A-8B8C-5029E3F6EBB9}" name="Length6" dataDxfId="20"/>
    <tableColumn id="7" xr3:uid="{12AAFE94-936F-A941-A9AE-95E71D45A38D}" name="Length8" dataDxfId="19"/>
    <tableColumn id="8" xr3:uid="{BBBF87E6-E356-6949-B808-CCA8D910A5D7}" name="Points" dataDxfId="18">
      <calculatedColumnFormula>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calculatedColumnFormula>
    </tableColumn>
    <tableColumn id="9" xr3:uid="{35814BC8-34F0-F74C-AA05-00D0EBFA711E}" name="Efficiency" dataDxfId="17">
      <calculatedColumnFormula>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Row],[Length6]]+Route_Point_Conversion!B8*Color_Table[[#This Row],[Length8]])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5349AC-67C6-3141-9514-9ABE6DF79B5F}" name="Ticket_Table" displayName="Ticket_Table" ref="A2:S48" totalsRowShown="0" headerRowDxfId="16" tableBorderDxfId="15">
  <autoFilter ref="A2:S48" xr:uid="{8C8601FF-14A0-6144-B84C-0F48EB6EFDB2}"/>
  <tableColumns count="19">
    <tableColumn id="1" xr3:uid="{5B23389E-C8D5-624A-A2C7-166DCD068A70}" name="ID"/>
    <tableColumn id="9" xr3:uid="{535534BA-45FA-E043-A591-A72FE53D9578}" name="Name" dataDxfId="14">
      <calculatedColumnFormula>_xlfn.CONCAT(Ticket_Table[[#This Row],[City01]],"-",Ticket_Table[[#This Row],[City02]])</calculatedColumnFormula>
    </tableColumn>
    <tableColumn id="2" xr3:uid="{60C7DF16-2B11-3D46-8D36-C03521E6C4C7}" name="City01"/>
    <tableColumn id="3" xr3:uid="{E2520BD6-EC92-494D-85A1-1AA984BE8441}" name="City02"/>
    <tableColumn id="17" xr3:uid="{6B188CE8-E329-064F-B007-4988AA413E2F}" name="Quad01">
      <calculatedColumnFormula>INDEX(Cities_Table[#All], MATCH(C3, Cities_Table[City], 0) + 1, MATCH("Quad", Cities_Table[#Headers], 0))</calculatedColumnFormula>
    </tableColumn>
    <tableColumn id="18" xr3:uid="{916C8AFD-A309-8842-BA41-EB463FF4EC4F}" name="Quad02">
      <calculatedColumnFormula>INDEX(Cities_Table[#All], MATCH(D3, Cities_Table[City], 0) + 1, MATCH("Quad", Cities_Table[#Headers], 0))</calculatedColumnFormula>
    </tableColumn>
    <tableColumn id="4" xr3:uid="{815A6953-B150-8A4E-AEF8-ACA4CA6AB501}" name="Ticket_Points"/>
    <tableColumn id="5" xr3:uid="{DDD12473-4D97-A54E-8162-6DB91EA58C7E}" name="Route_Points">
      <calculatedColumnFormula>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calculatedColumnFormula>
    </tableColumn>
    <tableColumn id="21" xr3:uid="{362B249B-B2B3-6D48-93BE-B442C88CB88C}" name="Total_Route_Points" dataDxfId="13">
      <calculatedColumnFormula>Ticket_Table[[#This Row],[Ticket_Points]]+Ticket_Table[[#This Row],[Route_Points]]</calculatedColumnFormula>
    </tableColumn>
    <tableColumn id="6" xr3:uid="{52DF6E6A-E68D-274D-AE8A-620ED65E2282}" name="Route_Length" dataDxfId="12">
      <calculatedColumnFormula>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calculatedColumnFormula>
    </tableColumn>
    <tableColumn id="7" xr3:uid="{73AC637B-71AF-0342-90A5-3AD41B87334B}" name="Efficiency" dataDxfId="11">
      <calculatedColumnFormula>(Ticket_Table[[#This Row],[Ticket_Points]]+Ticket_Table[[#This Row],[Route_Points]])/Ticket_Table[[#This Row],[Route_Length]]</calculatedColumnFormula>
    </tableColumn>
    <tableColumn id="8" xr3:uid="{EC53163B-64E5-9F4D-8163-FFDBE1242914}" name="Route01_ID"/>
    <tableColumn id="10" xr3:uid="{C7629349-4176-914D-A1D7-6B6329C2AD2D}" name="Route02_ID"/>
    <tableColumn id="11" xr3:uid="{CFB11F54-B598-214E-807E-CD0707DBC4F1}" name="Route03_ID"/>
    <tableColumn id="12" xr3:uid="{534181C9-809A-934E-B922-1E9155091218}" name="Route04_ID"/>
    <tableColumn id="13" xr3:uid="{F397BC2B-C464-5746-8B62-17BE717DC0D9}" name="Route05_ID"/>
    <tableColumn id="14" xr3:uid="{8286A54F-8BBF-3C42-AE07-EEFAB153B8FC}" name="Route06_ID"/>
    <tableColumn id="15" xr3:uid="{8451CE9E-F44E-4048-9857-29A2A6010F84}" name="Route07_ID"/>
    <tableColumn id="16" xr3:uid="{C7606F88-208B-F649-BA22-D2ACCB484185}" name="Route08_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B1060B-4359-5A47-88F6-40056E6ECC39}" name="RouteInfo_Table" displayName="RouteInfo_Table" ref="A2:G93" totalsRowShown="0" headerRowDxfId="10" tableBorderDxfId="9">
  <autoFilter ref="A2:G93" xr:uid="{14389437-F4E1-3A44-8CD6-FDF2933E82BC}"/>
  <tableColumns count="7">
    <tableColumn id="1" xr3:uid="{3D09F5CA-CFB7-754C-B59F-333BB4F7857F}" name="ID"/>
    <tableColumn id="8" xr3:uid="{3FC26159-3599-8842-9A39-2BDF05BCEABB}" name="Route" dataDxfId="8">
      <calculatedColumnFormula>_xlfn.CONCAT(RouteInfo_Table[[#This Row],[City01]], "-",RouteInfo_Table[[#This Row],[City02]])</calculatedColumnFormula>
    </tableColumn>
    <tableColumn id="2" xr3:uid="{9DE91669-F96B-114C-827D-444D64F9ADD4}" name="City01"/>
    <tableColumn id="3" xr3:uid="{BA35BAE0-A811-2847-A9CE-5352DFFE0F19}" name="City02"/>
    <tableColumn id="4" xr3:uid="{62A4B8C1-F65E-DF4B-BD45-072692A40376}" name="Route_Length"/>
    <tableColumn id="5" xr3:uid="{182AE97F-1746-9C44-99D6-8FAEFD3E5ECA}" name="Route_Points" dataDxfId="7">
      <calculatedColumnFormula>INDEX(RtP_Table[#All], MATCH(RouteInfo_Table[[#This Row],[Route_Length]],RtP_Table[Route_Length],0) + 1, MATCH(RouteInfo_Table[[#Headers],[Route_Points]], RtP_Table[#Headers], 0))</calculatedColumnFormula>
    </tableColumn>
    <tableColumn id="6" xr3:uid="{A5008E84-AFF3-5A41-B243-FA8E4A9AFB1E}" name="Efficiency" dataDxfId="6">
      <calculatedColumnFormula>RouteInfo_Table[[#This Row],[Route_Points]]/RouteInfo_Table[[#This Row],[Route_Length]]</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64F9E5-8029-FC42-B52D-5D7DC7A6DD4D}" name="Cities_Table" displayName="Cities_Table" ref="A2:H49" totalsRowShown="0" headerRowDxfId="5">
  <autoFilter ref="A2:H49" xr:uid="{F94BCF50-353E-FA40-84D5-752BBC17B497}"/>
  <sortState xmlns:xlrd2="http://schemas.microsoft.com/office/spreadsheetml/2017/richdata2" ref="A3:E49">
    <sortCondition descending="1" ref="E2:E49"/>
  </sortState>
  <tableColumns count="8">
    <tableColumn id="1" xr3:uid="{BC51E2FB-1402-0649-8FBE-A2EF720C74F4}" name="City"/>
    <tableColumn id="8" xr3:uid="{27F9E288-B4FF-F346-BA7D-7E5E13AD73E6}" name="Quad"/>
    <tableColumn id="2" xr3:uid="{3E34978F-131D-DF4E-848A-8E630DA58499}" name="AVG_Route_Length" dataDxfId="4">
      <calculatedColumnFormula>(SUMIF(RouteInfo_Table[City01], Cities_Table[[#This Row],[City]], RouteInfo_Table[Route_Length]) + SUMIF(RouteInfo_Table[City02], Cities_Table[[#This Row],[City]], RouteInfo_Table[Route_Length])) / (COUNTIF(RouteInfo_Table[City01], Cities_Table[[#This Row],[City]]) + COUNTIF(RouteInfo_Table[City02], Cities_Table[[#This Row],[City]]))</calculatedColumnFormula>
    </tableColumn>
    <tableColumn id="3" xr3:uid="{FC12DA59-59A7-F34D-841C-2785583A9423}" name="Points">
      <calculatedColumnFormula>SUMIF(RouteInfo_Table[City01], Cities_Table[[#This Row],[City]], RouteInfo_Table[Route_Points]) + SUMIF(RouteInfo_Table[City02], Cities_Table[[#This Row],[City]], RouteInfo_Table[Route_Points])</calculatedColumnFormula>
    </tableColumn>
    <tableColumn id="4" xr3:uid="{E43A4C8D-46D6-B540-B33E-9E7FE951F897}" name="AVG_Eff" dataDxfId="3">
      <calculatedColumnFormula>(SUMIF(RouteInfo_Table[City01], Cities_Table[[#This Row],[City]], RouteInfo_Table[Efficiency]) + SUMIF(RouteInfo_Table[City02], Cities_Table[[#This Row],[City]], RouteInfo_Table[Efficiency])) / (COUNTIF(RouteInfo_Table[City01], Cities_Table[[#This Row],[City]]) + COUNTIF(RouteInfo_Table[City02], Cities_Table[[#This Row],[City]]))</calculatedColumnFormula>
    </tableColumn>
    <tableColumn id="5" xr3:uid="{9B171A10-A884-8948-91CC-A8EB4D3985BD}" name="Ticket_Destination_Freq" dataDxfId="2">
      <calculatedColumnFormula>COUNTIF(Ticket_Table[City01],Cities_Table[[#This Row],[City]]) + COUNTIF(Ticket_Table[City02],Cities_Table[[#This Row],[City]])</calculatedColumnFormula>
    </tableColumn>
    <tableColumn id="6" xr3:uid="{74B217A4-4C6B-C44B-8807-E362FEF48366}" name="Path_Num" dataDxfId="1">
      <calculatedColumnFormula>COUNTIF(RouteInfo_Table[City01],Cities_Table[[#This Row],[City]]) + COUNTIF(RouteInfo_Table[City02],Cities_Table[[#This Row],[City]])</calculatedColumnFormula>
    </tableColumn>
    <tableColumn id="7" xr3:uid="{B1E00A4D-8758-FA4B-BF22-65F8DAA165B4}" name="Total_Interaction" dataDxfId="0">
      <calculatedColumnFormula>Cities_Table[[#This Row],[Ticket_Destination_Freq]]+Cities_Table[[#This Row],[Path_Num]]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C7251-A159-0C45-B090-FC2C38617356}">
  <sheetPr>
    <tabColor theme="1"/>
  </sheetPr>
  <dimension ref="A1:E8"/>
  <sheetViews>
    <sheetView workbookViewId="0">
      <selection activeCell="H20" sqref="H20"/>
    </sheetView>
  </sheetViews>
  <sheetFormatPr baseColWidth="10" defaultRowHeight="16" x14ac:dyDescent="0.2"/>
  <cols>
    <col min="1" max="3" width="14.5" bestFit="1" customWidth="1"/>
    <col min="4" max="4" width="11.6640625" bestFit="1" customWidth="1"/>
    <col min="5" max="5" width="16" bestFit="1" customWidth="1"/>
  </cols>
  <sheetData>
    <row r="1" spans="1:5" x14ac:dyDescent="0.2">
      <c r="A1" s="2" t="s">
        <v>54</v>
      </c>
      <c r="B1" s="3"/>
      <c r="C1" s="4"/>
      <c r="D1" s="4"/>
      <c r="E1" s="4"/>
    </row>
    <row r="2" spans="1:5" x14ac:dyDescent="0.2">
      <c r="A2" s="6" t="s">
        <v>2</v>
      </c>
      <c r="B2" s="6" t="s">
        <v>68</v>
      </c>
      <c r="C2" s="6" t="s">
        <v>67</v>
      </c>
      <c r="D2" s="6" t="s">
        <v>1</v>
      </c>
      <c r="E2" s="8" t="s">
        <v>107</v>
      </c>
    </row>
    <row r="3" spans="1:5" x14ac:dyDescent="0.2">
      <c r="A3" s="5">
        <v>10001</v>
      </c>
      <c r="B3" s="5">
        <v>1</v>
      </c>
      <c r="C3" s="5">
        <v>1</v>
      </c>
      <c r="D3" s="7">
        <f>C3/B3</f>
        <v>1</v>
      </c>
      <c r="E3">
        <v>0</v>
      </c>
    </row>
    <row r="4" spans="1:5" x14ac:dyDescent="0.2">
      <c r="A4" s="5">
        <v>10002</v>
      </c>
      <c r="B4" s="5">
        <v>2</v>
      </c>
      <c r="C4" s="5">
        <v>2</v>
      </c>
      <c r="D4" s="7">
        <f t="shared" ref="D4:D8" si="0">C4/B4</f>
        <v>1</v>
      </c>
      <c r="E4" s="33">
        <f>((RtP_Table[[#This Row],[Route_Points]]-C3)/C3) / (RtP_Table[[#This Row],[Route_Length]]-B3)</f>
        <v>1</v>
      </c>
    </row>
    <row r="5" spans="1:5" x14ac:dyDescent="0.2">
      <c r="A5" s="5">
        <v>10003</v>
      </c>
      <c r="B5" s="5">
        <v>3</v>
      </c>
      <c r="C5" s="5">
        <v>4</v>
      </c>
      <c r="D5" s="7">
        <f t="shared" si="0"/>
        <v>1.3333333333333333</v>
      </c>
      <c r="E5" s="33">
        <f>((RtP_Table[[#This Row],[Route_Points]]-C4)/C4) / (RtP_Table[[#This Row],[Route_Length]]-B4)</f>
        <v>1</v>
      </c>
    </row>
    <row r="6" spans="1:5" x14ac:dyDescent="0.2">
      <c r="A6" s="5">
        <v>10004</v>
      </c>
      <c r="B6" s="5">
        <v>4</v>
      </c>
      <c r="C6" s="5">
        <v>7</v>
      </c>
      <c r="D6" s="7">
        <f t="shared" si="0"/>
        <v>1.75</v>
      </c>
      <c r="E6" s="33">
        <f>((RtP_Table[[#This Row],[Route_Points]]-C5)/C5) / (RtP_Table[[#This Row],[Route_Length]]-B5)</f>
        <v>0.75</v>
      </c>
    </row>
    <row r="7" spans="1:5" x14ac:dyDescent="0.2">
      <c r="A7" s="5">
        <v>10005</v>
      </c>
      <c r="B7" s="5">
        <v>6</v>
      </c>
      <c r="C7" s="5">
        <v>15</v>
      </c>
      <c r="D7" s="7">
        <f t="shared" si="0"/>
        <v>2.5</v>
      </c>
      <c r="E7" s="33">
        <f>((RtP_Table[[#This Row],[Route_Points]]-C6)/C6) / (RtP_Table[[#This Row],[Route_Length]]-B6)</f>
        <v>0.5714285714285714</v>
      </c>
    </row>
    <row r="8" spans="1:5" x14ac:dyDescent="0.2">
      <c r="A8" s="5">
        <v>10006</v>
      </c>
      <c r="B8" s="5">
        <v>8</v>
      </c>
      <c r="C8" s="5">
        <v>21</v>
      </c>
      <c r="D8" s="7">
        <f t="shared" si="0"/>
        <v>2.625</v>
      </c>
      <c r="E8" s="33">
        <f>((RtP_Table[[#This Row],[Route_Points]]-C7)/C7) / (RtP_Table[[#This Row],[Route_Length]]-B7)</f>
        <v>0.2</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368B7-6D13-724B-BC4C-EAFC5326B13A}">
  <sheetPr>
    <tabColor rgb="FFFFFF00"/>
  </sheetPr>
  <dimension ref="A1:P96"/>
  <sheetViews>
    <sheetView topLeftCell="A25" workbookViewId="0">
      <selection activeCell="F26" sqref="F26"/>
    </sheetView>
  </sheetViews>
  <sheetFormatPr baseColWidth="10" defaultRowHeight="16" x14ac:dyDescent="0.2"/>
  <cols>
    <col min="2" max="2" width="21" bestFit="1" customWidth="1"/>
    <col min="3" max="3" width="12.5" bestFit="1" customWidth="1"/>
    <col min="4" max="4" width="17.6640625" bestFit="1" customWidth="1"/>
  </cols>
  <sheetData>
    <row r="1" spans="1:16" ht="17" thickBot="1" x14ac:dyDescent="0.25">
      <c r="A1" s="2" t="s">
        <v>194</v>
      </c>
      <c r="B1" s="3"/>
      <c r="C1" s="51"/>
      <c r="D1" s="3"/>
      <c r="E1" s="3"/>
      <c r="F1" s="3"/>
      <c r="G1" s="3"/>
      <c r="H1" s="3"/>
      <c r="I1" s="3"/>
      <c r="J1" s="3"/>
      <c r="K1" s="3"/>
      <c r="L1" s="3"/>
      <c r="M1" s="3"/>
      <c r="N1" s="3"/>
      <c r="O1" s="3"/>
      <c r="P1" s="4"/>
    </row>
    <row r="2" spans="1:16" x14ac:dyDescent="0.2">
      <c r="A2" s="28"/>
      <c r="B2" s="44" t="s">
        <v>163</v>
      </c>
      <c r="C2" s="42" t="s">
        <v>68</v>
      </c>
      <c r="D2" s="42" t="s">
        <v>170</v>
      </c>
      <c r="E2" s="44" t="s">
        <v>164</v>
      </c>
      <c r="F2" s="42" t="s">
        <v>68</v>
      </c>
      <c r="G2" s="43" t="s">
        <v>170</v>
      </c>
      <c r="H2" s="45" t="s">
        <v>165</v>
      </c>
      <c r="I2" s="42" t="s">
        <v>68</v>
      </c>
      <c r="J2" s="42" t="s">
        <v>170</v>
      </c>
      <c r="K2" s="44" t="s">
        <v>166</v>
      </c>
      <c r="L2" s="42" t="s">
        <v>68</v>
      </c>
      <c r="M2" s="43" t="s">
        <v>170</v>
      </c>
      <c r="N2" s="45" t="s">
        <v>167</v>
      </c>
      <c r="O2" s="42" t="s">
        <v>68</v>
      </c>
      <c r="P2" s="43" t="s">
        <v>170</v>
      </c>
    </row>
    <row r="3" spans="1:16" x14ac:dyDescent="0.2">
      <c r="A3" s="28"/>
      <c r="B3" s="46" t="s">
        <v>140</v>
      </c>
      <c r="C3" s="5">
        <f>INDEX(Ticket_Table[#All], MATCH(Strategy_Scratch!$B3,Ticket_Table[Name], 0) + 1, MATCH(Strategy_Scratch!C$2,Ticket_Table[#Headers],0))</f>
        <v>8</v>
      </c>
      <c r="D3" s="5">
        <f>INDEX(Ticket_Table[#All], MATCH(Strategy_Scratch!$B3,Ticket_Table[Name], 0) + 1, MATCH(Strategy_Scratch!D$2,Ticket_Table[#Headers],0))</f>
        <v>25</v>
      </c>
      <c r="E3" s="46" t="s">
        <v>141</v>
      </c>
      <c r="F3" s="5">
        <f>INDEX(Ticket_Table[#All], MATCH(Strategy_Scratch!$E3,Ticket_Table[Name], 0) + 1, MATCH(Strategy_Scratch!F$2,Ticket_Table[#Headers],0))</f>
        <v>20</v>
      </c>
      <c r="G3" s="31">
        <f>INDEX(Ticket_Table[#All], MATCH(Strategy_Scratch!$E3,Ticket_Table[Name], 0) + 1, MATCH(Strategy_Scratch!G$2,Ticket_Table[#Headers],0))</f>
        <v>54</v>
      </c>
      <c r="H3" s="48" t="s">
        <v>144</v>
      </c>
      <c r="I3" s="5">
        <f>INDEX(Ticket_Table[#All], MATCH(Strategy_Scratch!$H3,Ticket_Table[Name], 0) + 1, MATCH(Strategy_Scratch!I$2,Ticket_Table[#Headers],0))</f>
        <v>10</v>
      </c>
      <c r="J3" s="5">
        <f>INDEX(Ticket_Table[#All], MATCH(Strategy_Scratch!$H3,Ticket_Table[Name], 0) + 1, MATCH(Strategy_Scratch!J$2,Ticket_Table[#Headers],0))</f>
        <v>26</v>
      </c>
      <c r="K3" s="46" t="s">
        <v>128</v>
      </c>
      <c r="L3" s="5">
        <f>INDEX(Ticket_Table[#All], MATCH(Strategy_Scratch!$K3,Ticket_Table[Name], 0) + 1, MATCH(Strategy_Scratch!L$2,Ticket_Table[#Headers],0))</f>
        <v>10</v>
      </c>
      <c r="M3" s="31">
        <f>INDEX(Ticket_Table[#All], MATCH(Strategy_Scratch!$K3,Ticket_Table[Name], 0) + 1, MATCH(Strategy_Scratch!M$2,Ticket_Table[#Headers],0))</f>
        <v>26</v>
      </c>
      <c r="N3" s="48" t="s">
        <v>120</v>
      </c>
      <c r="O3" s="5">
        <f>INDEX(Ticket_Table[#All], MATCH(Strategy_Scratch!$N3,Ticket_Table[Name], 0) + 1, MATCH(Strategy_Scratch!O$2,Ticket_Table[#Headers],0))</f>
        <v>7</v>
      </c>
      <c r="P3" s="31">
        <f>INDEX(Ticket_Table[#All], MATCH(Strategy_Scratch!$N3,Ticket_Table[Name], 0) + 1, MATCH(Strategy_Scratch!P$2,Ticket_Table[#Headers],0))</f>
        <v>18</v>
      </c>
    </row>
    <row r="4" spans="1:16" x14ac:dyDescent="0.2">
      <c r="A4" s="28"/>
      <c r="B4" s="46" t="s">
        <v>131</v>
      </c>
      <c r="C4" s="5">
        <f>INDEX(Ticket_Table[#All], MATCH(Strategy_Scratch!$B4,Ticket_Table[Name], 0) + 1, MATCH(Strategy_Scratch!C$2,Ticket_Table[#Headers],0))</f>
        <v>21</v>
      </c>
      <c r="D4" s="5">
        <f>INDEX(Ticket_Table[#All], MATCH(Strategy_Scratch!$B4,Ticket_Table[Name], 0) + 1, MATCH(Strategy_Scratch!D$2,Ticket_Table[#Headers],0))</f>
        <v>53</v>
      </c>
      <c r="E4" s="46" t="s">
        <v>137</v>
      </c>
      <c r="F4" s="5">
        <f>INDEX(Ticket_Table[#All], MATCH(Strategy_Scratch!$E4,Ticket_Table[Name], 0) + 1, MATCH(Strategy_Scratch!F$2,Ticket_Table[#Headers],0))</f>
        <v>8</v>
      </c>
      <c r="G4" s="31">
        <f>INDEX(Ticket_Table[#All], MATCH(Strategy_Scratch!$E4,Ticket_Table[Name], 0) + 1, MATCH(Strategy_Scratch!G$2,Ticket_Table[#Headers],0))</f>
        <v>20</v>
      </c>
      <c r="H4" s="48" t="s">
        <v>121</v>
      </c>
      <c r="I4" s="5">
        <f>INDEX(Ticket_Table[#All], MATCH(Strategy_Scratch!$H4,Ticket_Table[Name], 0) + 1, MATCH(Strategy_Scratch!I$2,Ticket_Table[#Headers],0))</f>
        <v>20</v>
      </c>
      <c r="J4" s="5">
        <f>INDEX(Ticket_Table[#All], MATCH(Strategy_Scratch!$H4,Ticket_Table[Name], 0) + 1, MATCH(Strategy_Scratch!J$2,Ticket_Table[#Headers],0))</f>
        <v>50</v>
      </c>
      <c r="K4" s="50" t="s">
        <v>143</v>
      </c>
      <c r="L4" s="5">
        <f>INDEX(Ticket_Table[#All], MATCH(Strategy_Scratch!$K4,Ticket_Table[Name], 0) + 1, MATCH(Strategy_Scratch!L$2,Ticket_Table[#Headers],0))</f>
        <v>7</v>
      </c>
      <c r="M4" s="31">
        <f>INDEX(Ticket_Table[#All], MATCH(Strategy_Scratch!$K4,Ticket_Table[Name], 0) + 1, MATCH(Strategy_Scratch!M$2,Ticket_Table[#Headers],0))</f>
        <v>15</v>
      </c>
      <c r="N4" s="48" t="s">
        <v>134</v>
      </c>
      <c r="O4" s="5">
        <f>INDEX(Ticket_Table[#All], MATCH(Strategy_Scratch!$N4,Ticket_Table[Name], 0) + 1, MATCH(Strategy_Scratch!O$2,Ticket_Table[#Headers],0))</f>
        <v>20</v>
      </c>
      <c r="P4" s="31">
        <f>INDEX(Ticket_Table[#All], MATCH(Strategy_Scratch!$N4,Ticket_Table[Name], 0) + 1, MATCH(Strategy_Scratch!P$2,Ticket_Table[#Headers],0))</f>
        <v>50</v>
      </c>
    </row>
    <row r="5" spans="1:16" x14ac:dyDescent="0.2">
      <c r="A5" s="28"/>
      <c r="B5" s="46" t="s">
        <v>132</v>
      </c>
      <c r="C5" s="5">
        <f>INDEX(Ticket_Table[#All], MATCH(Strategy_Scratch!$B5,Ticket_Table[Name], 0) + 1, MATCH(Strategy_Scratch!C$2,Ticket_Table[#Headers],0))</f>
        <v>6</v>
      </c>
      <c r="D5" s="5">
        <f>INDEX(Ticket_Table[#All], MATCH(Strategy_Scratch!$B5,Ticket_Table[Name], 0) + 1, MATCH(Strategy_Scratch!D$2,Ticket_Table[#Headers],0))</f>
        <v>15</v>
      </c>
      <c r="E5" s="46" t="s">
        <v>133</v>
      </c>
      <c r="F5" s="5">
        <f>INDEX(Ticket_Table[#All], MATCH(Strategy_Scratch!$E5,Ticket_Table[Name], 0) + 1, MATCH(Strategy_Scratch!F$2,Ticket_Table[#Headers],0))</f>
        <v>8</v>
      </c>
      <c r="G5" s="31">
        <f>INDEX(Ticket_Table[#All], MATCH(Strategy_Scratch!$E5,Ticket_Table[Name], 0) + 1, MATCH(Strategy_Scratch!G$2,Ticket_Table[#Headers],0))</f>
        <v>19</v>
      </c>
      <c r="H5" s="48" t="s">
        <v>123</v>
      </c>
      <c r="I5" s="5">
        <f>INDEX(Ticket_Table[#All], MATCH(Strategy_Scratch!$H5,Ticket_Table[Name], 0) + 1, MATCH(Strategy_Scratch!I$2,Ticket_Table[#Headers],0))</f>
        <v>9</v>
      </c>
      <c r="J5" s="5">
        <f>INDEX(Ticket_Table[#All], MATCH(Strategy_Scratch!$H5,Ticket_Table[Name], 0) + 1, MATCH(Strategy_Scratch!J$2,Ticket_Table[#Headers],0))</f>
        <v>22</v>
      </c>
      <c r="K5" s="46" t="s">
        <v>110</v>
      </c>
      <c r="L5" s="5">
        <f>INDEX(Ticket_Table[#All], MATCH(Strategy_Scratch!$K5,Ticket_Table[Name], 0) + 1, MATCH(Strategy_Scratch!L$2,Ticket_Table[#Headers],0))</f>
        <v>7</v>
      </c>
      <c r="M5" s="31">
        <f>INDEX(Ticket_Table[#All], MATCH(Strategy_Scratch!$K5,Ticket_Table[Name], 0) + 1, MATCH(Strategy_Scratch!M$2,Ticket_Table[#Headers],0))</f>
        <v>17</v>
      </c>
      <c r="N5" s="48" t="s">
        <v>127</v>
      </c>
      <c r="O5" s="5">
        <f>INDEX(Ticket_Table[#All], MATCH(Strategy_Scratch!$N5,Ticket_Table[Name], 0) + 1, MATCH(Strategy_Scratch!O$2,Ticket_Table[#Headers],0))</f>
        <v>7</v>
      </c>
      <c r="P5" s="31">
        <f>INDEX(Ticket_Table[#All], MATCH(Strategy_Scratch!$N5,Ticket_Table[Name], 0) + 1, MATCH(Strategy_Scratch!P$2,Ticket_Table[#Headers],0))</f>
        <v>17</v>
      </c>
    </row>
    <row r="6" spans="1:16" x14ac:dyDescent="0.2">
      <c r="A6" s="28"/>
      <c r="B6" s="46" t="s">
        <v>116</v>
      </c>
      <c r="C6" s="5">
        <f>INDEX(Ticket_Table[#All], MATCH(Strategy_Scratch!$B6,Ticket_Table[Name], 0) + 1, MATCH(Strategy_Scratch!C$2,Ticket_Table[#Headers],0))</f>
        <v>8</v>
      </c>
      <c r="D6" s="5">
        <f>INDEX(Ticket_Table[#All], MATCH(Strategy_Scratch!$B6,Ticket_Table[Name], 0) + 1, MATCH(Strategy_Scratch!D$2,Ticket_Table[#Headers],0))</f>
        <v>19</v>
      </c>
      <c r="E6" s="46" t="s">
        <v>145</v>
      </c>
      <c r="F6" s="5">
        <f>INDEX(Ticket_Table[#All], MATCH(Strategy_Scratch!$E6,Ticket_Table[Name], 0) + 1, MATCH(Strategy_Scratch!F$2,Ticket_Table[#Headers],0))</f>
        <v>8</v>
      </c>
      <c r="G6" s="31">
        <f>INDEX(Ticket_Table[#All], MATCH(Strategy_Scratch!$E6,Ticket_Table[Name], 0) + 1, MATCH(Strategy_Scratch!G$2,Ticket_Table[#Headers],0))</f>
        <v>19</v>
      </c>
      <c r="H6" s="48" t="s">
        <v>152</v>
      </c>
      <c r="I6" s="5">
        <f>INDEX(Ticket_Table[#All], MATCH(Strategy_Scratch!$H6,Ticket_Table[Name], 0) + 1, MATCH(Strategy_Scratch!I$2,Ticket_Table[#Headers],0))</f>
        <v>6</v>
      </c>
      <c r="J6" s="5">
        <f>INDEX(Ticket_Table[#All], MATCH(Strategy_Scratch!$H6,Ticket_Table[Name], 0) + 1, MATCH(Strategy_Scratch!J$2,Ticket_Table[#Headers],0))</f>
        <v>14</v>
      </c>
      <c r="K6" s="46" t="s">
        <v>125</v>
      </c>
      <c r="L6" s="5">
        <f>INDEX(Ticket_Table[#All], MATCH(Strategy_Scratch!$K6,Ticket_Table[Name], 0) + 1, MATCH(Strategy_Scratch!L$2,Ticket_Table[#Headers],0))</f>
        <v>21</v>
      </c>
      <c r="M6" s="31">
        <f>INDEX(Ticket_Table[#All], MATCH(Strategy_Scratch!$K6,Ticket_Table[Name], 0) + 1, MATCH(Strategy_Scratch!M$2,Ticket_Table[#Headers],0))</f>
        <v>50</v>
      </c>
      <c r="N6" s="48" t="s">
        <v>116</v>
      </c>
      <c r="O6" s="5">
        <f>INDEX(Ticket_Table[#All], MATCH(Strategy_Scratch!$N6,Ticket_Table[Name], 0) + 1, MATCH(Strategy_Scratch!O$2,Ticket_Table[#Headers],0))</f>
        <v>8</v>
      </c>
      <c r="P6" s="31">
        <f>INDEX(Ticket_Table[#All], MATCH(Strategy_Scratch!$N6,Ticket_Table[Name], 0) + 1, MATCH(Strategy_Scratch!P$2,Ticket_Table[#Headers],0))</f>
        <v>19</v>
      </c>
    </row>
    <row r="7" spans="1:16" x14ac:dyDescent="0.2">
      <c r="A7" s="28"/>
      <c r="B7" s="46"/>
      <c r="C7" s="5">
        <v>2</v>
      </c>
      <c r="D7" s="5">
        <v>2</v>
      </c>
      <c r="E7" s="46"/>
      <c r="F7" s="5">
        <v>1</v>
      </c>
      <c r="G7" s="31">
        <v>1</v>
      </c>
      <c r="H7" s="48"/>
      <c r="I7" s="5"/>
      <c r="J7" s="5"/>
      <c r="K7" s="46"/>
      <c r="L7" s="5"/>
      <c r="M7" s="31"/>
      <c r="N7" s="48"/>
      <c r="O7" s="5">
        <v>3</v>
      </c>
      <c r="P7" s="31">
        <v>4</v>
      </c>
    </row>
    <row r="8" spans="1:16" ht="17" thickBot="1" x14ac:dyDescent="0.25">
      <c r="A8" s="28"/>
      <c r="B8" s="47"/>
      <c r="C8" s="30"/>
      <c r="D8" s="30"/>
      <c r="E8" s="47"/>
      <c r="F8" s="30"/>
      <c r="G8" s="32"/>
      <c r="H8" s="49"/>
      <c r="I8" s="30"/>
      <c r="J8" s="30"/>
      <c r="K8" s="47"/>
      <c r="L8" s="30"/>
      <c r="M8" s="32"/>
      <c r="N8" s="49"/>
      <c r="O8" s="30"/>
      <c r="P8" s="32"/>
    </row>
    <row r="9" spans="1:16" x14ac:dyDescent="0.2">
      <c r="A9" s="54" t="s">
        <v>172</v>
      </c>
      <c r="B9" s="52">
        <f>AVERAGE(D9,G9,J9,M9,P9)</f>
        <v>111</v>
      </c>
      <c r="C9" s="53">
        <f>SUM(C3:C8)</f>
        <v>45</v>
      </c>
      <c r="D9" s="53">
        <f>SUM(D3:D8)</f>
        <v>114</v>
      </c>
      <c r="E9" s="5"/>
      <c r="F9" s="53">
        <f>SUM(F3:F8)</f>
        <v>45</v>
      </c>
      <c r="G9" s="53">
        <f>SUM(G3:G8)</f>
        <v>113</v>
      </c>
      <c r="H9" s="5"/>
      <c r="I9" s="53">
        <f>SUM(I3:I8)</f>
        <v>45</v>
      </c>
      <c r="J9" s="53">
        <f>SUM(J3:J8)</f>
        <v>112</v>
      </c>
      <c r="K9" s="5"/>
      <c r="L9" s="53">
        <f>SUM(L3:L8)</f>
        <v>45</v>
      </c>
      <c r="M9" s="53">
        <f>SUM(M3:M8)</f>
        <v>108</v>
      </c>
      <c r="N9" s="5"/>
      <c r="O9" s="53">
        <f>SUM(O3:O8)</f>
        <v>45</v>
      </c>
      <c r="P9" s="55">
        <f>SUM(P3:P8)</f>
        <v>108</v>
      </c>
    </row>
    <row r="10" spans="1:16" ht="17" thickBot="1" x14ac:dyDescent="0.25">
      <c r="A10" s="28"/>
      <c r="B10" s="5"/>
      <c r="C10" s="5"/>
      <c r="D10" s="5"/>
      <c r="E10" s="5"/>
      <c r="F10" s="5"/>
      <c r="G10" s="5"/>
      <c r="H10" s="5"/>
      <c r="I10" s="5"/>
      <c r="J10" s="5"/>
      <c r="K10" s="5"/>
      <c r="L10" s="5"/>
      <c r="M10" s="5"/>
      <c r="N10" s="5"/>
      <c r="O10" s="5"/>
      <c r="P10" s="31"/>
    </row>
    <row r="11" spans="1:16" x14ac:dyDescent="0.2">
      <c r="A11" s="28"/>
      <c r="B11" s="44" t="s">
        <v>163</v>
      </c>
      <c r="C11" s="42" t="s">
        <v>68</v>
      </c>
      <c r="D11" s="42" t="s">
        <v>170</v>
      </c>
      <c r="E11" s="44" t="s">
        <v>164</v>
      </c>
      <c r="F11" s="42" t="s">
        <v>68</v>
      </c>
      <c r="G11" s="43" t="s">
        <v>170</v>
      </c>
      <c r="H11" s="45" t="s">
        <v>165</v>
      </c>
      <c r="I11" s="42" t="s">
        <v>68</v>
      </c>
      <c r="J11" s="42" t="s">
        <v>170</v>
      </c>
      <c r="K11" s="44" t="s">
        <v>166</v>
      </c>
      <c r="L11" s="42" t="s">
        <v>68</v>
      </c>
      <c r="M11" s="43" t="s">
        <v>170</v>
      </c>
      <c r="N11" s="5"/>
      <c r="O11" s="5"/>
      <c r="P11" s="31"/>
    </row>
    <row r="12" spans="1:16" x14ac:dyDescent="0.2">
      <c r="A12" s="28"/>
      <c r="B12" s="46" t="s">
        <v>140</v>
      </c>
      <c r="C12" s="5">
        <f>INDEX(Ticket_Table[#All], MATCH(Strategy_Scratch!$B12,Ticket_Table[Name], 0) + 1, MATCH(Strategy_Scratch!C$2,Ticket_Table[#Headers],0))</f>
        <v>8</v>
      </c>
      <c r="D12" s="5">
        <f>INDEX(Ticket_Table[#All], MATCH(Strategy_Scratch!$B12,Ticket_Table[Name], 0) + 1, MATCH(Strategy_Scratch!D$2,Ticket_Table[#Headers],0))</f>
        <v>25</v>
      </c>
      <c r="E12" s="46" t="s">
        <v>141</v>
      </c>
      <c r="F12" s="5">
        <f>INDEX(Ticket_Table[#All], MATCH(Strategy_Scratch!$E12,Ticket_Table[Name], 0) + 1, MATCH(Strategy_Scratch!F$2,Ticket_Table[#Headers],0))</f>
        <v>20</v>
      </c>
      <c r="G12" s="31">
        <f>INDEX(Ticket_Table[#All], MATCH(Strategy_Scratch!$E12,Ticket_Table[Name], 0) + 1, MATCH(Strategy_Scratch!G$2,Ticket_Table[#Headers],0))</f>
        <v>54</v>
      </c>
      <c r="H12" s="48" t="s">
        <v>144</v>
      </c>
      <c r="I12" s="5">
        <f>INDEX(Ticket_Table[#All], MATCH(Strategy_Scratch!$H12,Ticket_Table[Name], 0) + 1, MATCH(Strategy_Scratch!I$2,Ticket_Table[#Headers],0))</f>
        <v>10</v>
      </c>
      <c r="J12" s="5">
        <f>INDEX(Ticket_Table[#All], MATCH(Strategy_Scratch!$H12,Ticket_Table[Name], 0) + 1, MATCH(Strategy_Scratch!J$2,Ticket_Table[#Headers],0))</f>
        <v>26</v>
      </c>
      <c r="K12" s="46" t="s">
        <v>128</v>
      </c>
      <c r="L12" s="5">
        <f>INDEX(Ticket_Table[#All], MATCH(Strategy_Scratch!$K12,Ticket_Table[Name], 0) + 1, MATCH(Strategy_Scratch!L$2,Ticket_Table[#Headers],0))</f>
        <v>10</v>
      </c>
      <c r="M12" s="31">
        <f>INDEX(Ticket_Table[#All], MATCH(Strategy_Scratch!$K12,Ticket_Table[Name], 0) + 1, MATCH(Strategy_Scratch!M$2,Ticket_Table[#Headers],0))</f>
        <v>26</v>
      </c>
      <c r="N12" s="5"/>
      <c r="O12" s="5"/>
      <c r="P12" s="31"/>
    </row>
    <row r="13" spans="1:16" x14ac:dyDescent="0.2">
      <c r="A13" s="28"/>
      <c r="B13" s="46" t="s">
        <v>120</v>
      </c>
      <c r="C13" s="5">
        <f>INDEX(Ticket_Table[#All], MATCH(Strategy_Scratch!$B13,Ticket_Table[Name], 0) + 1, MATCH(Strategy_Scratch!C$2,Ticket_Table[#Headers],0))</f>
        <v>7</v>
      </c>
      <c r="D13" s="5">
        <f>INDEX(Ticket_Table[#All], MATCH(Strategy_Scratch!$B13,Ticket_Table[Name], 0) + 1, MATCH(Strategy_Scratch!D$2,Ticket_Table[#Headers],0))</f>
        <v>18</v>
      </c>
      <c r="E13" s="46" t="s">
        <v>131</v>
      </c>
      <c r="F13" s="5">
        <f>INDEX(Ticket_Table[#All], MATCH(Strategy_Scratch!$E13,Ticket_Table[Name], 0) + 1, MATCH(Strategy_Scratch!F$2,Ticket_Table[#Headers],0))</f>
        <v>21</v>
      </c>
      <c r="G13" s="31">
        <f>INDEX(Ticket_Table[#All], MATCH(Strategy_Scratch!$E13,Ticket_Table[Name], 0) + 1, MATCH(Strategy_Scratch!G$2,Ticket_Table[#Headers],0))</f>
        <v>53</v>
      </c>
      <c r="H13" s="48" t="s">
        <v>137</v>
      </c>
      <c r="I13" s="5">
        <f>INDEX(Ticket_Table[#All], MATCH(Strategy_Scratch!$H13,Ticket_Table[Name], 0) + 1, MATCH(Strategy_Scratch!I$2,Ticket_Table[#Headers],0))</f>
        <v>8</v>
      </c>
      <c r="J13" s="5">
        <f>INDEX(Ticket_Table[#All], MATCH(Strategy_Scratch!$H13,Ticket_Table[Name], 0) + 1, MATCH(Strategy_Scratch!J$2,Ticket_Table[#Headers],0))</f>
        <v>20</v>
      </c>
      <c r="K13" s="50" t="s">
        <v>121</v>
      </c>
      <c r="L13" s="5">
        <f>INDEX(Ticket_Table[#All], MATCH(Strategy_Scratch!$K13,Ticket_Table[Name], 0) + 1, MATCH(Strategy_Scratch!L$2,Ticket_Table[#Headers],0))</f>
        <v>20</v>
      </c>
      <c r="M13" s="31">
        <f>INDEX(Ticket_Table[#All], MATCH(Strategy_Scratch!$K13,Ticket_Table[Name], 0) + 1, MATCH(Strategy_Scratch!M$2,Ticket_Table[#Headers],0))</f>
        <v>50</v>
      </c>
      <c r="N13" s="5"/>
      <c r="O13" s="5"/>
      <c r="P13" s="31"/>
    </row>
    <row r="14" spans="1:16" x14ac:dyDescent="0.2">
      <c r="A14" s="28"/>
      <c r="B14" s="46" t="s">
        <v>117</v>
      </c>
      <c r="C14" s="5">
        <f>INDEX(Ticket_Table[#All], MATCH(Strategy_Scratch!$B14,Ticket_Table[Name], 0) + 1, MATCH(Strategy_Scratch!C$2,Ticket_Table[#Headers],0))</f>
        <v>8</v>
      </c>
      <c r="D14" s="5">
        <f>INDEX(Ticket_Table[#All], MATCH(Strategy_Scratch!$B14,Ticket_Table[Name], 0) + 1, MATCH(Strategy_Scratch!D$2,Ticket_Table[#Headers],0))</f>
        <v>20</v>
      </c>
      <c r="E14" s="46"/>
      <c r="F14" s="5">
        <v>4</v>
      </c>
      <c r="G14" s="31">
        <v>7</v>
      </c>
      <c r="H14" s="48" t="s">
        <v>134</v>
      </c>
      <c r="I14" s="5">
        <f>INDEX(Ticket_Table[#All], MATCH(Strategy_Scratch!$H14,Ticket_Table[Name], 0) + 1, MATCH(Strategy_Scratch!I$2,Ticket_Table[#Headers],0))</f>
        <v>20</v>
      </c>
      <c r="J14" s="5">
        <f>INDEX(Ticket_Table[#All], MATCH(Strategy_Scratch!$H14,Ticket_Table[Name], 0) + 1, MATCH(Strategy_Scratch!J$2,Ticket_Table[#Headers],0))</f>
        <v>50</v>
      </c>
      <c r="K14" s="46" t="s">
        <v>132</v>
      </c>
      <c r="L14" s="5">
        <f>INDEX(Ticket_Table[#All], MATCH(Strategy_Scratch!$K14,Ticket_Table[Name], 0) + 1, MATCH(Strategy_Scratch!L$2,Ticket_Table[#Headers],0))</f>
        <v>6</v>
      </c>
      <c r="M14" s="31">
        <f>INDEX(Ticket_Table[#All], MATCH(Strategy_Scratch!$K14,Ticket_Table[Name], 0) + 1, MATCH(Strategy_Scratch!M$2,Ticket_Table[#Headers],0))</f>
        <v>15</v>
      </c>
      <c r="N14" s="5"/>
      <c r="O14" s="5"/>
      <c r="P14" s="31"/>
    </row>
    <row r="15" spans="1:16" x14ac:dyDescent="0.2">
      <c r="A15" s="28"/>
      <c r="B15" s="46" t="s">
        <v>130</v>
      </c>
      <c r="C15" s="5">
        <f>INDEX(Ticket_Table[#All], MATCH(Strategy_Scratch!$B15,Ticket_Table[Name], 0) + 1, MATCH(Strategy_Scratch!C$2,Ticket_Table[#Headers],0))</f>
        <v>13</v>
      </c>
      <c r="D15" s="5">
        <f>INDEX(Ticket_Table[#All], MATCH(Strategy_Scratch!$B15,Ticket_Table[Name], 0) + 1, MATCH(Strategy_Scratch!D$2,Ticket_Table[#Headers],0))</f>
        <v>32</v>
      </c>
      <c r="E15" s="46"/>
      <c r="F15" s="5"/>
      <c r="G15" s="31"/>
      <c r="H15" s="48" t="s">
        <v>110</v>
      </c>
      <c r="I15" s="5">
        <f>INDEX(Ticket_Table[#All], MATCH(Strategy_Scratch!$H15,Ticket_Table[Name], 0) + 1, MATCH(Strategy_Scratch!I$2,Ticket_Table[#Headers],0))</f>
        <v>7</v>
      </c>
      <c r="J15" s="5">
        <f>INDEX(Ticket_Table[#All], MATCH(Strategy_Scratch!$H15,Ticket_Table[Name], 0) + 1, MATCH(Strategy_Scratch!J$2,Ticket_Table[#Headers],0))</f>
        <v>17</v>
      </c>
      <c r="K15" s="46" t="s">
        <v>123</v>
      </c>
      <c r="L15" s="5">
        <f>INDEX(Ticket_Table[#All], MATCH(Strategy_Scratch!$K15,Ticket_Table[Name], 0) + 1, MATCH(Strategy_Scratch!L$2,Ticket_Table[#Headers],0))</f>
        <v>9</v>
      </c>
      <c r="M15" s="31">
        <f>INDEX(Ticket_Table[#All], MATCH(Strategy_Scratch!$K15,Ticket_Table[Name], 0) + 1, MATCH(Strategy_Scratch!M$2,Ticket_Table[#Headers],0))</f>
        <v>22</v>
      </c>
      <c r="N15" s="5"/>
      <c r="O15" s="5"/>
      <c r="P15" s="31"/>
    </row>
    <row r="16" spans="1:16" x14ac:dyDescent="0.2">
      <c r="A16" s="28"/>
      <c r="B16" s="46" t="s">
        <v>127</v>
      </c>
      <c r="C16" s="5">
        <f>INDEX(Ticket_Table[#All], MATCH(Strategy_Scratch!$B16,Ticket_Table[Name], 0) + 1, MATCH(Strategy_Scratch!C$2,Ticket_Table[#Headers],0))</f>
        <v>7</v>
      </c>
      <c r="D16" s="5">
        <f>INDEX(Ticket_Table[#All], MATCH(Strategy_Scratch!$B16,Ticket_Table[Name], 0) + 1, MATCH(Strategy_Scratch!D$2,Ticket_Table[#Headers],0))</f>
        <v>17</v>
      </c>
      <c r="E16" s="46"/>
      <c r="F16" s="5"/>
      <c r="G16" s="31"/>
      <c r="H16" s="48"/>
      <c r="I16" s="5"/>
      <c r="J16" s="5"/>
      <c r="K16" s="46"/>
      <c r="L16" s="5"/>
      <c r="M16" s="31"/>
      <c r="N16" s="5"/>
      <c r="O16" s="5"/>
      <c r="P16" s="31"/>
    </row>
    <row r="17" spans="1:16" ht="17" thickBot="1" x14ac:dyDescent="0.25">
      <c r="A17" s="28"/>
      <c r="B17" s="47"/>
      <c r="C17" s="30">
        <v>2</v>
      </c>
      <c r="D17" s="30">
        <v>2</v>
      </c>
      <c r="E17" s="47"/>
      <c r="F17" s="30"/>
      <c r="G17" s="32"/>
      <c r="H17" s="49"/>
      <c r="I17" s="30"/>
      <c r="J17" s="30"/>
      <c r="K17" s="47"/>
      <c r="L17" s="30"/>
      <c r="M17" s="32"/>
      <c r="N17" s="5"/>
      <c r="O17" s="5"/>
      <c r="P17" s="31"/>
    </row>
    <row r="18" spans="1:16" x14ac:dyDescent="0.2">
      <c r="A18" s="54" t="s">
        <v>172</v>
      </c>
      <c r="B18" s="52">
        <f>AVERAGE(D18,G18,J18,M18)</f>
        <v>113.5</v>
      </c>
      <c r="C18" s="53">
        <f>SUM(C12:C17)</f>
        <v>45</v>
      </c>
      <c r="D18" s="53">
        <f>SUM(D12:D17)</f>
        <v>114</v>
      </c>
      <c r="E18" s="5"/>
      <c r="F18" s="53">
        <f>SUM(F12:F17)</f>
        <v>45</v>
      </c>
      <c r="G18" s="53">
        <f>SUM(G12:G17)</f>
        <v>114</v>
      </c>
      <c r="H18" s="5"/>
      <c r="I18" s="53">
        <f>SUM(I12:I17)</f>
        <v>45</v>
      </c>
      <c r="J18" s="53">
        <f>SUM(J12:J17)</f>
        <v>113</v>
      </c>
      <c r="K18" s="5"/>
      <c r="L18" s="53">
        <f>SUM(L12:L17)</f>
        <v>45</v>
      </c>
      <c r="M18" s="53">
        <f>SUM(M12:M17)</f>
        <v>113</v>
      </c>
      <c r="N18" s="5"/>
      <c r="O18" s="5"/>
      <c r="P18" s="31"/>
    </row>
    <row r="19" spans="1:16" ht="17" thickBot="1" x14ac:dyDescent="0.25">
      <c r="A19" s="28"/>
      <c r="B19" s="5"/>
      <c r="C19" s="5"/>
      <c r="D19" s="5"/>
      <c r="E19" s="5"/>
      <c r="F19" s="5"/>
      <c r="G19" s="5"/>
      <c r="H19" s="5"/>
      <c r="I19" s="5"/>
      <c r="J19" s="5"/>
      <c r="K19" s="5"/>
      <c r="L19" s="5"/>
      <c r="M19" s="5"/>
      <c r="N19" s="5"/>
      <c r="O19" s="5"/>
      <c r="P19" s="31"/>
    </row>
    <row r="20" spans="1:16" x14ac:dyDescent="0.2">
      <c r="A20" s="28"/>
      <c r="B20" s="44" t="s">
        <v>163</v>
      </c>
      <c r="C20" s="42" t="s">
        <v>68</v>
      </c>
      <c r="D20" s="42" t="s">
        <v>170</v>
      </c>
      <c r="E20" s="44" t="s">
        <v>164</v>
      </c>
      <c r="F20" s="42" t="s">
        <v>68</v>
      </c>
      <c r="G20" s="43" t="s">
        <v>170</v>
      </c>
      <c r="H20" s="45" t="s">
        <v>165</v>
      </c>
      <c r="I20" s="42" t="s">
        <v>68</v>
      </c>
      <c r="J20" s="43" t="s">
        <v>170</v>
      </c>
      <c r="K20" s="5"/>
      <c r="L20" s="5"/>
      <c r="M20" s="5"/>
      <c r="N20" s="5"/>
      <c r="O20" s="5"/>
      <c r="P20" s="31"/>
    </row>
    <row r="21" spans="1:16" x14ac:dyDescent="0.2">
      <c r="A21" s="28"/>
      <c r="B21" s="46" t="s">
        <v>140</v>
      </c>
      <c r="C21" s="5">
        <f>INDEX(Ticket_Table[#All], MATCH(Strategy_Scratch!$B21,Ticket_Table[Name], 0) + 1, MATCH(Strategy_Scratch!C$2,Ticket_Table[#Headers],0))</f>
        <v>8</v>
      </c>
      <c r="D21" s="5">
        <f>INDEX(Ticket_Table[#All], MATCH(Strategy_Scratch!$B21,Ticket_Table[Name], 0) + 1, MATCH(Strategy_Scratch!D$2,Ticket_Table[#Headers],0))</f>
        <v>25</v>
      </c>
      <c r="E21" s="46" t="s">
        <v>141</v>
      </c>
      <c r="F21" s="5">
        <f>INDEX(Ticket_Table[#All], MATCH(Strategy_Scratch!$E21,Ticket_Table[Name], 0) + 1, MATCH(Strategy_Scratch!F$2,Ticket_Table[#Headers],0))</f>
        <v>20</v>
      </c>
      <c r="G21" s="31">
        <f>INDEX(Ticket_Table[#All], MATCH(Strategy_Scratch!$E21,Ticket_Table[Name], 0) + 1, MATCH(Strategy_Scratch!G$2,Ticket_Table[#Headers],0))</f>
        <v>54</v>
      </c>
      <c r="H21" s="48" t="s">
        <v>144</v>
      </c>
      <c r="I21" s="5">
        <f>INDEX(Ticket_Table[#All], MATCH(Strategy_Scratch!$H21,Ticket_Table[Name], 0) + 1, MATCH(Strategy_Scratch!I$2,Ticket_Table[#Headers],0))</f>
        <v>10</v>
      </c>
      <c r="J21" s="31">
        <f>INDEX(Ticket_Table[#All], MATCH(Strategy_Scratch!$H21,Ticket_Table[Name], 0) + 1, MATCH(Strategy_Scratch!J$2,Ticket_Table[#Headers],0))</f>
        <v>26</v>
      </c>
      <c r="K21" s="5"/>
      <c r="L21" s="5"/>
      <c r="M21" s="5"/>
      <c r="N21" s="5"/>
      <c r="O21" s="5"/>
      <c r="P21" s="31"/>
    </row>
    <row r="22" spans="1:16" x14ac:dyDescent="0.2">
      <c r="A22" s="28"/>
      <c r="B22" s="46" t="s">
        <v>128</v>
      </c>
      <c r="C22" s="5">
        <f>INDEX(Ticket_Table[#All], MATCH(Strategy_Scratch!$B22,Ticket_Table[Name], 0) + 1, MATCH(Strategy_Scratch!C$2,Ticket_Table[#Headers],0))</f>
        <v>10</v>
      </c>
      <c r="D22" s="5">
        <f>INDEX(Ticket_Table[#All], MATCH(Strategy_Scratch!$B22,Ticket_Table[Name], 0) + 1, MATCH(Strategy_Scratch!D$2,Ticket_Table[#Headers],0))</f>
        <v>26</v>
      </c>
      <c r="E22" s="46" t="s">
        <v>120</v>
      </c>
      <c r="F22" s="5">
        <f>INDEX(Ticket_Table[#All], MATCH(Strategy_Scratch!$E22,Ticket_Table[Name], 0) + 1, MATCH(Strategy_Scratch!F$2,Ticket_Table[#Headers],0))</f>
        <v>7</v>
      </c>
      <c r="G22" s="31">
        <f>INDEX(Ticket_Table[#All], MATCH(Strategy_Scratch!$E22,Ticket_Table[Name], 0) + 1, MATCH(Strategy_Scratch!G$2,Ticket_Table[#Headers],0))</f>
        <v>18</v>
      </c>
      <c r="H22" s="48" t="s">
        <v>131</v>
      </c>
      <c r="I22" s="5">
        <f>INDEX(Ticket_Table[#All], MATCH(Strategy_Scratch!$H22,Ticket_Table[Name], 0) + 1, MATCH(Strategy_Scratch!I$2,Ticket_Table[#Headers],0))</f>
        <v>21</v>
      </c>
      <c r="J22" s="31">
        <f>INDEX(Ticket_Table[#All], MATCH(Strategy_Scratch!$H22,Ticket_Table[Name], 0) + 1, MATCH(Strategy_Scratch!J$2,Ticket_Table[#Headers],0))</f>
        <v>53</v>
      </c>
      <c r="K22" s="5"/>
      <c r="L22" s="5"/>
      <c r="M22" s="5"/>
      <c r="N22" s="5"/>
      <c r="O22" s="5"/>
      <c r="P22" s="31"/>
    </row>
    <row r="23" spans="1:16" x14ac:dyDescent="0.2">
      <c r="A23" s="28"/>
      <c r="B23" s="46" t="s">
        <v>137</v>
      </c>
      <c r="C23" s="5">
        <f>INDEX(Ticket_Table[#All], MATCH(Strategy_Scratch!$B23,Ticket_Table[Name], 0) + 1, MATCH(Strategy_Scratch!C$2,Ticket_Table[#Headers],0))</f>
        <v>8</v>
      </c>
      <c r="D23" s="5">
        <f>INDEX(Ticket_Table[#All], MATCH(Strategy_Scratch!$B23,Ticket_Table[Name], 0) + 1, MATCH(Strategy_Scratch!D$2,Ticket_Table[#Headers],0))</f>
        <v>20</v>
      </c>
      <c r="E23" s="46" t="s">
        <v>117</v>
      </c>
      <c r="F23" s="5">
        <f>INDEX(Ticket_Table[#All], MATCH(Strategy_Scratch!$E23,Ticket_Table[Name], 0) + 1, MATCH(Strategy_Scratch!F$2,Ticket_Table[#Headers],0))</f>
        <v>8</v>
      </c>
      <c r="G23" s="31">
        <f>INDEX(Ticket_Table[#All], MATCH(Strategy_Scratch!$E23,Ticket_Table[Name], 0) + 1, MATCH(Strategy_Scratch!G$2,Ticket_Table[#Headers],0))</f>
        <v>20</v>
      </c>
      <c r="H23" s="48" t="s">
        <v>132</v>
      </c>
      <c r="I23" s="5">
        <f>INDEX(Ticket_Table[#All], MATCH(Strategy_Scratch!$H23,Ticket_Table[Name], 0) + 1, MATCH(Strategy_Scratch!I$2,Ticket_Table[#Headers],0))</f>
        <v>6</v>
      </c>
      <c r="J23" s="31">
        <f>INDEX(Ticket_Table[#All], MATCH(Strategy_Scratch!$H23,Ticket_Table[Name], 0) + 1, MATCH(Strategy_Scratch!J$2,Ticket_Table[#Headers],0))</f>
        <v>15</v>
      </c>
      <c r="K23" s="5"/>
      <c r="L23" s="5"/>
      <c r="M23" s="5"/>
      <c r="N23" s="5"/>
      <c r="O23" s="5"/>
      <c r="P23" s="31"/>
    </row>
    <row r="24" spans="1:16" x14ac:dyDescent="0.2">
      <c r="A24" s="28"/>
      <c r="B24" s="46" t="s">
        <v>130</v>
      </c>
      <c r="C24" s="5">
        <f>INDEX(Ticket_Table[#All], MATCH(Strategy_Scratch!$B24,Ticket_Table[Name], 0) + 1, MATCH(Strategy_Scratch!C$2,Ticket_Table[#Headers],0))</f>
        <v>13</v>
      </c>
      <c r="D24" s="5">
        <f>INDEX(Ticket_Table[#All], MATCH(Strategy_Scratch!$B24,Ticket_Table[Name], 0) + 1, MATCH(Strategy_Scratch!D$2,Ticket_Table[#Headers],0))</f>
        <v>32</v>
      </c>
      <c r="E24" s="46" t="s">
        <v>123</v>
      </c>
      <c r="F24" s="5">
        <f>INDEX(Ticket_Table[#All], MATCH(Strategy_Scratch!$E24,Ticket_Table[Name], 0) + 1, MATCH(Strategy_Scratch!F$2,Ticket_Table[#Headers],0))</f>
        <v>9</v>
      </c>
      <c r="G24" s="31">
        <f>INDEX(Ticket_Table[#All], MATCH(Strategy_Scratch!$E24,Ticket_Table[Name], 0) + 1, MATCH(Strategy_Scratch!G$2,Ticket_Table[#Headers],0))</f>
        <v>22</v>
      </c>
      <c r="H24" s="48" t="s">
        <v>110</v>
      </c>
      <c r="I24" s="5">
        <f>INDEX(Ticket_Table[#All], MATCH(Strategy_Scratch!$H24,Ticket_Table[Name], 0) + 1, MATCH(Strategy_Scratch!I$2,Ticket_Table[#Headers],0))</f>
        <v>7</v>
      </c>
      <c r="J24" s="31">
        <f>INDEX(Ticket_Table[#All], MATCH(Strategy_Scratch!$H24,Ticket_Table[Name], 0) + 1, MATCH(Strategy_Scratch!J$2,Ticket_Table[#Headers],0))</f>
        <v>17</v>
      </c>
      <c r="K24" s="5"/>
      <c r="L24" s="5"/>
      <c r="M24" s="5"/>
      <c r="N24" s="5"/>
      <c r="O24" s="5"/>
      <c r="P24" s="31"/>
    </row>
    <row r="25" spans="1:16" x14ac:dyDescent="0.2">
      <c r="A25" s="28"/>
      <c r="B25" s="46" t="s">
        <v>152</v>
      </c>
      <c r="C25" s="5">
        <f>INDEX(Ticket_Table[#All], MATCH(Strategy_Scratch!$B25,Ticket_Table[Name], 0) + 1, MATCH(Strategy_Scratch!C$2,Ticket_Table[#Headers],0))</f>
        <v>6</v>
      </c>
      <c r="D25" s="5">
        <f>INDEX(Ticket_Table[#All], MATCH(Strategy_Scratch!$B25,Ticket_Table[Name], 0) + 1, MATCH(Strategy_Scratch!D$2,Ticket_Table[#Headers],0))</f>
        <v>14</v>
      </c>
      <c r="E25" s="46"/>
      <c r="F25" s="5">
        <v>1</v>
      </c>
      <c r="G25" s="31">
        <v>1</v>
      </c>
      <c r="H25" s="48"/>
      <c r="I25" s="5">
        <v>1</v>
      </c>
      <c r="J25" s="31">
        <v>1</v>
      </c>
      <c r="K25" s="5"/>
      <c r="L25" s="5"/>
      <c r="M25" s="5"/>
      <c r="N25" s="5"/>
      <c r="O25" s="5"/>
      <c r="P25" s="31"/>
    </row>
    <row r="26" spans="1:16" ht="17" thickBot="1" x14ac:dyDescent="0.25">
      <c r="A26" s="28"/>
      <c r="B26" s="47"/>
      <c r="C26" s="30"/>
      <c r="D26" s="30"/>
      <c r="E26" s="47"/>
      <c r="F26" s="30"/>
      <c r="G26" s="32"/>
      <c r="H26" s="49"/>
      <c r="I26" s="30"/>
      <c r="J26" s="32"/>
      <c r="K26" s="5"/>
      <c r="L26" s="5"/>
      <c r="M26" s="5"/>
      <c r="N26" s="5"/>
      <c r="O26" s="5"/>
      <c r="P26" s="31"/>
    </row>
    <row r="27" spans="1:16" x14ac:dyDescent="0.2">
      <c r="A27" s="54" t="s">
        <v>172</v>
      </c>
      <c r="B27" s="52">
        <f>AVERAGE(D27,G27,J27)</f>
        <v>114.66666666666667</v>
      </c>
      <c r="C27" s="53">
        <f>SUM(C21:C26)</f>
        <v>45</v>
      </c>
      <c r="D27" s="53">
        <f>SUM(D21:D26)</f>
        <v>117</v>
      </c>
      <c r="E27" s="5"/>
      <c r="F27" s="53">
        <f>SUM(F21:F26)</f>
        <v>45</v>
      </c>
      <c r="G27" s="53">
        <f>SUM(G21:G26)</f>
        <v>115</v>
      </c>
      <c r="H27" s="5"/>
      <c r="I27" s="53">
        <f>SUM(I21:I26)</f>
        <v>45</v>
      </c>
      <c r="J27" s="53">
        <f>SUM(J21:J26)</f>
        <v>112</v>
      </c>
      <c r="K27" s="5"/>
      <c r="L27" s="5"/>
      <c r="M27" s="5"/>
      <c r="N27" s="5"/>
      <c r="O27" s="5"/>
      <c r="P27" s="31"/>
    </row>
    <row r="28" spans="1:16" ht="17" thickBot="1" x14ac:dyDescent="0.25">
      <c r="A28" s="28"/>
      <c r="B28" s="5"/>
      <c r="C28" s="5"/>
      <c r="D28" s="5"/>
      <c r="E28" s="5"/>
      <c r="F28" s="5"/>
      <c r="G28" s="5"/>
      <c r="H28" s="5"/>
      <c r="I28" s="5"/>
      <c r="J28" s="5"/>
      <c r="K28" s="5"/>
      <c r="L28" s="5"/>
      <c r="M28" s="5"/>
      <c r="N28" s="5"/>
      <c r="O28" s="5"/>
      <c r="P28" s="31"/>
    </row>
    <row r="29" spans="1:16" x14ac:dyDescent="0.2">
      <c r="A29" s="28"/>
      <c r="B29" s="44" t="s">
        <v>163</v>
      </c>
      <c r="C29" s="42" t="s">
        <v>68</v>
      </c>
      <c r="D29" s="42" t="s">
        <v>170</v>
      </c>
      <c r="E29" s="44" t="s">
        <v>164</v>
      </c>
      <c r="F29" s="42" t="s">
        <v>68</v>
      </c>
      <c r="G29" s="43" t="s">
        <v>170</v>
      </c>
      <c r="H29" s="5"/>
      <c r="I29" s="5"/>
      <c r="J29" s="5"/>
      <c r="K29" s="5"/>
      <c r="L29" s="5"/>
      <c r="M29" s="5"/>
      <c r="N29" s="5"/>
      <c r="O29" s="5"/>
      <c r="P29" s="31"/>
    </row>
    <row r="30" spans="1:16" x14ac:dyDescent="0.2">
      <c r="A30" s="28"/>
      <c r="B30" s="46" t="s">
        <v>140</v>
      </c>
      <c r="C30" s="5">
        <f>INDEX(Ticket_Table[#All], MATCH(Strategy_Scratch!$B30,Ticket_Table[Name], 0) + 1, MATCH(Strategy_Scratch!C$2,Ticket_Table[#Headers],0))</f>
        <v>8</v>
      </c>
      <c r="D30" s="5">
        <f>INDEX(Ticket_Table[#All], MATCH(Strategy_Scratch!$B30,Ticket_Table[Name], 0) + 1, MATCH(Strategy_Scratch!D$2,Ticket_Table[#Headers],0))</f>
        <v>25</v>
      </c>
      <c r="E30" s="46" t="s">
        <v>141</v>
      </c>
      <c r="F30" s="5">
        <f>INDEX(Ticket_Table[#All], MATCH(Strategy_Scratch!$E30,Ticket_Table[Name], 0) + 1, MATCH(Strategy_Scratch!F$2,Ticket_Table[#Headers],0))</f>
        <v>20</v>
      </c>
      <c r="G30" s="31">
        <f>INDEX(Ticket_Table[#All], MATCH(Strategy_Scratch!$E30,Ticket_Table[Name], 0) + 1, MATCH(Strategy_Scratch!G$2,Ticket_Table[#Headers],0))</f>
        <v>54</v>
      </c>
      <c r="H30" s="5"/>
      <c r="I30" s="5"/>
      <c r="J30" s="5"/>
      <c r="K30" s="5"/>
      <c r="L30" s="5"/>
      <c r="M30" s="5"/>
      <c r="N30" s="5"/>
      <c r="O30" s="5"/>
      <c r="P30" s="31"/>
    </row>
    <row r="31" spans="1:16" x14ac:dyDescent="0.2">
      <c r="A31" s="28"/>
      <c r="B31" s="46" t="s">
        <v>144</v>
      </c>
      <c r="C31" s="5">
        <f>INDEX(Ticket_Table[#All], MATCH(Strategy_Scratch!$B31,Ticket_Table[Name], 0) + 1, MATCH(Strategy_Scratch!C$2,Ticket_Table[#Headers],0))</f>
        <v>10</v>
      </c>
      <c r="D31" s="5">
        <f>INDEX(Ticket_Table[#All], MATCH(Strategy_Scratch!$B31,Ticket_Table[Name], 0) + 1, MATCH(Strategy_Scratch!D$2,Ticket_Table[#Headers],0))</f>
        <v>26</v>
      </c>
      <c r="E31" s="46" t="s">
        <v>128</v>
      </c>
      <c r="F31" s="5">
        <f>INDEX(Ticket_Table[#All], MATCH(Strategy_Scratch!$E31,Ticket_Table[Name], 0) + 1, MATCH(Strategy_Scratch!F$2,Ticket_Table[#Headers],0))</f>
        <v>10</v>
      </c>
      <c r="G31" s="31">
        <f>INDEX(Ticket_Table[#All], MATCH(Strategy_Scratch!$E31,Ticket_Table[Name], 0) + 1, MATCH(Strategy_Scratch!G$2,Ticket_Table[#Headers],0))</f>
        <v>26</v>
      </c>
      <c r="H31" s="5"/>
      <c r="I31" s="5"/>
      <c r="J31" s="5"/>
      <c r="K31" s="5"/>
      <c r="L31" s="5"/>
      <c r="M31" s="5"/>
      <c r="N31" s="5"/>
      <c r="O31" s="5"/>
      <c r="P31" s="31"/>
    </row>
    <row r="32" spans="1:16" x14ac:dyDescent="0.2">
      <c r="A32" s="28"/>
      <c r="B32" s="46" t="s">
        <v>120</v>
      </c>
      <c r="C32" s="5">
        <f>INDEX(Ticket_Table[#All], MATCH(Strategy_Scratch!$B32,Ticket_Table[Name], 0) + 1, MATCH(Strategy_Scratch!C$2,Ticket_Table[#Headers],0))</f>
        <v>7</v>
      </c>
      <c r="D32" s="5">
        <f>INDEX(Ticket_Table[#All], MATCH(Strategy_Scratch!$B32,Ticket_Table[Name], 0) + 1, MATCH(Strategy_Scratch!D$2,Ticket_Table[#Headers],0))</f>
        <v>18</v>
      </c>
      <c r="E32" s="46" t="s">
        <v>137</v>
      </c>
      <c r="F32" s="5">
        <f>INDEX(Ticket_Table[#All], MATCH(Strategy_Scratch!$E32,Ticket_Table[Name], 0) + 1, MATCH(Strategy_Scratch!F$2,Ticket_Table[#Headers],0))</f>
        <v>8</v>
      </c>
      <c r="G32" s="31">
        <f>INDEX(Ticket_Table[#All], MATCH(Strategy_Scratch!$E32,Ticket_Table[Name], 0) + 1, MATCH(Strategy_Scratch!G$2,Ticket_Table[#Headers],0))</f>
        <v>20</v>
      </c>
      <c r="H32" s="5"/>
      <c r="I32" s="5"/>
      <c r="J32" s="5"/>
      <c r="K32" s="5"/>
      <c r="L32" s="5"/>
      <c r="M32" s="5"/>
      <c r="N32" s="5"/>
      <c r="O32" s="5"/>
      <c r="P32" s="31"/>
    </row>
    <row r="33" spans="1:16" x14ac:dyDescent="0.2">
      <c r="A33" s="28"/>
      <c r="B33" s="46" t="s">
        <v>117</v>
      </c>
      <c r="C33" s="5">
        <f>INDEX(Ticket_Table[#All], MATCH(Strategy_Scratch!$B33,Ticket_Table[Name], 0) + 1, MATCH(Strategy_Scratch!C$2,Ticket_Table[#Headers],0))</f>
        <v>8</v>
      </c>
      <c r="D33" s="5">
        <f>INDEX(Ticket_Table[#All], MATCH(Strategy_Scratch!$B33,Ticket_Table[Name], 0) + 1, MATCH(Strategy_Scratch!D$2,Ticket_Table[#Headers],0))</f>
        <v>20</v>
      </c>
      <c r="E33" s="46" t="s">
        <v>132</v>
      </c>
      <c r="F33" s="5">
        <f>INDEX(Ticket_Table[#All], MATCH(Strategy_Scratch!$E33,Ticket_Table[Name], 0) + 1, MATCH(Strategy_Scratch!F$2,Ticket_Table[#Headers],0))</f>
        <v>6</v>
      </c>
      <c r="G33" s="31">
        <f>INDEX(Ticket_Table[#All], MATCH(Strategy_Scratch!$E33,Ticket_Table[Name], 0) + 1, MATCH(Strategy_Scratch!G$2,Ticket_Table[#Headers],0))</f>
        <v>15</v>
      </c>
      <c r="H33" s="5"/>
      <c r="I33" s="5"/>
      <c r="J33" s="5"/>
      <c r="K33" s="5"/>
      <c r="L33" s="5"/>
      <c r="M33" s="5"/>
      <c r="N33" s="5"/>
      <c r="O33" s="5"/>
      <c r="P33" s="31"/>
    </row>
    <row r="34" spans="1:16" x14ac:dyDescent="0.2">
      <c r="A34" s="28"/>
      <c r="B34" s="46" t="s">
        <v>110</v>
      </c>
      <c r="C34" s="5">
        <f>INDEX(Ticket_Table[#All], MATCH(Strategy_Scratch!$B34,Ticket_Table[Name], 0) + 1, MATCH(Strategy_Scratch!C$2,Ticket_Table[#Headers],0))</f>
        <v>7</v>
      </c>
      <c r="D34" s="5">
        <f>INDEX(Ticket_Table[#All], MATCH(Strategy_Scratch!$B34,Ticket_Table[Name], 0) + 1, MATCH(Strategy_Scratch!D$2,Ticket_Table[#Headers],0))</f>
        <v>17</v>
      </c>
      <c r="E34" s="46"/>
      <c r="F34" s="5">
        <v>1</v>
      </c>
      <c r="G34" s="31">
        <v>1</v>
      </c>
      <c r="H34" s="5"/>
      <c r="I34" s="5"/>
      <c r="J34" s="5"/>
      <c r="K34" s="5"/>
      <c r="L34" s="5"/>
      <c r="M34" s="5"/>
      <c r="N34" s="5"/>
      <c r="O34" s="5"/>
      <c r="P34" s="31"/>
    </row>
    <row r="35" spans="1:16" ht="17" thickBot="1" x14ac:dyDescent="0.25">
      <c r="A35" s="28"/>
      <c r="B35" s="47" t="s">
        <v>149</v>
      </c>
      <c r="C35" s="30">
        <f>INDEX(Ticket_Table[#All], MATCH(Strategy_Scratch!$B35,Ticket_Table[Name], 0) + 1, MATCH(Strategy_Scratch!C$2,Ticket_Table[#Headers],0))</f>
        <v>5</v>
      </c>
      <c r="D35" s="30">
        <f>INDEX(Ticket_Table[#All], MATCH(Strategy_Scratch!$B35,Ticket_Table[Name], 0) + 1, MATCH(Strategy_Scratch!D$2,Ticket_Table[#Headers],0))</f>
        <v>11</v>
      </c>
      <c r="E35" s="47"/>
      <c r="F35" s="30"/>
      <c r="G35" s="32"/>
      <c r="H35" s="5"/>
      <c r="I35" s="5"/>
      <c r="J35" s="5"/>
      <c r="K35" s="5"/>
      <c r="L35" s="5"/>
      <c r="M35" s="5"/>
      <c r="N35" s="5"/>
      <c r="O35" s="5"/>
      <c r="P35" s="31"/>
    </row>
    <row r="36" spans="1:16" ht="17" thickBot="1" x14ac:dyDescent="0.25">
      <c r="A36" s="56" t="s">
        <v>172</v>
      </c>
      <c r="B36" s="57">
        <f>AVERAGE(D36,G36)</f>
        <v>116.5</v>
      </c>
      <c r="C36" s="58">
        <f>SUM(C30:C35)</f>
        <v>45</v>
      </c>
      <c r="D36" s="58">
        <f>SUM(D30:D35)</f>
        <v>117</v>
      </c>
      <c r="E36" s="59"/>
      <c r="F36" s="58">
        <f>SUM(F30:F35)</f>
        <v>45</v>
      </c>
      <c r="G36" s="58">
        <f>SUM(G30:G35)</f>
        <v>116</v>
      </c>
      <c r="H36" s="30"/>
      <c r="I36" s="30"/>
      <c r="J36" s="30"/>
      <c r="K36" s="30"/>
      <c r="L36" s="30"/>
      <c r="M36" s="30"/>
      <c r="N36" s="30"/>
      <c r="O36" s="30"/>
      <c r="P36" s="32"/>
    </row>
    <row r="37" spans="1:16" ht="17" thickBot="1" x14ac:dyDescent="0.25"/>
    <row r="38" spans="1:16" x14ac:dyDescent="0.2">
      <c r="A38" s="2" t="s">
        <v>173</v>
      </c>
      <c r="B38" s="3" t="s">
        <v>171</v>
      </c>
      <c r="C38" s="4" t="s">
        <v>175</v>
      </c>
    </row>
    <row r="39" spans="1:16" x14ac:dyDescent="0.2">
      <c r="A39" s="28"/>
      <c r="B39" s="5">
        <v>2</v>
      </c>
      <c r="C39" s="31">
        <f>B36</f>
        <v>116.5</v>
      </c>
    </row>
    <row r="40" spans="1:16" x14ac:dyDescent="0.2">
      <c r="A40" s="28"/>
      <c r="B40" s="5">
        <v>3</v>
      </c>
      <c r="C40" s="31">
        <f>B27</f>
        <v>114.66666666666667</v>
      </c>
    </row>
    <row r="41" spans="1:16" x14ac:dyDescent="0.2">
      <c r="A41" s="28"/>
      <c r="B41" s="5">
        <v>4</v>
      </c>
      <c r="C41" s="31">
        <f>B18</f>
        <v>113.5</v>
      </c>
    </row>
    <row r="42" spans="1:16" ht="17" thickBot="1" x14ac:dyDescent="0.25">
      <c r="A42" s="29"/>
      <c r="B42" s="30">
        <v>5</v>
      </c>
      <c r="C42" s="32">
        <f>B9</f>
        <v>111</v>
      </c>
    </row>
    <row r="43" spans="1:16" x14ac:dyDescent="0.2">
      <c r="A43" s="5"/>
      <c r="B43" s="5"/>
      <c r="C43" s="5"/>
    </row>
    <row r="44" spans="1:16" x14ac:dyDescent="0.2">
      <c r="A44" s="5"/>
      <c r="B44" s="5"/>
      <c r="C44" s="5"/>
    </row>
    <row r="45" spans="1:16" x14ac:dyDescent="0.2">
      <c r="A45" s="5"/>
      <c r="B45" s="5"/>
      <c r="C45" s="5"/>
    </row>
    <row r="46" spans="1:16" x14ac:dyDescent="0.2">
      <c r="A46" s="5"/>
      <c r="B46" s="5"/>
      <c r="C46" s="5"/>
    </row>
    <row r="47" spans="1:16" x14ac:dyDescent="0.2">
      <c r="A47" s="5"/>
      <c r="B47" s="5"/>
      <c r="C47" s="5"/>
    </row>
    <row r="48" spans="1:16" x14ac:dyDescent="0.2">
      <c r="A48" s="5"/>
      <c r="B48" s="5"/>
      <c r="C48" s="5"/>
    </row>
    <row r="49" spans="1:16" x14ac:dyDescent="0.2">
      <c r="A49" s="5"/>
      <c r="B49" s="5"/>
      <c r="C49" s="5"/>
    </row>
    <row r="50" spans="1:16" x14ac:dyDescent="0.2">
      <c r="A50" s="5"/>
      <c r="B50" s="5"/>
      <c r="C50" s="5"/>
    </row>
    <row r="51" spans="1:16" x14ac:dyDescent="0.2">
      <c r="A51" s="5"/>
      <c r="B51" s="5"/>
      <c r="C51" s="5"/>
    </row>
    <row r="52" spans="1:16" x14ac:dyDescent="0.2">
      <c r="A52" s="5"/>
      <c r="B52" s="5"/>
      <c r="C52" s="5"/>
    </row>
    <row r="53" spans="1:16" x14ac:dyDescent="0.2">
      <c r="A53" s="5"/>
      <c r="B53" s="5"/>
      <c r="C53" s="5"/>
    </row>
    <row r="54" spans="1:16" ht="17" thickBot="1" x14ac:dyDescent="0.25"/>
    <row r="55" spans="1:16" ht="17" thickBot="1" x14ac:dyDescent="0.25">
      <c r="A55" s="2" t="s">
        <v>195</v>
      </c>
      <c r="B55" s="3"/>
      <c r="C55" s="51"/>
      <c r="D55" s="3"/>
      <c r="E55" s="3"/>
      <c r="F55" s="3"/>
      <c r="G55" s="3"/>
      <c r="H55" s="3"/>
      <c r="I55" s="3"/>
      <c r="J55" s="3"/>
      <c r="K55" s="3"/>
      <c r="L55" s="3"/>
      <c r="M55" s="3"/>
      <c r="N55" s="3"/>
      <c r="O55" s="3"/>
      <c r="P55" s="4"/>
    </row>
    <row r="56" spans="1:16" x14ac:dyDescent="0.2">
      <c r="A56" s="28"/>
      <c r="B56" s="44" t="s">
        <v>163</v>
      </c>
      <c r="C56" s="42" t="s">
        <v>168</v>
      </c>
      <c r="D56" s="42" t="s">
        <v>0</v>
      </c>
      <c r="E56" s="44" t="s">
        <v>164</v>
      </c>
      <c r="F56" s="42" t="s">
        <v>168</v>
      </c>
      <c r="G56" s="43" t="s">
        <v>0</v>
      </c>
      <c r="H56" s="45" t="s">
        <v>165</v>
      </c>
      <c r="I56" s="42" t="s">
        <v>168</v>
      </c>
      <c r="J56" s="42" t="s">
        <v>0</v>
      </c>
      <c r="K56" s="44" t="s">
        <v>166</v>
      </c>
      <c r="L56" s="42" t="s">
        <v>168</v>
      </c>
      <c r="M56" s="43" t="s">
        <v>0</v>
      </c>
      <c r="N56" s="44" t="s">
        <v>167</v>
      </c>
      <c r="O56" s="42" t="s">
        <v>168</v>
      </c>
      <c r="P56" s="43" t="s">
        <v>0</v>
      </c>
    </row>
    <row r="57" spans="1:16" x14ac:dyDescent="0.2">
      <c r="A57" s="28"/>
      <c r="B57" s="46" t="s">
        <v>141</v>
      </c>
      <c r="C57" s="5">
        <v>20</v>
      </c>
      <c r="D57" s="5">
        <v>54</v>
      </c>
      <c r="E57" s="46" t="s">
        <v>131</v>
      </c>
      <c r="F57" s="5">
        <v>21</v>
      </c>
      <c r="G57" s="31">
        <v>53</v>
      </c>
      <c r="H57" s="48" t="s">
        <v>121</v>
      </c>
      <c r="I57" s="5">
        <v>20</v>
      </c>
      <c r="J57" s="5">
        <v>50</v>
      </c>
      <c r="K57" s="46" t="s">
        <v>134</v>
      </c>
      <c r="L57" s="5">
        <v>20</v>
      </c>
      <c r="M57" s="31">
        <v>50</v>
      </c>
      <c r="N57" s="46" t="s">
        <v>126</v>
      </c>
      <c r="O57" s="5">
        <v>20</v>
      </c>
      <c r="P57" s="31">
        <v>48</v>
      </c>
    </row>
    <row r="58" spans="1:16" x14ac:dyDescent="0.2">
      <c r="A58" s="28"/>
      <c r="B58" s="46" t="s">
        <v>140</v>
      </c>
      <c r="C58" s="5">
        <v>8</v>
      </c>
      <c r="D58" s="5">
        <v>25</v>
      </c>
      <c r="E58" s="46" t="s">
        <v>144</v>
      </c>
      <c r="F58" s="5">
        <v>10</v>
      </c>
      <c r="G58" s="31">
        <v>26</v>
      </c>
      <c r="H58" s="48" t="s">
        <v>128</v>
      </c>
      <c r="I58" s="5">
        <v>10</v>
      </c>
      <c r="J58" s="5">
        <v>26</v>
      </c>
      <c r="K58" s="50" t="s">
        <v>120</v>
      </c>
      <c r="L58" s="5">
        <v>7</v>
      </c>
      <c r="M58" s="31">
        <v>18</v>
      </c>
      <c r="N58" s="46" t="s">
        <v>137</v>
      </c>
      <c r="O58" s="5">
        <v>8</v>
      </c>
      <c r="P58" s="31">
        <v>20</v>
      </c>
    </row>
    <row r="59" spans="1:16" x14ac:dyDescent="0.2">
      <c r="A59" s="28"/>
      <c r="B59" s="46"/>
      <c r="C59" s="5">
        <v>8</v>
      </c>
      <c r="D59" s="5">
        <v>21</v>
      </c>
      <c r="E59" s="46"/>
      <c r="F59" s="5">
        <v>6</v>
      </c>
      <c r="G59" s="31">
        <v>15</v>
      </c>
      <c r="H59" s="48"/>
      <c r="I59" s="5">
        <v>4</v>
      </c>
      <c r="J59" s="5">
        <v>7</v>
      </c>
      <c r="K59" s="46"/>
      <c r="L59" s="5">
        <v>4</v>
      </c>
      <c r="M59" s="31">
        <v>7</v>
      </c>
      <c r="N59" s="46"/>
      <c r="O59" s="5">
        <v>4</v>
      </c>
      <c r="P59" s="31">
        <v>7</v>
      </c>
    </row>
    <row r="60" spans="1:16" x14ac:dyDescent="0.2">
      <c r="A60" s="28"/>
      <c r="B60" s="46"/>
      <c r="C60" s="5">
        <v>4</v>
      </c>
      <c r="D60" s="5">
        <v>7</v>
      </c>
      <c r="E60" s="46"/>
      <c r="F60" s="5">
        <v>4</v>
      </c>
      <c r="G60" s="31">
        <v>7</v>
      </c>
      <c r="H60" s="48"/>
      <c r="I60" s="5">
        <v>4</v>
      </c>
      <c r="J60" s="5">
        <v>7</v>
      </c>
      <c r="K60" s="46"/>
      <c r="L60" s="5">
        <v>4</v>
      </c>
      <c r="M60" s="31">
        <v>7</v>
      </c>
      <c r="N60" s="46"/>
      <c r="O60" s="5">
        <v>4</v>
      </c>
      <c r="P60" s="31">
        <v>7</v>
      </c>
    </row>
    <row r="61" spans="1:16" x14ac:dyDescent="0.2">
      <c r="A61" s="28"/>
      <c r="B61" s="46"/>
      <c r="C61" s="5">
        <v>4</v>
      </c>
      <c r="D61" s="5">
        <v>7</v>
      </c>
      <c r="E61" s="46"/>
      <c r="F61" s="5">
        <v>4</v>
      </c>
      <c r="G61" s="31">
        <v>7</v>
      </c>
      <c r="H61" s="48"/>
      <c r="I61" s="5">
        <v>4</v>
      </c>
      <c r="J61" s="5">
        <v>7</v>
      </c>
      <c r="K61" s="46"/>
      <c r="L61" s="5">
        <v>4</v>
      </c>
      <c r="M61" s="31">
        <v>7</v>
      </c>
      <c r="N61" s="46"/>
      <c r="O61" s="5">
        <v>4</v>
      </c>
      <c r="P61" s="31">
        <v>7</v>
      </c>
    </row>
    <row r="62" spans="1:16" ht="17" thickBot="1" x14ac:dyDescent="0.25">
      <c r="A62" s="28"/>
      <c r="B62" s="47"/>
      <c r="C62" s="30">
        <v>1</v>
      </c>
      <c r="D62" s="30">
        <v>1</v>
      </c>
      <c r="E62" s="47"/>
      <c r="F62" s="30"/>
      <c r="G62" s="32"/>
      <c r="H62" s="49"/>
      <c r="I62" s="30">
        <v>3</v>
      </c>
      <c r="J62" s="30">
        <v>4</v>
      </c>
      <c r="K62" s="46"/>
      <c r="L62" s="5">
        <v>3</v>
      </c>
      <c r="M62" s="31">
        <v>4</v>
      </c>
      <c r="N62" s="46"/>
      <c r="O62" s="5">
        <v>3</v>
      </c>
      <c r="P62" s="31">
        <v>4</v>
      </c>
    </row>
    <row r="63" spans="1:16" ht="17" thickBot="1" x14ac:dyDescent="0.25">
      <c r="A63" s="54" t="s">
        <v>172</v>
      </c>
      <c r="B63" s="52">
        <f>AVERAGE(D63,G63,J63,M64,P64)</f>
        <v>103.6</v>
      </c>
      <c r="C63" s="53">
        <f>SUM(C57:C62)</f>
        <v>45</v>
      </c>
      <c r="D63" s="53">
        <f>SUM(D57:D62)</f>
        <v>115</v>
      </c>
      <c r="E63" s="5"/>
      <c r="F63" s="53">
        <f>SUM(F57:F62)</f>
        <v>45</v>
      </c>
      <c r="G63" s="53">
        <f>SUM(G57:G62)</f>
        <v>108</v>
      </c>
      <c r="H63" s="5"/>
      <c r="I63" s="53">
        <f>SUM(I57:I62)</f>
        <v>45</v>
      </c>
      <c r="J63" s="60">
        <f>SUM(J57:J62)</f>
        <v>101</v>
      </c>
      <c r="K63" s="47"/>
      <c r="L63" s="61">
        <v>3</v>
      </c>
      <c r="M63" s="62">
        <v>4</v>
      </c>
      <c r="N63" s="47"/>
      <c r="O63" s="61">
        <v>3</v>
      </c>
      <c r="P63" s="62">
        <v>4</v>
      </c>
    </row>
    <row r="64" spans="1:16" ht="17" thickBot="1" x14ac:dyDescent="0.25">
      <c r="A64" s="28"/>
      <c r="B64" s="5"/>
      <c r="C64" s="5"/>
      <c r="D64" s="5"/>
      <c r="E64" s="5"/>
      <c r="F64" s="5"/>
      <c r="G64" s="5"/>
      <c r="H64" s="5"/>
      <c r="I64" s="5"/>
      <c r="J64" s="5"/>
      <c r="K64" s="5"/>
      <c r="L64" s="53">
        <f>SUM(L57:L63)</f>
        <v>45</v>
      </c>
      <c r="M64" s="53">
        <f>SUM(M57:M63)</f>
        <v>97</v>
      </c>
      <c r="N64" s="5"/>
      <c r="O64" s="53">
        <f>SUM(O57:O63)</f>
        <v>46</v>
      </c>
      <c r="P64" s="53">
        <f>SUM(P57:P63)</f>
        <v>97</v>
      </c>
    </row>
    <row r="65" spans="1:16" x14ac:dyDescent="0.2">
      <c r="A65" s="28"/>
      <c r="B65" s="44" t="s">
        <v>163</v>
      </c>
      <c r="C65" s="42" t="s">
        <v>168</v>
      </c>
      <c r="D65" s="42" t="s">
        <v>0</v>
      </c>
      <c r="E65" s="44" t="s">
        <v>164</v>
      </c>
      <c r="F65" s="42" t="s">
        <v>168</v>
      </c>
      <c r="G65" s="43" t="s">
        <v>0</v>
      </c>
      <c r="H65" s="45" t="s">
        <v>165</v>
      </c>
      <c r="I65" s="42" t="s">
        <v>168</v>
      </c>
      <c r="J65" s="42" t="s">
        <v>0</v>
      </c>
      <c r="K65" s="44" t="s">
        <v>166</v>
      </c>
      <c r="L65" s="42" t="s">
        <v>168</v>
      </c>
      <c r="M65" s="43" t="s">
        <v>0</v>
      </c>
      <c r="N65" s="5"/>
      <c r="O65" s="5"/>
      <c r="P65" s="31"/>
    </row>
    <row r="66" spans="1:16" x14ac:dyDescent="0.2">
      <c r="A66" s="28"/>
      <c r="B66" s="46" t="s">
        <v>141</v>
      </c>
      <c r="C66" s="5">
        <v>20</v>
      </c>
      <c r="D66" s="5">
        <v>54</v>
      </c>
      <c r="E66" s="46" t="s">
        <v>131</v>
      </c>
      <c r="F66" s="5">
        <v>21</v>
      </c>
      <c r="G66" s="31">
        <v>53</v>
      </c>
      <c r="H66" s="48" t="s">
        <v>121</v>
      </c>
      <c r="I66" s="5">
        <v>20</v>
      </c>
      <c r="J66" s="5">
        <v>50</v>
      </c>
      <c r="K66" s="46" t="s">
        <v>134</v>
      </c>
      <c r="L66" s="5">
        <v>20</v>
      </c>
      <c r="M66" s="31">
        <v>50</v>
      </c>
      <c r="N66" s="5"/>
      <c r="O66" s="5"/>
      <c r="P66" s="31"/>
    </row>
    <row r="67" spans="1:16" x14ac:dyDescent="0.2">
      <c r="A67" s="28"/>
      <c r="B67" s="46" t="s">
        <v>140</v>
      </c>
      <c r="C67" s="5">
        <v>8</v>
      </c>
      <c r="D67" s="5">
        <v>25</v>
      </c>
      <c r="E67" s="46" t="s">
        <v>144</v>
      </c>
      <c r="F67" s="5">
        <v>10</v>
      </c>
      <c r="G67" s="31">
        <v>26</v>
      </c>
      <c r="H67" s="48" t="s">
        <v>128</v>
      </c>
      <c r="I67" s="5">
        <v>10</v>
      </c>
      <c r="J67" s="5">
        <v>26</v>
      </c>
      <c r="K67" s="50" t="s">
        <v>120</v>
      </c>
      <c r="L67" s="5">
        <v>7</v>
      </c>
      <c r="M67" s="31">
        <v>18</v>
      </c>
      <c r="N67" s="5"/>
      <c r="O67" s="5"/>
      <c r="P67" s="31"/>
    </row>
    <row r="68" spans="1:16" x14ac:dyDescent="0.2">
      <c r="A68" s="28"/>
      <c r="B68" s="46"/>
      <c r="C68" s="5">
        <v>8</v>
      </c>
      <c r="D68" s="5">
        <v>21</v>
      </c>
      <c r="E68" s="46"/>
      <c r="F68" s="5">
        <v>6</v>
      </c>
      <c r="G68" s="31">
        <v>15</v>
      </c>
      <c r="H68" s="48"/>
      <c r="I68" s="5">
        <v>4</v>
      </c>
      <c r="J68" s="5">
        <v>7</v>
      </c>
      <c r="K68" s="46"/>
      <c r="L68" s="5">
        <v>4</v>
      </c>
      <c r="M68" s="31">
        <v>7</v>
      </c>
      <c r="N68" s="5"/>
      <c r="O68" s="5"/>
      <c r="P68" s="31"/>
    </row>
    <row r="69" spans="1:16" x14ac:dyDescent="0.2">
      <c r="A69" s="28"/>
      <c r="B69" s="46"/>
      <c r="C69" s="5">
        <v>4</v>
      </c>
      <c r="D69" s="5">
        <v>7</v>
      </c>
      <c r="E69" s="46"/>
      <c r="F69" s="5">
        <v>4</v>
      </c>
      <c r="G69" s="31">
        <v>7</v>
      </c>
      <c r="H69" s="48"/>
      <c r="I69" s="5">
        <v>4</v>
      </c>
      <c r="J69" s="5">
        <v>7</v>
      </c>
      <c r="K69" s="46"/>
      <c r="L69" s="5">
        <v>4</v>
      </c>
      <c r="M69" s="31">
        <v>7</v>
      </c>
      <c r="N69" s="5"/>
      <c r="O69" s="5"/>
      <c r="P69" s="31"/>
    </row>
    <row r="70" spans="1:16" x14ac:dyDescent="0.2">
      <c r="A70" s="28"/>
      <c r="B70" s="46"/>
      <c r="C70" s="5">
        <v>4</v>
      </c>
      <c r="D70" s="5">
        <v>7</v>
      </c>
      <c r="E70" s="46"/>
      <c r="F70" s="5">
        <v>4</v>
      </c>
      <c r="G70" s="31">
        <v>7</v>
      </c>
      <c r="H70" s="48"/>
      <c r="I70" s="5">
        <v>4</v>
      </c>
      <c r="J70" s="5">
        <v>7</v>
      </c>
      <c r="K70" s="46"/>
      <c r="L70" s="5">
        <v>4</v>
      </c>
      <c r="M70" s="31">
        <v>7</v>
      </c>
      <c r="N70" s="5"/>
      <c r="O70" s="5"/>
      <c r="P70" s="31"/>
    </row>
    <row r="71" spans="1:16" ht="17" thickBot="1" x14ac:dyDescent="0.25">
      <c r="A71" s="28"/>
      <c r="B71" s="47"/>
      <c r="C71" s="30">
        <v>1</v>
      </c>
      <c r="D71" s="30">
        <v>1</v>
      </c>
      <c r="E71" s="47"/>
      <c r="F71" s="30"/>
      <c r="G71" s="32"/>
      <c r="H71" s="49"/>
      <c r="I71" s="30">
        <v>3</v>
      </c>
      <c r="J71" s="30">
        <v>4</v>
      </c>
      <c r="K71" s="46"/>
      <c r="L71" s="5">
        <v>3</v>
      </c>
      <c r="M71" s="31">
        <v>4</v>
      </c>
      <c r="N71" s="5"/>
      <c r="O71" s="5"/>
      <c r="P71" s="31"/>
    </row>
    <row r="72" spans="1:16" ht="17" thickBot="1" x14ac:dyDescent="0.25">
      <c r="A72" s="54" t="s">
        <v>172</v>
      </c>
      <c r="B72" s="52">
        <f>AVERAGE(D72,G72,J72,M73,P73)</f>
        <v>105.25</v>
      </c>
      <c r="C72" s="53">
        <f>SUM(C66:C71)</f>
        <v>45</v>
      </c>
      <c r="D72" s="53">
        <f>SUM(D66:D71)</f>
        <v>115</v>
      </c>
      <c r="E72" s="5"/>
      <c r="F72" s="53">
        <f>SUM(F66:F71)</f>
        <v>45</v>
      </c>
      <c r="G72" s="53">
        <f>SUM(G66:G71)</f>
        <v>108</v>
      </c>
      <c r="H72" s="5"/>
      <c r="I72" s="53">
        <f>SUM(I66:I71)</f>
        <v>45</v>
      </c>
      <c r="J72" s="60">
        <f>SUM(J66:J71)</f>
        <v>101</v>
      </c>
      <c r="K72" s="47"/>
      <c r="L72" s="61">
        <v>3</v>
      </c>
      <c r="M72" s="62">
        <v>4</v>
      </c>
      <c r="N72" s="5"/>
      <c r="O72" s="5"/>
      <c r="P72" s="31"/>
    </row>
    <row r="73" spans="1:16" ht="17" thickBot="1" x14ac:dyDescent="0.25">
      <c r="A73" s="28"/>
      <c r="B73" s="5"/>
      <c r="C73" s="5"/>
      <c r="D73" s="5"/>
      <c r="E73" s="5"/>
      <c r="F73" s="5"/>
      <c r="G73" s="5"/>
      <c r="H73" s="5"/>
      <c r="I73" s="5"/>
      <c r="J73" s="5"/>
      <c r="K73" s="5"/>
      <c r="L73" s="53">
        <f>SUM(L66:L72)</f>
        <v>45</v>
      </c>
      <c r="M73" s="53">
        <f>SUM(M66:M72)</f>
        <v>97</v>
      </c>
      <c r="N73" s="5"/>
      <c r="O73" s="5"/>
      <c r="P73" s="31"/>
    </row>
    <row r="74" spans="1:16" x14ac:dyDescent="0.2">
      <c r="A74" s="28"/>
      <c r="B74" s="44" t="s">
        <v>163</v>
      </c>
      <c r="C74" s="42" t="s">
        <v>168</v>
      </c>
      <c r="D74" s="42" t="s">
        <v>0</v>
      </c>
      <c r="E74" s="44" t="s">
        <v>164</v>
      </c>
      <c r="F74" s="42" t="s">
        <v>168</v>
      </c>
      <c r="G74" s="43" t="s">
        <v>0</v>
      </c>
      <c r="H74" s="45" t="s">
        <v>165</v>
      </c>
      <c r="I74" s="42" t="s">
        <v>168</v>
      </c>
      <c r="J74" s="42" t="s">
        <v>0</v>
      </c>
      <c r="K74" s="5"/>
      <c r="L74" s="5"/>
      <c r="M74" s="5"/>
      <c r="N74" s="5"/>
      <c r="O74" s="5"/>
      <c r="P74" s="31"/>
    </row>
    <row r="75" spans="1:16" x14ac:dyDescent="0.2">
      <c r="A75" s="28"/>
      <c r="B75" s="46" t="s">
        <v>141</v>
      </c>
      <c r="C75" s="5">
        <v>20</v>
      </c>
      <c r="D75" s="5">
        <v>54</v>
      </c>
      <c r="E75" s="46" t="s">
        <v>131</v>
      </c>
      <c r="F75" s="5">
        <v>21</v>
      </c>
      <c r="G75" s="31">
        <v>53</v>
      </c>
      <c r="H75" s="48" t="s">
        <v>121</v>
      </c>
      <c r="I75" s="5">
        <v>20</v>
      </c>
      <c r="J75" s="5">
        <v>50</v>
      </c>
      <c r="K75" s="5"/>
      <c r="L75" s="5"/>
      <c r="M75" s="5"/>
      <c r="N75" s="5"/>
      <c r="O75" s="5"/>
      <c r="P75" s="31"/>
    </row>
    <row r="76" spans="1:16" x14ac:dyDescent="0.2">
      <c r="A76" s="28"/>
      <c r="B76" s="46" t="s">
        <v>140</v>
      </c>
      <c r="C76" s="5">
        <v>8</v>
      </c>
      <c r="D76" s="5">
        <v>25</v>
      </c>
      <c r="E76" s="46" t="s">
        <v>144</v>
      </c>
      <c r="F76" s="5">
        <v>10</v>
      </c>
      <c r="G76" s="31">
        <v>26</v>
      </c>
      <c r="H76" s="48" t="s">
        <v>128</v>
      </c>
      <c r="I76" s="5">
        <v>10</v>
      </c>
      <c r="J76" s="5">
        <v>26</v>
      </c>
      <c r="K76" s="5"/>
      <c r="L76" s="5"/>
      <c r="M76" s="5"/>
      <c r="N76" s="5"/>
      <c r="O76" s="5"/>
      <c r="P76" s="31"/>
    </row>
    <row r="77" spans="1:16" x14ac:dyDescent="0.2">
      <c r="A77" s="28"/>
      <c r="B77" s="46"/>
      <c r="C77" s="5">
        <v>8</v>
      </c>
      <c r="D77" s="5">
        <v>21</v>
      </c>
      <c r="E77" s="46"/>
      <c r="F77" s="5">
        <v>6</v>
      </c>
      <c r="G77" s="31">
        <v>15</v>
      </c>
      <c r="H77" s="48"/>
      <c r="I77" s="5">
        <v>4</v>
      </c>
      <c r="J77" s="5">
        <v>7</v>
      </c>
      <c r="K77" s="5"/>
      <c r="L77" s="5"/>
      <c r="M77" s="5"/>
      <c r="N77" s="5"/>
      <c r="O77" s="5"/>
      <c r="P77" s="31"/>
    </row>
    <row r="78" spans="1:16" x14ac:dyDescent="0.2">
      <c r="A78" s="28"/>
      <c r="B78" s="46"/>
      <c r="C78" s="5">
        <v>4</v>
      </c>
      <c r="D78" s="5">
        <v>7</v>
      </c>
      <c r="E78" s="46"/>
      <c r="F78" s="5">
        <v>4</v>
      </c>
      <c r="G78" s="31">
        <v>7</v>
      </c>
      <c r="H78" s="48"/>
      <c r="I78" s="5">
        <v>4</v>
      </c>
      <c r="J78" s="5">
        <v>7</v>
      </c>
      <c r="K78" s="5"/>
      <c r="L78" s="5"/>
      <c r="M78" s="5"/>
      <c r="N78" s="5"/>
      <c r="O78" s="5"/>
      <c r="P78" s="31"/>
    </row>
    <row r="79" spans="1:16" x14ac:dyDescent="0.2">
      <c r="A79" s="28"/>
      <c r="B79" s="46"/>
      <c r="C79" s="5">
        <v>4</v>
      </c>
      <c r="D79" s="5">
        <v>7</v>
      </c>
      <c r="E79" s="46"/>
      <c r="F79" s="5">
        <v>4</v>
      </c>
      <c r="G79" s="31">
        <v>7</v>
      </c>
      <c r="H79" s="48"/>
      <c r="I79" s="5">
        <v>4</v>
      </c>
      <c r="J79" s="5">
        <v>7</v>
      </c>
      <c r="K79" s="5"/>
      <c r="L79" s="5"/>
      <c r="M79" s="5"/>
      <c r="N79" s="5"/>
      <c r="O79" s="5"/>
      <c r="P79" s="31"/>
    </row>
    <row r="80" spans="1:16" ht="17" thickBot="1" x14ac:dyDescent="0.25">
      <c r="A80" s="28"/>
      <c r="B80" s="47"/>
      <c r="C80" s="30">
        <v>1</v>
      </c>
      <c r="D80" s="30">
        <v>1</v>
      </c>
      <c r="E80" s="47"/>
      <c r="F80" s="30"/>
      <c r="G80" s="32"/>
      <c r="H80" s="49"/>
      <c r="I80" s="30">
        <v>3</v>
      </c>
      <c r="J80" s="30">
        <v>4</v>
      </c>
      <c r="K80" s="5"/>
      <c r="L80" s="5"/>
      <c r="M80" s="5"/>
      <c r="N80" s="5"/>
      <c r="O80" s="5"/>
      <c r="P80" s="31"/>
    </row>
    <row r="81" spans="1:16" x14ac:dyDescent="0.2">
      <c r="A81" s="54" t="s">
        <v>172</v>
      </c>
      <c r="B81" s="52">
        <f>AVERAGE(D81,G81,J81,M82,P82)</f>
        <v>108</v>
      </c>
      <c r="C81" s="53">
        <f>SUM(C75:C80)</f>
        <v>45</v>
      </c>
      <c r="D81" s="53">
        <f>SUM(D75:D80)</f>
        <v>115</v>
      </c>
      <c r="E81" s="5"/>
      <c r="F81" s="53">
        <f>SUM(F75:F80)</f>
        <v>45</v>
      </c>
      <c r="G81" s="53">
        <f>SUM(G75:G80)</f>
        <v>108</v>
      </c>
      <c r="H81" s="5"/>
      <c r="I81" s="53">
        <f>SUM(I75:I80)</f>
        <v>45</v>
      </c>
      <c r="J81" s="60">
        <f>SUM(J75:J80)</f>
        <v>101</v>
      </c>
      <c r="K81" s="5"/>
      <c r="L81" s="5"/>
      <c r="M81" s="5"/>
      <c r="N81" s="5"/>
      <c r="O81" s="5"/>
      <c r="P81" s="31"/>
    </row>
    <row r="82" spans="1:16" ht="17" thickBot="1" x14ac:dyDescent="0.25">
      <c r="A82" s="28"/>
      <c r="B82" s="5"/>
      <c r="C82" s="5"/>
      <c r="D82" s="5"/>
      <c r="E82" s="5"/>
      <c r="F82" s="5"/>
      <c r="G82" s="5"/>
      <c r="H82" s="5"/>
      <c r="I82" s="5"/>
      <c r="J82" s="5"/>
      <c r="K82" s="5"/>
      <c r="L82" s="5"/>
      <c r="M82" s="5"/>
      <c r="N82" s="5"/>
      <c r="O82" s="5"/>
      <c r="P82" s="31"/>
    </row>
    <row r="83" spans="1:16" x14ac:dyDescent="0.2">
      <c r="A83" s="28"/>
      <c r="B83" s="44" t="s">
        <v>163</v>
      </c>
      <c r="C83" s="42" t="s">
        <v>168</v>
      </c>
      <c r="D83" s="42" t="s">
        <v>0</v>
      </c>
      <c r="E83" s="44" t="s">
        <v>164</v>
      </c>
      <c r="F83" s="42" t="s">
        <v>168</v>
      </c>
      <c r="G83" s="43" t="s">
        <v>0</v>
      </c>
      <c r="H83" s="5"/>
      <c r="I83" s="5"/>
      <c r="J83" s="5"/>
      <c r="K83" s="5"/>
      <c r="L83" s="5"/>
      <c r="M83" s="5"/>
      <c r="N83" s="5"/>
      <c r="O83" s="5"/>
      <c r="P83" s="31"/>
    </row>
    <row r="84" spans="1:16" x14ac:dyDescent="0.2">
      <c r="A84" s="28"/>
      <c r="B84" s="46" t="s">
        <v>141</v>
      </c>
      <c r="C84" s="5">
        <v>20</v>
      </c>
      <c r="D84" s="5">
        <v>54</v>
      </c>
      <c r="E84" s="46" t="s">
        <v>131</v>
      </c>
      <c r="F84" s="5">
        <v>21</v>
      </c>
      <c r="G84" s="31">
        <v>53</v>
      </c>
      <c r="H84" s="5"/>
      <c r="I84" s="5"/>
      <c r="J84" s="5"/>
      <c r="K84" s="5"/>
      <c r="L84" s="5"/>
      <c r="M84" s="5"/>
      <c r="N84" s="5"/>
      <c r="O84" s="5"/>
      <c r="P84" s="31"/>
    </row>
    <row r="85" spans="1:16" x14ac:dyDescent="0.2">
      <c r="A85" s="28"/>
      <c r="B85" s="46" t="s">
        <v>140</v>
      </c>
      <c r="C85" s="5">
        <v>8</v>
      </c>
      <c r="D85" s="5">
        <v>25</v>
      </c>
      <c r="E85" s="46" t="s">
        <v>144</v>
      </c>
      <c r="F85" s="5">
        <v>10</v>
      </c>
      <c r="G85" s="31">
        <v>26</v>
      </c>
      <c r="H85" s="5"/>
      <c r="I85" s="5"/>
      <c r="J85" s="5"/>
      <c r="K85" s="5"/>
      <c r="L85" s="5"/>
      <c r="M85" s="5"/>
      <c r="N85" s="5"/>
      <c r="O85" s="5"/>
      <c r="P85" s="31"/>
    </row>
    <row r="86" spans="1:16" x14ac:dyDescent="0.2">
      <c r="A86" s="28"/>
      <c r="B86" s="46"/>
      <c r="C86" s="5">
        <v>8</v>
      </c>
      <c r="D86" s="5">
        <v>21</v>
      </c>
      <c r="E86" s="46"/>
      <c r="F86" s="5">
        <v>6</v>
      </c>
      <c r="G86" s="31">
        <v>15</v>
      </c>
      <c r="H86" s="5"/>
      <c r="I86" s="5"/>
      <c r="J86" s="5"/>
      <c r="K86" s="5"/>
      <c r="L86" s="5"/>
      <c r="M86" s="5"/>
      <c r="N86" s="5"/>
      <c r="O86" s="5"/>
      <c r="P86" s="31"/>
    </row>
    <row r="87" spans="1:16" x14ac:dyDescent="0.2">
      <c r="A87" s="28"/>
      <c r="B87" s="46"/>
      <c r="C87" s="5">
        <v>4</v>
      </c>
      <c r="D87" s="5">
        <v>7</v>
      </c>
      <c r="E87" s="46"/>
      <c r="F87" s="5">
        <v>4</v>
      </c>
      <c r="G87" s="31">
        <v>7</v>
      </c>
      <c r="H87" s="5"/>
      <c r="I87" s="5"/>
      <c r="J87" s="5"/>
      <c r="K87" s="5"/>
      <c r="L87" s="5"/>
      <c r="M87" s="5"/>
      <c r="N87" s="5"/>
      <c r="O87" s="5"/>
      <c r="P87" s="31"/>
    </row>
    <row r="88" spans="1:16" x14ac:dyDescent="0.2">
      <c r="A88" s="28"/>
      <c r="B88" s="46"/>
      <c r="C88" s="5">
        <v>4</v>
      </c>
      <c r="D88" s="5">
        <v>7</v>
      </c>
      <c r="E88" s="46"/>
      <c r="F88" s="5">
        <v>4</v>
      </c>
      <c r="G88" s="31">
        <v>7</v>
      </c>
      <c r="H88" s="5"/>
      <c r="I88" s="5"/>
      <c r="J88" s="5"/>
      <c r="K88" s="5"/>
      <c r="L88" s="5"/>
      <c r="M88" s="5"/>
      <c r="N88" s="5"/>
      <c r="O88" s="5"/>
      <c r="P88" s="31"/>
    </row>
    <row r="89" spans="1:16" ht="17" thickBot="1" x14ac:dyDescent="0.25">
      <c r="A89" s="28"/>
      <c r="B89" s="47"/>
      <c r="C89" s="30">
        <v>1</v>
      </c>
      <c r="D89" s="30">
        <v>1</v>
      </c>
      <c r="E89" s="47"/>
      <c r="F89" s="30"/>
      <c r="G89" s="32"/>
      <c r="H89" s="5"/>
      <c r="I89" s="5"/>
      <c r="J89" s="5"/>
      <c r="K89" s="5"/>
      <c r="L89" s="5"/>
      <c r="M89" s="5"/>
      <c r="N89" s="5"/>
      <c r="O89" s="5"/>
      <c r="P89" s="31"/>
    </row>
    <row r="90" spans="1:16" ht="17" thickBot="1" x14ac:dyDescent="0.25">
      <c r="A90" s="54" t="s">
        <v>172</v>
      </c>
      <c r="B90" s="52">
        <f>AVERAGE(D90,G90,J90,M91,P91)</f>
        <v>111.5</v>
      </c>
      <c r="C90" s="53">
        <f>SUM(C84:C89)</f>
        <v>45</v>
      </c>
      <c r="D90" s="53">
        <f>SUM(D84:D89)</f>
        <v>115</v>
      </c>
      <c r="E90" s="5"/>
      <c r="F90" s="53">
        <f>SUM(F84:F89)</f>
        <v>45</v>
      </c>
      <c r="G90" s="53">
        <f>SUM(G84:G89)</f>
        <v>108</v>
      </c>
      <c r="H90" s="30"/>
      <c r="I90" s="30"/>
      <c r="J90" s="30"/>
      <c r="K90" s="30"/>
      <c r="L90" s="30"/>
      <c r="M90" s="30"/>
      <c r="N90" s="30"/>
      <c r="O90" s="30"/>
      <c r="P90" s="32"/>
    </row>
    <row r="91" spans="1:16" ht="17" thickBot="1" x14ac:dyDescent="0.25"/>
    <row r="92" spans="1:16" x14ac:dyDescent="0.2">
      <c r="A92" s="2" t="s">
        <v>174</v>
      </c>
      <c r="B92" s="3" t="s">
        <v>171</v>
      </c>
      <c r="C92" s="4" t="s">
        <v>175</v>
      </c>
    </row>
    <row r="93" spans="1:16" x14ac:dyDescent="0.2">
      <c r="A93" s="28"/>
      <c r="B93" s="5">
        <v>2</v>
      </c>
      <c r="C93" s="31">
        <f>B90</f>
        <v>111.5</v>
      </c>
    </row>
    <row r="94" spans="1:16" x14ac:dyDescent="0.2">
      <c r="A94" s="28"/>
      <c r="B94" s="5">
        <v>3</v>
      </c>
      <c r="C94" s="31">
        <f>B81</f>
        <v>108</v>
      </c>
    </row>
    <row r="95" spans="1:16" x14ac:dyDescent="0.2">
      <c r="A95" s="28"/>
      <c r="B95" s="5">
        <v>4</v>
      </c>
      <c r="C95" s="31">
        <f>B72</f>
        <v>105.25</v>
      </c>
    </row>
    <row r="96" spans="1:16" ht="17" thickBot="1" x14ac:dyDescent="0.25">
      <c r="A96" s="29"/>
      <c r="B96" s="30">
        <v>5</v>
      </c>
      <c r="C96" s="32">
        <f>B63</f>
        <v>103.6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AF1C2-DBD9-EA42-9FC1-3DC45130DC8A}">
  <sheetPr>
    <tabColor rgb="FFFF0000"/>
  </sheetPr>
  <dimension ref="A1:Z117"/>
  <sheetViews>
    <sheetView tabSelected="1" zoomScale="132" workbookViewId="0">
      <selection activeCell="C7" sqref="C7"/>
    </sheetView>
  </sheetViews>
  <sheetFormatPr baseColWidth="10" defaultRowHeight="16" x14ac:dyDescent="0.2"/>
  <sheetData>
    <row r="1" spans="1:1" x14ac:dyDescent="0.2">
      <c r="A1" t="s">
        <v>176</v>
      </c>
    </row>
    <row r="2" spans="1:1" x14ac:dyDescent="0.2">
      <c r="A2" t="s">
        <v>178</v>
      </c>
    </row>
    <row r="3" spans="1:1" x14ac:dyDescent="0.2">
      <c r="A3" t="s">
        <v>208</v>
      </c>
    </row>
    <row r="5" spans="1:1" x14ac:dyDescent="0.2">
      <c r="A5" t="s">
        <v>179</v>
      </c>
    </row>
    <row r="6" spans="1:1" x14ac:dyDescent="0.2">
      <c r="A6" t="s">
        <v>106</v>
      </c>
    </row>
    <row r="7" spans="1:1" x14ac:dyDescent="0.2">
      <c r="A7" t="s">
        <v>177</v>
      </c>
    </row>
    <row r="24" spans="1:1" x14ac:dyDescent="0.2">
      <c r="A24" t="s">
        <v>209</v>
      </c>
    </row>
    <row r="26" spans="1:1" x14ac:dyDescent="0.2">
      <c r="A26" t="s">
        <v>108</v>
      </c>
    </row>
    <row r="27" spans="1:1" x14ac:dyDescent="0.2">
      <c r="A27" t="s">
        <v>180</v>
      </c>
    </row>
    <row r="44" spans="1:1" x14ac:dyDescent="0.2">
      <c r="A44" t="s">
        <v>181</v>
      </c>
    </row>
    <row r="45" spans="1:1" x14ac:dyDescent="0.2">
      <c r="A45" t="s">
        <v>182</v>
      </c>
    </row>
    <row r="59" spans="1:1" x14ac:dyDescent="0.2">
      <c r="A59" t="s">
        <v>183</v>
      </c>
    </row>
    <row r="60" spans="1:1" x14ac:dyDescent="0.2">
      <c r="A60" t="s">
        <v>184</v>
      </c>
    </row>
    <row r="62" spans="1:1" x14ac:dyDescent="0.2">
      <c r="A62" t="s">
        <v>109</v>
      </c>
    </row>
    <row r="63" spans="1:1" x14ac:dyDescent="0.2">
      <c r="A63" t="s">
        <v>185</v>
      </c>
    </row>
    <row r="64" spans="1:1" x14ac:dyDescent="0.2">
      <c r="A64" t="s">
        <v>210</v>
      </c>
    </row>
    <row r="65" spans="1:1" x14ac:dyDescent="0.2">
      <c r="A65" t="s">
        <v>211</v>
      </c>
    </row>
    <row r="80" spans="1:1" x14ac:dyDescent="0.2">
      <c r="A80" t="s">
        <v>212</v>
      </c>
    </row>
    <row r="81" spans="1:26" x14ac:dyDescent="0.2">
      <c r="A81" t="s">
        <v>186</v>
      </c>
    </row>
    <row r="83" spans="1:26" x14ac:dyDescent="0.2">
      <c r="A83" t="s">
        <v>159</v>
      </c>
    </row>
    <row r="87" spans="1:26" x14ac:dyDescent="0.2">
      <c r="Z87" t="s">
        <v>169</v>
      </c>
    </row>
    <row r="108" spans="1:1" x14ac:dyDescent="0.2">
      <c r="A108" t="s">
        <v>161</v>
      </c>
    </row>
    <row r="109" spans="1:1" x14ac:dyDescent="0.2">
      <c r="A109" t="s">
        <v>187</v>
      </c>
    </row>
    <row r="110" spans="1:1" x14ac:dyDescent="0.2">
      <c r="A110" t="s">
        <v>188</v>
      </c>
    </row>
    <row r="112" spans="1:1" x14ac:dyDescent="0.2">
      <c r="A112" t="s">
        <v>213</v>
      </c>
    </row>
    <row r="113" spans="1:1" x14ac:dyDescent="0.2">
      <c r="A113" t="s">
        <v>214</v>
      </c>
    </row>
    <row r="114" spans="1:1" x14ac:dyDescent="0.2">
      <c r="A114" t="s">
        <v>215</v>
      </c>
    </row>
    <row r="115" spans="1:1" x14ac:dyDescent="0.2">
      <c r="A115" t="s">
        <v>216</v>
      </c>
    </row>
    <row r="116" spans="1:1" x14ac:dyDescent="0.2">
      <c r="A116" t="s">
        <v>217</v>
      </c>
    </row>
    <row r="117" spans="1:1" x14ac:dyDescent="0.2">
      <c r="A117" t="s">
        <v>218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02562-7F08-4247-994C-E2ADC8DDB133}">
  <sheetPr>
    <tabColor theme="1"/>
  </sheetPr>
  <dimension ref="A1:I11"/>
  <sheetViews>
    <sheetView zoomScale="108" workbookViewId="0">
      <selection activeCell="H31" sqref="H31"/>
    </sheetView>
  </sheetViews>
  <sheetFormatPr baseColWidth="10" defaultRowHeight="16" x14ac:dyDescent="0.2"/>
  <cols>
    <col min="9" max="9" width="11.5" customWidth="1"/>
  </cols>
  <sheetData>
    <row r="1" spans="1:9" x14ac:dyDescent="0.2">
      <c r="A1" s="14" t="s">
        <v>80</v>
      </c>
      <c r="B1" s="15"/>
      <c r="C1" s="15"/>
      <c r="D1" s="15"/>
      <c r="E1" s="15"/>
      <c r="F1" s="15"/>
      <c r="G1" s="15"/>
      <c r="H1" s="16"/>
      <c r="I1" s="17"/>
    </row>
    <row r="2" spans="1:9" x14ac:dyDescent="0.2">
      <c r="A2" s="20" t="s">
        <v>81</v>
      </c>
      <c r="B2" s="21" t="s">
        <v>82</v>
      </c>
      <c r="C2" s="21" t="s">
        <v>83</v>
      </c>
      <c r="D2" s="21" t="s">
        <v>84</v>
      </c>
      <c r="E2" s="21" t="s">
        <v>85</v>
      </c>
      <c r="F2" s="21" t="s">
        <v>86</v>
      </c>
      <c r="G2" s="21" t="s">
        <v>87</v>
      </c>
      <c r="H2" s="21" t="s">
        <v>0</v>
      </c>
      <c r="I2" s="22" t="s">
        <v>1</v>
      </c>
    </row>
    <row r="3" spans="1:9" x14ac:dyDescent="0.2">
      <c r="A3" s="18" t="s">
        <v>92</v>
      </c>
      <c r="B3" s="13">
        <v>0</v>
      </c>
      <c r="C3" s="13">
        <v>4</v>
      </c>
      <c r="D3" s="13">
        <v>1</v>
      </c>
      <c r="E3" s="13">
        <v>3</v>
      </c>
      <c r="F3" s="13">
        <v>0</v>
      </c>
      <c r="G3" s="13">
        <v>0</v>
      </c>
      <c r="H3"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33</v>
      </c>
      <c r="I3"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Row],[Length6]]+Route_Point_Conversion!B8*Color_Table[[#This Row],[Length8]])</f>
        <v>1.4347826086956521</v>
      </c>
    </row>
    <row r="4" spans="1:9" x14ac:dyDescent="0.2">
      <c r="A4" s="18" t="s">
        <v>93</v>
      </c>
      <c r="B4" s="13">
        <v>0</v>
      </c>
      <c r="C4" s="13">
        <v>4</v>
      </c>
      <c r="D4" s="13">
        <v>1</v>
      </c>
      <c r="E4" s="13">
        <v>3</v>
      </c>
      <c r="F4" s="13">
        <v>0</v>
      </c>
      <c r="G4" s="13">
        <v>0</v>
      </c>
      <c r="H4"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33</v>
      </c>
      <c r="I4"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Row],[Length6]]+Route_Point_Conversion!B9*Color_Table[[#This Row],[Length8]])</f>
        <v>1.4347826086956521</v>
      </c>
    </row>
    <row r="5" spans="1:9" x14ac:dyDescent="0.2">
      <c r="A5" s="18" t="s">
        <v>91</v>
      </c>
      <c r="B5" s="13">
        <v>1</v>
      </c>
      <c r="C5" s="13">
        <v>2</v>
      </c>
      <c r="D5" s="13">
        <v>3</v>
      </c>
      <c r="E5" s="13">
        <v>2</v>
      </c>
      <c r="F5" s="13">
        <v>0</v>
      </c>
      <c r="G5" s="13">
        <v>0</v>
      </c>
      <c r="H5"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31</v>
      </c>
      <c r="I5"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Row],[Length6]]+Route_Point_Conversion!B10*Color_Table[[#This Row],[Length8]])</f>
        <v>1.4090909090909092</v>
      </c>
    </row>
    <row r="6" spans="1:9" x14ac:dyDescent="0.2">
      <c r="A6" s="18" t="s">
        <v>94</v>
      </c>
      <c r="B6" s="13">
        <v>1</v>
      </c>
      <c r="C6" s="13">
        <v>2</v>
      </c>
      <c r="D6" s="13">
        <v>3</v>
      </c>
      <c r="E6" s="13">
        <v>2</v>
      </c>
      <c r="F6" s="13">
        <v>0</v>
      </c>
      <c r="G6" s="13">
        <v>0</v>
      </c>
      <c r="H6"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31</v>
      </c>
      <c r="I6"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Row],[Length6]]+Route_Point_Conversion!B11*Color_Table[[#This Row],[Length8]])</f>
        <v>1.4090909090909092</v>
      </c>
    </row>
    <row r="7" spans="1:9" x14ac:dyDescent="0.2">
      <c r="A7" s="18" t="s">
        <v>89</v>
      </c>
      <c r="B7" s="13">
        <v>1</v>
      </c>
      <c r="C7" s="13">
        <v>1</v>
      </c>
      <c r="D7" s="13">
        <v>5</v>
      </c>
      <c r="E7" s="13">
        <v>1</v>
      </c>
      <c r="F7" s="13">
        <v>0</v>
      </c>
      <c r="G7" s="13">
        <v>0</v>
      </c>
      <c r="H7"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30</v>
      </c>
      <c r="I7"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Row],[Length6]]+Route_Point_Conversion!B12*Color_Table[[#This Row],[Length8]])</f>
        <v>1.3636363636363635</v>
      </c>
    </row>
    <row r="8" spans="1:9" x14ac:dyDescent="0.2">
      <c r="A8" s="18" t="s">
        <v>95</v>
      </c>
      <c r="B8" s="13">
        <v>1</v>
      </c>
      <c r="C8" s="13">
        <v>1</v>
      </c>
      <c r="D8" s="13">
        <v>5</v>
      </c>
      <c r="E8" s="13">
        <v>1</v>
      </c>
      <c r="F8" s="13">
        <v>0</v>
      </c>
      <c r="G8" s="13">
        <v>0</v>
      </c>
      <c r="H8"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30</v>
      </c>
      <c r="I8"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Row],[Length6]]+Route_Point_Conversion!B13*Color_Table[[#This Row],[Length8]])</f>
        <v>1.3636363636363635</v>
      </c>
    </row>
    <row r="9" spans="1:9" x14ac:dyDescent="0.2">
      <c r="A9" s="18" t="s">
        <v>88</v>
      </c>
      <c r="B9" s="13">
        <v>0</v>
      </c>
      <c r="C9" s="13">
        <v>3</v>
      </c>
      <c r="D9" s="13">
        <v>4</v>
      </c>
      <c r="E9" s="13">
        <v>1</v>
      </c>
      <c r="F9" s="13">
        <v>0</v>
      </c>
      <c r="G9" s="13">
        <v>0</v>
      </c>
      <c r="H9"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29</v>
      </c>
      <c r="I9"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Row],[Length6]]+Route_Point_Conversion!B14*Color_Table[[#This Row],[Length8]])</f>
        <v>1.3181818181818181</v>
      </c>
    </row>
    <row r="10" spans="1:9" x14ac:dyDescent="0.2">
      <c r="A10" s="18" t="s">
        <v>90</v>
      </c>
      <c r="B10" s="13">
        <v>0</v>
      </c>
      <c r="C10" s="13">
        <v>3</v>
      </c>
      <c r="D10" s="13">
        <v>4</v>
      </c>
      <c r="E10" s="13">
        <v>1</v>
      </c>
      <c r="F10" s="13">
        <v>0</v>
      </c>
      <c r="G10" s="13">
        <v>0</v>
      </c>
      <c r="H10" s="13">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29</v>
      </c>
      <c r="I10"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Row],[Length6]]+Route_Point_Conversion!B15*Color_Table[[#This Row],[Length8]])</f>
        <v>1.3181818181818181</v>
      </c>
    </row>
    <row r="11" spans="1:9" x14ac:dyDescent="0.2">
      <c r="A11" s="23" t="s">
        <v>96</v>
      </c>
      <c r="B11" s="24">
        <v>0</v>
      </c>
      <c r="C11" s="24">
        <v>15</v>
      </c>
      <c r="D11" s="24">
        <v>4</v>
      </c>
      <c r="E11" s="24">
        <v>15</v>
      </c>
      <c r="F11" s="24">
        <v>2</v>
      </c>
      <c r="G11" s="24">
        <v>1</v>
      </c>
      <c r="H11" s="24">
        <f>Color_Table[[#This Row],[Length1]]*Route_Point_Conversion!$C$3+Color_Table[[#This Row],[Length2]]*Route_Point_Conversion!$C$4+Color_Table[[#This Row],[Length3]]*Route_Point_Conversion!$C$5+Color_Table[[#This Row],[Length4]]*Route_Point_Conversion!$C$6+Color_Table[[#This Row],[Length6]]*Route_Point_Conversion!$C$7+Color_Table[[#This Row],[Length8]]*Route_Point_Conversion!$C$8</f>
        <v>202</v>
      </c>
      <c r="I11" s="19">
        <f>Color_Table[[#This Row],[Points]]/(Route_Point_Conversion!$B$3*Color_Table[[#This Row],[Length1]]+Route_Point_Conversion!$B$4*Color_Table[[#This Row],[Length2]]+Route_Point_Conversion!$B$5*Color_Table[[#This Row],[Length3]]+Route_Point_Conversion!$B$6*Color_Table[[#This Row],[Length4]]+Route_Point_Conversion!$B$7*Color_Table[[#This Row],[Length6]]+Route_Point_Conversion!B16*Color_Table[[#This Row],[Length8]])</f>
        <v>1.7719298245614035</v>
      </c>
    </row>
  </sheetData>
  <phoneticPr fontId="2"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45DB-6A5A-3D48-851D-E6E8E4B0DAF5}">
  <sheetPr>
    <tabColor theme="1"/>
  </sheetPr>
  <dimension ref="A1:S48"/>
  <sheetViews>
    <sheetView workbookViewId="0">
      <selection activeCell="H3" sqref="H3"/>
    </sheetView>
  </sheetViews>
  <sheetFormatPr baseColWidth="10" defaultRowHeight="16" x14ac:dyDescent="0.2"/>
  <cols>
    <col min="1" max="1" width="5.5" bestFit="1" customWidth="1"/>
    <col min="2" max="2" width="21" bestFit="1" customWidth="1"/>
    <col min="3" max="3" width="13.33203125" bestFit="1" customWidth="1"/>
    <col min="4" max="6" width="10" bestFit="1" customWidth="1"/>
    <col min="7" max="7" width="14.5" bestFit="1" customWidth="1"/>
    <col min="8" max="8" width="15" bestFit="1" customWidth="1"/>
    <col min="9" max="9" width="19.83203125" bestFit="1" customWidth="1"/>
    <col min="10" max="10" width="15" bestFit="1" customWidth="1"/>
    <col min="11" max="11" width="11.6640625" bestFit="1" customWidth="1"/>
    <col min="12" max="15" width="13.33203125" bestFit="1" customWidth="1"/>
    <col min="16" max="16" width="10.6640625" bestFit="1" customWidth="1"/>
    <col min="17" max="17" width="14" bestFit="1" customWidth="1"/>
    <col min="18" max="18" width="10.6640625" bestFit="1" customWidth="1"/>
    <col min="19" max="19" width="14" bestFit="1" customWidth="1"/>
    <col min="20" max="20" width="10.6640625" bestFit="1" customWidth="1"/>
    <col min="21" max="21" width="14" bestFit="1" customWidth="1"/>
    <col min="22" max="22" width="10.6640625" bestFit="1" customWidth="1"/>
    <col min="23" max="23" width="14" bestFit="1" customWidth="1"/>
  </cols>
  <sheetData>
    <row r="1" spans="1:19" x14ac:dyDescent="0.2">
      <c r="A1" s="1" t="s">
        <v>55</v>
      </c>
      <c r="B1" s="1"/>
      <c r="C1" s="1"/>
      <c r="D1" s="1"/>
      <c r="E1" s="1"/>
      <c r="F1" s="1"/>
      <c r="G1" s="1"/>
      <c r="H1" s="1"/>
      <c r="I1" s="1"/>
      <c r="J1" s="1"/>
      <c r="K1" s="1"/>
      <c r="L1" s="1"/>
      <c r="M1" s="1"/>
      <c r="N1" s="1"/>
      <c r="O1" s="1"/>
      <c r="P1" s="1"/>
      <c r="Q1" s="1"/>
    </row>
    <row r="2" spans="1:19" x14ac:dyDescent="0.2">
      <c r="A2" s="10" t="s">
        <v>2</v>
      </c>
      <c r="B2" s="10" t="s">
        <v>105</v>
      </c>
      <c r="C2" s="10" t="s">
        <v>3</v>
      </c>
      <c r="D2" s="10" t="s">
        <v>4</v>
      </c>
      <c r="E2" s="10" t="s">
        <v>77</v>
      </c>
      <c r="F2" s="10" t="s">
        <v>78</v>
      </c>
      <c r="G2" s="10" t="s">
        <v>64</v>
      </c>
      <c r="H2" s="10" t="s">
        <v>67</v>
      </c>
      <c r="I2" s="10" t="s">
        <v>170</v>
      </c>
      <c r="J2" s="10" t="s">
        <v>68</v>
      </c>
      <c r="K2" s="10" t="s">
        <v>1</v>
      </c>
      <c r="L2" s="10" t="s">
        <v>56</v>
      </c>
      <c r="M2" s="10" t="s">
        <v>57</v>
      </c>
      <c r="N2" s="10" t="s">
        <v>58</v>
      </c>
      <c r="O2" s="10" t="s">
        <v>59</v>
      </c>
      <c r="P2" s="10" t="s">
        <v>60</v>
      </c>
      <c r="Q2" s="10" t="s">
        <v>61</v>
      </c>
      <c r="R2" s="10" t="s">
        <v>62</v>
      </c>
      <c r="S2" s="10" t="s">
        <v>63</v>
      </c>
    </row>
    <row r="3" spans="1:19" x14ac:dyDescent="0.2">
      <c r="A3" s="5">
        <v>2000</v>
      </c>
      <c r="B3" s="5" t="str">
        <f>_xlfn.CONCAT(Ticket_Table[[#This Row],[City01]],"-",Ticket_Table[[#This Row],[City02]])</f>
        <v>Athina-Angora</v>
      </c>
      <c r="C3" s="5" t="s">
        <v>50</v>
      </c>
      <c r="D3" s="5" t="s">
        <v>41</v>
      </c>
      <c r="E3" s="5" t="str">
        <f>INDEX(Cities_Table[#All], MATCH(C3, Cities_Table[City], 0) + 1, MATCH("Quad", Cities_Table[#Headers], 0))</f>
        <v>SC</v>
      </c>
      <c r="F3" s="5" t="str">
        <f>INDEX(Cities_Table[#All], MATCH(D3, Cities_Table[City], 0) + 1, MATCH("Quad", Cities_Table[#Headers], 0))</f>
        <v>SE</v>
      </c>
      <c r="G3" s="5">
        <v>5</v>
      </c>
      <c r="H3"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3" s="5">
        <f>Ticket_Table[[#This Row],[Ticket_Points]]+Ticket_Table[[#This Row],[Route_Points]]</f>
        <v>11</v>
      </c>
      <c r="J3"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5</v>
      </c>
      <c r="K3" s="7">
        <f>(Ticket_Table[[#This Row],[Ticket_Points]]+Ticket_Table[[#This Row],[Route_Points]])/Ticket_Table[[#This Row],[Route_Length]]</f>
        <v>2.2000000000000002</v>
      </c>
      <c r="L3" s="11">
        <v>10002</v>
      </c>
      <c r="M3" s="12">
        <v>10003</v>
      </c>
      <c r="N3" s="5"/>
      <c r="O3" s="5"/>
      <c r="P3" s="5"/>
      <c r="Q3" s="5"/>
      <c r="R3" s="5"/>
      <c r="S3" s="5"/>
    </row>
    <row r="4" spans="1:19" x14ac:dyDescent="0.2">
      <c r="A4" s="5">
        <v>2001</v>
      </c>
      <c r="B4" s="5" t="str">
        <f>_xlfn.CONCAT(Ticket_Table[[#This Row],[City01]],"-",Ticket_Table[[#This Row],[City02]])</f>
        <v>Budapest-Sofia</v>
      </c>
      <c r="C4" s="5" t="s">
        <v>17</v>
      </c>
      <c r="D4" s="5" t="s">
        <v>36</v>
      </c>
      <c r="E4" s="5" t="str">
        <f>INDEX(Cities_Table[#All], MATCH(C4, Cities_Table[City], 0) + 1, MATCH("Quad", Cities_Table[#Headers], 0))</f>
        <v>SC</v>
      </c>
      <c r="F4" s="5" t="str">
        <f>INDEX(Cities_Table[#All], MATCH(D4, Cities_Table[City], 0) + 1, MATCH("Quad", Cities_Table[#Headers], 0))</f>
        <v>SE</v>
      </c>
      <c r="G4" s="5">
        <v>5</v>
      </c>
      <c r="H4"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4" s="5">
        <f>Ticket_Table[[#This Row],[Ticket_Points]]+Ticket_Table[[#This Row],[Route_Points]]</f>
        <v>11</v>
      </c>
      <c r="J4"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5</v>
      </c>
      <c r="K4" s="7">
        <f>(Ticket_Table[[#This Row],[Ticket_Points]]+Ticket_Table[[#This Row],[Route_Points]])/Ticket_Table[[#This Row],[Route_Length]]</f>
        <v>2.2000000000000002</v>
      </c>
      <c r="L4" s="5">
        <v>10002</v>
      </c>
      <c r="M4" s="5">
        <v>10003</v>
      </c>
      <c r="N4" s="5"/>
      <c r="O4" s="5"/>
      <c r="P4" s="5"/>
      <c r="Q4" s="5"/>
      <c r="R4" s="5"/>
      <c r="S4" s="5"/>
    </row>
    <row r="5" spans="1:19" x14ac:dyDescent="0.2">
      <c r="A5" s="5">
        <v>2002</v>
      </c>
      <c r="B5" s="5" t="str">
        <f>_xlfn.CONCAT(Ticket_Table[[#This Row],[City01]],"-",Ticket_Table[[#This Row],[City02]])</f>
        <v>Frankfurt-Kobenhavn</v>
      </c>
      <c r="C5" s="5" t="s">
        <v>12</v>
      </c>
      <c r="D5" s="5" t="s">
        <v>45</v>
      </c>
      <c r="E5" s="5" t="str">
        <f>INDEX(Cities_Table[#All], MATCH(C5, Cities_Table[City], 0) + 1, MATCH("Quad", Cities_Table[#Headers], 0))</f>
        <v>NC</v>
      </c>
      <c r="F5" s="5" t="str">
        <f>INDEX(Cities_Table[#All], MATCH(D5, Cities_Table[City], 0) + 1, MATCH("Quad", Cities_Table[#Headers], 0))</f>
        <v>NC</v>
      </c>
      <c r="G5" s="5">
        <v>5</v>
      </c>
      <c r="H5"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5" s="5">
        <f>Ticket_Table[[#This Row],[Ticket_Points]]+Ticket_Table[[#This Row],[Route_Points]]</f>
        <v>11</v>
      </c>
      <c r="J5"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5</v>
      </c>
      <c r="K5" s="7">
        <f>(Ticket_Table[[#This Row],[Ticket_Points]]+Ticket_Table[[#This Row],[Route_Points]])/Ticket_Table[[#This Row],[Route_Length]]</f>
        <v>2.2000000000000002</v>
      </c>
      <c r="L5" s="11">
        <v>10002</v>
      </c>
      <c r="M5" s="12">
        <v>10003</v>
      </c>
      <c r="N5" s="5"/>
      <c r="O5" s="5"/>
      <c r="P5" s="5"/>
      <c r="Q5" s="5"/>
      <c r="R5" s="5"/>
      <c r="S5" s="5"/>
    </row>
    <row r="6" spans="1:19" x14ac:dyDescent="0.2">
      <c r="A6" s="5">
        <v>2003</v>
      </c>
      <c r="B6" s="5" t="str">
        <f>_xlfn.CONCAT(Ticket_Table[[#This Row],[City01]],"-",Ticket_Table[[#This Row],[City02]])</f>
        <v>Rostov-Erzurum</v>
      </c>
      <c r="C6" s="5" t="s">
        <v>38</v>
      </c>
      <c r="D6" s="5" t="s">
        <v>65</v>
      </c>
      <c r="E6" s="5" t="str">
        <f>INDEX(Cities_Table[#All], MATCH(C6, Cities_Table[City], 0) + 1, MATCH("Quad", Cities_Table[#Headers], 0))</f>
        <v>SE</v>
      </c>
      <c r="F6" s="5" t="str">
        <f>INDEX(Cities_Table[#All], MATCH(D6, Cities_Table[City], 0) + 1, MATCH("Quad", Cities_Table[#Headers], 0))</f>
        <v>SE</v>
      </c>
      <c r="G6" s="5">
        <v>5</v>
      </c>
      <c r="H6"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6" s="5">
        <f>Ticket_Table[[#This Row],[Ticket_Points]]+Ticket_Table[[#This Row],[Route_Points]]</f>
        <v>11</v>
      </c>
      <c r="J6"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5</v>
      </c>
      <c r="K6" s="7">
        <f>(Ticket_Table[[#This Row],[Ticket_Points]]+Ticket_Table[[#This Row],[Route_Points]])/Ticket_Table[[#This Row],[Route_Length]]</f>
        <v>2.2000000000000002</v>
      </c>
      <c r="L6" s="5">
        <v>10002</v>
      </c>
      <c r="M6" s="5">
        <v>10003</v>
      </c>
      <c r="N6" s="5"/>
      <c r="O6" s="5"/>
      <c r="P6" s="5"/>
      <c r="Q6" s="5"/>
      <c r="R6" s="5"/>
      <c r="S6" s="5"/>
    </row>
    <row r="7" spans="1:19" x14ac:dyDescent="0.2">
      <c r="A7" s="5">
        <v>2004</v>
      </c>
      <c r="B7" s="5" t="str">
        <f>_xlfn.CONCAT(Ticket_Table[[#This Row],[City01]],"-",Ticket_Table[[#This Row],[City02]])</f>
        <v>Sofia-Smyrna</v>
      </c>
      <c r="C7" s="5" t="s">
        <v>36</v>
      </c>
      <c r="D7" s="5" t="s">
        <v>40</v>
      </c>
      <c r="E7" s="5" t="str">
        <f>INDEX(Cities_Table[#All], MATCH(C7, Cities_Table[City], 0) + 1, MATCH("Quad", Cities_Table[#Headers], 0))</f>
        <v>SE</v>
      </c>
      <c r="F7" s="5" t="str">
        <f>INDEX(Cities_Table[#All], MATCH(D7, Cities_Table[City], 0) + 1, MATCH("Quad", Cities_Table[#Headers], 0))</f>
        <v>SE</v>
      </c>
      <c r="G7" s="5">
        <v>5</v>
      </c>
      <c r="H7"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7" s="5">
        <f>Ticket_Table[[#This Row],[Ticket_Points]]+Ticket_Table[[#This Row],[Route_Points]]</f>
        <v>11</v>
      </c>
      <c r="J7"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5</v>
      </c>
      <c r="K7" s="7">
        <f>(Ticket_Table[[#This Row],[Ticket_Points]]+Ticket_Table[[#This Row],[Route_Points]])/Ticket_Table[[#This Row],[Route_Length]]</f>
        <v>2.2000000000000002</v>
      </c>
      <c r="L7" s="11">
        <v>10002</v>
      </c>
      <c r="M7" s="12">
        <v>10003</v>
      </c>
      <c r="N7" s="5"/>
      <c r="O7" s="5"/>
      <c r="P7" s="5"/>
      <c r="Q7" s="5"/>
      <c r="R7" s="5"/>
      <c r="S7" s="5"/>
    </row>
    <row r="8" spans="1:19" x14ac:dyDescent="0.2">
      <c r="A8" s="5">
        <v>2005</v>
      </c>
      <c r="B8" s="5" t="str">
        <f>_xlfn.CONCAT(Ticket_Table[[#This Row],[City01]],"-",Ticket_Table[[#This Row],[City02]])</f>
        <v>Kyiv-Petrograd</v>
      </c>
      <c r="C8" s="5" t="s">
        <v>16</v>
      </c>
      <c r="D8" s="5" t="s">
        <v>32</v>
      </c>
      <c r="E8" s="5" t="str">
        <f>INDEX(Cities_Table[#All], MATCH(C8, Cities_Table[City], 0) + 1, MATCH("Quad", Cities_Table[#Headers], 0))</f>
        <v>NE</v>
      </c>
      <c r="F8" s="5" t="str">
        <f>INDEX(Cities_Table[#All], MATCH(D8, Cities_Table[City], 0) + 1, MATCH("Quad", Cities_Table[#Headers], 0))</f>
        <v>NE</v>
      </c>
      <c r="G8" s="5">
        <v>6</v>
      </c>
      <c r="H8"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9</v>
      </c>
      <c r="I8" s="5">
        <f>Ticket_Table[[#This Row],[Ticket_Points]]+Ticket_Table[[#This Row],[Route_Points]]</f>
        <v>15</v>
      </c>
      <c r="J8"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6</v>
      </c>
      <c r="K8" s="7">
        <f>(Ticket_Table[[#This Row],[Ticket_Points]]+Ticket_Table[[#This Row],[Route_Points]])/Ticket_Table[[#This Row],[Route_Length]]</f>
        <v>2.5</v>
      </c>
      <c r="L8" s="5">
        <v>10002</v>
      </c>
      <c r="M8" s="5">
        <v>10004</v>
      </c>
      <c r="N8" s="5"/>
      <c r="O8" s="5"/>
      <c r="P8" s="5"/>
      <c r="Q8" s="5"/>
      <c r="R8" s="5"/>
      <c r="S8" s="5"/>
    </row>
    <row r="9" spans="1:19" x14ac:dyDescent="0.2">
      <c r="A9" s="5">
        <v>2006</v>
      </c>
      <c r="B9" s="5" t="str">
        <f>_xlfn.CONCAT(Ticket_Table[[#This Row],[City01]],"-",Ticket_Table[[#This Row],[City02]])</f>
        <v>Zurich-Brindisi</v>
      </c>
      <c r="C9" s="5" t="s">
        <v>13</v>
      </c>
      <c r="D9" s="5" t="s">
        <v>49</v>
      </c>
      <c r="E9" s="5" t="str">
        <f>INDEX(Cities_Table[#All], MATCH(C9, Cities_Table[City], 0) + 1, MATCH("Quad", Cities_Table[#Headers], 0))</f>
        <v>SC</v>
      </c>
      <c r="F9" s="5" t="str">
        <f>INDEX(Cities_Table[#All], MATCH(D9, Cities_Table[City], 0) + 1, MATCH("Quad", Cities_Table[#Headers], 0))</f>
        <v>SC</v>
      </c>
      <c r="G9" s="5">
        <v>6</v>
      </c>
      <c r="H9"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9" s="5">
        <f>Ticket_Table[[#This Row],[Ticket_Points]]+Ticket_Table[[#This Row],[Route_Points]]</f>
        <v>12</v>
      </c>
      <c r="J9"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6</v>
      </c>
      <c r="K9" s="7">
        <f>(Ticket_Table[[#This Row],[Ticket_Points]]+Ticket_Table[[#This Row],[Route_Points]])/Ticket_Table[[#This Row],[Route_Length]]</f>
        <v>2</v>
      </c>
      <c r="L9" s="5">
        <v>10002</v>
      </c>
      <c r="M9" s="5">
        <v>10002</v>
      </c>
      <c r="N9" s="5">
        <v>10002</v>
      </c>
      <c r="O9" s="5"/>
      <c r="P9" s="5"/>
      <c r="Q9" s="5"/>
      <c r="R9" s="5"/>
      <c r="S9" s="5"/>
    </row>
    <row r="10" spans="1:19" x14ac:dyDescent="0.2">
      <c r="A10" s="5">
        <v>2007</v>
      </c>
      <c r="B10" s="5" t="str">
        <f>_xlfn.CONCAT(Ticket_Table[[#This Row],[City01]],"-",Ticket_Table[[#This Row],[City02]])</f>
        <v>Zurich-Budapest</v>
      </c>
      <c r="C10" s="5" t="s">
        <v>13</v>
      </c>
      <c r="D10" s="5" t="s">
        <v>17</v>
      </c>
      <c r="E10" s="5" t="str">
        <f>INDEX(Cities_Table[#All], MATCH(C10, Cities_Table[City], 0) + 1, MATCH("Quad", Cities_Table[#Headers], 0))</f>
        <v>SC</v>
      </c>
      <c r="F10" s="5" t="str">
        <f>INDEX(Cities_Table[#All], MATCH(D10, Cities_Table[City], 0) + 1, MATCH("Quad", Cities_Table[#Headers], 0))</f>
        <v>SC</v>
      </c>
      <c r="G10" s="5">
        <v>6</v>
      </c>
      <c r="H10"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7</v>
      </c>
      <c r="I10" s="5">
        <f>Ticket_Table[[#This Row],[Ticket_Points]]+Ticket_Table[[#This Row],[Route_Points]]</f>
        <v>13</v>
      </c>
      <c r="J10"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6</v>
      </c>
      <c r="K10" s="7">
        <f>(Ticket_Table[[#This Row],[Ticket_Points]]+Ticket_Table[[#This Row],[Route_Points]])/Ticket_Table[[#This Row],[Route_Length]]</f>
        <v>2.1666666666666665</v>
      </c>
      <c r="L10" s="5">
        <v>10001</v>
      </c>
      <c r="M10" s="5">
        <v>10002</v>
      </c>
      <c r="N10" s="5">
        <v>10003</v>
      </c>
      <c r="O10" s="5"/>
      <c r="P10" s="5"/>
      <c r="Q10" s="5"/>
      <c r="R10" s="5"/>
      <c r="S10" s="5"/>
    </row>
    <row r="11" spans="1:19" x14ac:dyDescent="0.2">
      <c r="A11" s="5">
        <v>2008</v>
      </c>
      <c r="B11" s="5" t="str">
        <f>_xlfn.CONCAT(Ticket_Table[[#This Row],[City01]],"-",Ticket_Table[[#This Row],[City02]])</f>
        <v>Warszawa-Smolensk</v>
      </c>
      <c r="C11" s="5" t="s">
        <v>19</v>
      </c>
      <c r="D11" s="5" t="s">
        <v>20</v>
      </c>
      <c r="E11" s="5" t="str">
        <f>INDEX(Cities_Table[#All], MATCH(C11, Cities_Table[City], 0) + 1, MATCH("Quad", Cities_Table[#Headers], 0))</f>
        <v>NE</v>
      </c>
      <c r="F11" s="5" t="str">
        <f>INDEX(Cities_Table[#All], MATCH(D11, Cities_Table[City], 0) + 1, MATCH("Quad", Cities_Table[#Headers], 0))</f>
        <v>NE</v>
      </c>
      <c r="G11" s="5">
        <v>6</v>
      </c>
      <c r="H11"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8</v>
      </c>
      <c r="I11" s="5">
        <f>Ticket_Table[[#This Row],[Ticket_Points]]+Ticket_Table[[#This Row],[Route_Points]]</f>
        <v>14</v>
      </c>
      <c r="J11"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6</v>
      </c>
      <c r="K11" s="7">
        <f>(Ticket_Table[[#This Row],[Ticket_Points]]+Ticket_Table[[#This Row],[Route_Points]])/Ticket_Table[[#This Row],[Route_Length]]</f>
        <v>2.3333333333333335</v>
      </c>
      <c r="L11" s="5">
        <v>10003</v>
      </c>
      <c r="M11" s="5">
        <v>10003</v>
      </c>
      <c r="N11" s="5"/>
      <c r="O11" s="5"/>
      <c r="P11" s="5"/>
      <c r="Q11" s="5"/>
      <c r="R11" s="5"/>
      <c r="S11" s="5"/>
    </row>
    <row r="12" spans="1:19" x14ac:dyDescent="0.2">
      <c r="A12" s="5">
        <v>2009</v>
      </c>
      <c r="B12" s="5" t="str">
        <f>_xlfn.CONCAT(Ticket_Table[[#This Row],[City01]],"-",Ticket_Table[[#This Row],[City02]])</f>
        <v>Zagrab-Brindisi</v>
      </c>
      <c r="C12" s="5" t="s">
        <v>26</v>
      </c>
      <c r="D12" s="5" t="s">
        <v>49</v>
      </c>
      <c r="E12" s="5" t="str">
        <f>INDEX(Cities_Table[#All], MATCH(C12, Cities_Table[City], 0) + 1, MATCH("Quad", Cities_Table[#Headers], 0))</f>
        <v>SC</v>
      </c>
      <c r="F12" s="5" t="str">
        <f>INDEX(Cities_Table[#All], MATCH(D12, Cities_Table[City], 0) + 1, MATCH("Quad", Cities_Table[#Headers], 0))</f>
        <v>SC</v>
      </c>
      <c r="G12" s="5">
        <v>6</v>
      </c>
      <c r="H12"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6</v>
      </c>
      <c r="I12" s="5">
        <f>Ticket_Table[[#This Row],[Ticket_Points]]+Ticket_Table[[#This Row],[Route_Points]]</f>
        <v>12</v>
      </c>
      <c r="J12"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6</v>
      </c>
      <c r="K12" s="7">
        <f>(Ticket_Table[[#This Row],[Ticket_Points]]+Ticket_Table[[#This Row],[Route_Points]])/Ticket_Table[[#This Row],[Route_Length]]</f>
        <v>2</v>
      </c>
      <c r="L12" s="5">
        <v>10002</v>
      </c>
      <c r="M12" s="5">
        <v>10002</v>
      </c>
      <c r="N12" s="5">
        <v>10002</v>
      </c>
      <c r="O12" s="5"/>
      <c r="P12" s="5"/>
      <c r="Q12" s="5"/>
      <c r="R12" s="5"/>
      <c r="S12" s="5"/>
    </row>
    <row r="13" spans="1:19" x14ac:dyDescent="0.2">
      <c r="A13" s="5">
        <v>2010</v>
      </c>
      <c r="B13" s="5" t="str">
        <f>_xlfn.CONCAT(Ticket_Table[[#This Row],[City01]],"-",Ticket_Table[[#This Row],[City02]])</f>
        <v>Paris-Zagrab</v>
      </c>
      <c r="C13" s="5" t="s">
        <v>11</v>
      </c>
      <c r="D13" s="5" t="s">
        <v>26</v>
      </c>
      <c r="E13" s="5" t="str">
        <f>INDEX(Cities_Table[#All], MATCH(C13, Cities_Table[City], 0) + 1, MATCH("Quad", Cities_Table[#Headers], 0))</f>
        <v>NW</v>
      </c>
      <c r="F13" s="5" t="str">
        <f>INDEX(Cities_Table[#All], MATCH(D13, Cities_Table[City], 0) + 1, MATCH("Quad", Cities_Table[#Headers], 0))</f>
        <v>SC</v>
      </c>
      <c r="G13" s="5">
        <v>7</v>
      </c>
      <c r="H13"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8</v>
      </c>
      <c r="I13" s="5">
        <f>Ticket_Table[[#This Row],[Ticket_Points]]+Ticket_Table[[#This Row],[Route_Points]]</f>
        <v>15</v>
      </c>
      <c r="J13"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7</v>
      </c>
      <c r="K13" s="7">
        <f>(Ticket_Table[[#This Row],[Ticket_Points]]+Ticket_Table[[#This Row],[Route_Points]])/Ticket_Table[[#This Row],[Route_Length]]</f>
        <v>2.1428571428571428</v>
      </c>
      <c r="L13" s="5">
        <v>10002</v>
      </c>
      <c r="M13" s="5">
        <v>10002</v>
      </c>
      <c r="N13" s="5">
        <v>10003</v>
      </c>
      <c r="O13" s="5"/>
      <c r="P13" s="5"/>
      <c r="Q13" s="5"/>
      <c r="R13" s="5"/>
      <c r="S13" s="5"/>
    </row>
    <row r="14" spans="1:19" x14ac:dyDescent="0.2">
      <c r="A14" s="5">
        <v>2011</v>
      </c>
      <c r="B14" s="5" t="str">
        <f>_xlfn.CONCAT(Ticket_Table[[#This Row],[City01]],"-",Ticket_Table[[#This Row],[City02]])</f>
        <v>Brest-Marseille</v>
      </c>
      <c r="C14" s="5" t="s">
        <v>9</v>
      </c>
      <c r="D14" s="5" t="s">
        <v>14</v>
      </c>
      <c r="E14" s="5" t="str">
        <f>INDEX(Cities_Table[#All], MATCH(C14, Cities_Table[City], 0) + 1, MATCH("Quad", Cities_Table[#Headers], 0))</f>
        <v>NW</v>
      </c>
      <c r="F14" s="5" t="str">
        <f>INDEX(Cities_Table[#All], MATCH(D14, Cities_Table[City], 0) + 1, MATCH("Quad", Cities_Table[#Headers], 0))</f>
        <v>SC</v>
      </c>
      <c r="G14" s="5">
        <v>7</v>
      </c>
      <c r="H14"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14" s="5">
        <f>Ticket_Table[[#This Row],[Ticket_Points]]+Ticket_Table[[#This Row],[Route_Points]]</f>
        <v>18</v>
      </c>
      <c r="J14"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7</v>
      </c>
      <c r="K14" s="7">
        <f>(Ticket_Table[[#This Row],[Ticket_Points]]+Ticket_Table[[#This Row],[Route_Points]])/Ticket_Table[[#This Row],[Route_Length]]</f>
        <v>2.5714285714285716</v>
      </c>
      <c r="L14" s="5">
        <v>10003</v>
      </c>
      <c r="M14" s="5">
        <v>10004</v>
      </c>
      <c r="N14" s="5"/>
      <c r="O14" s="5"/>
      <c r="P14" s="5"/>
      <c r="Q14" s="5"/>
      <c r="R14" s="5"/>
      <c r="S14" s="5"/>
    </row>
    <row r="15" spans="1:19" x14ac:dyDescent="0.2">
      <c r="A15" s="5">
        <v>2012</v>
      </c>
      <c r="B15" s="5" t="str">
        <f>_xlfn.CONCAT(Ticket_Table[[#This Row],[City01]],"-",Ticket_Table[[#This Row],[City02]])</f>
        <v>London-Berlin</v>
      </c>
      <c r="C15" s="5" t="s">
        <v>6</v>
      </c>
      <c r="D15" s="5" t="s">
        <v>22</v>
      </c>
      <c r="E15" s="5" t="str">
        <f>INDEX(Cities_Table[#All], MATCH(C15, Cities_Table[City], 0) + 1, MATCH("Quad", Cities_Table[#Headers], 0))</f>
        <v>NW</v>
      </c>
      <c r="F15" s="5" t="str">
        <f>INDEX(Cities_Table[#All], MATCH(D15, Cities_Table[City], 0) + 1, MATCH("Quad", Cities_Table[#Headers], 0))</f>
        <v>NE</v>
      </c>
      <c r="G15" s="5">
        <v>7</v>
      </c>
      <c r="H15"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8</v>
      </c>
      <c r="I15" s="5">
        <f>Ticket_Table[[#This Row],[Ticket_Points]]+Ticket_Table[[#This Row],[Route_Points]]</f>
        <v>15</v>
      </c>
      <c r="J15"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7</v>
      </c>
      <c r="K15" s="7">
        <f>(Ticket_Table[[#This Row],[Ticket_Points]]+Ticket_Table[[#This Row],[Route_Points]])/Ticket_Table[[#This Row],[Route_Length]]</f>
        <v>2.1428571428571428</v>
      </c>
      <c r="L15" s="5">
        <v>10002</v>
      </c>
      <c r="M15" s="5">
        <v>10002</v>
      </c>
      <c r="N15" s="5">
        <v>10003</v>
      </c>
      <c r="O15" s="5"/>
      <c r="P15" s="5"/>
      <c r="Q15" s="5"/>
      <c r="R15" s="5"/>
      <c r="S15" s="5"/>
    </row>
    <row r="16" spans="1:19" x14ac:dyDescent="0.2">
      <c r="A16" s="5">
        <v>2013</v>
      </c>
      <c r="B16" s="5" t="str">
        <f>_xlfn.CONCAT(Ticket_Table[[#This Row],[City01]],"-",Ticket_Table[[#This Row],[City02]])</f>
        <v>Edinburgh-Paris</v>
      </c>
      <c r="C16" s="5" t="s">
        <v>5</v>
      </c>
      <c r="D16" s="5" t="s">
        <v>11</v>
      </c>
      <c r="E16" s="5" t="str">
        <f>INDEX(Cities_Table[#All], MATCH(C16, Cities_Table[City], 0) + 1, MATCH("Quad", Cities_Table[#Headers], 0))</f>
        <v>NW</v>
      </c>
      <c r="F16" s="5" t="str">
        <f>INDEX(Cities_Table[#All], MATCH(D16, Cities_Table[City], 0) + 1, MATCH("Quad", Cities_Table[#Headers], 0))</f>
        <v>NW</v>
      </c>
      <c r="G16" s="5">
        <v>7</v>
      </c>
      <c r="H16"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10</v>
      </c>
      <c r="I16" s="5">
        <f>Ticket_Table[[#This Row],[Ticket_Points]]+Ticket_Table[[#This Row],[Route_Points]]</f>
        <v>17</v>
      </c>
      <c r="J16"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7</v>
      </c>
      <c r="K16" s="7">
        <f>(Ticket_Table[[#This Row],[Ticket_Points]]+Ticket_Table[[#This Row],[Route_Points]])/Ticket_Table[[#This Row],[Route_Length]]</f>
        <v>2.4285714285714284</v>
      </c>
      <c r="L16" s="5">
        <v>10001</v>
      </c>
      <c r="M16" s="5">
        <v>10002</v>
      </c>
      <c r="N16" s="5">
        <v>10004</v>
      </c>
      <c r="O16" s="5"/>
      <c r="P16" s="5"/>
      <c r="Q16" s="5"/>
      <c r="R16" s="5"/>
      <c r="S16" s="5"/>
    </row>
    <row r="17" spans="1:19" x14ac:dyDescent="0.2">
      <c r="A17" s="5">
        <v>2014</v>
      </c>
      <c r="B17" s="5" t="str">
        <f>_xlfn.CONCAT(Ticket_Table[[#This Row],[City01]],"-",Ticket_Table[[#This Row],[City02]])</f>
        <v>Amsterdam-Pamplona</v>
      </c>
      <c r="C17" s="5" t="s">
        <v>7</v>
      </c>
      <c r="D17" s="5" t="s">
        <v>15</v>
      </c>
      <c r="E17" s="5" t="str">
        <f>INDEX(Cities_Table[#All], MATCH(C17, Cities_Table[City], 0) + 1, MATCH("Quad", Cities_Table[#Headers], 0))</f>
        <v>NW</v>
      </c>
      <c r="F17" s="5" t="str">
        <f>INDEX(Cities_Table[#All], MATCH(D17, Cities_Table[City], 0) + 1, MATCH("Quad", Cities_Table[#Headers], 0))</f>
        <v>SW</v>
      </c>
      <c r="G17" s="5">
        <v>7</v>
      </c>
      <c r="H17"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10</v>
      </c>
      <c r="I17" s="5">
        <f>Ticket_Table[[#This Row],[Ticket_Points]]+Ticket_Table[[#This Row],[Route_Points]]</f>
        <v>17</v>
      </c>
      <c r="J17"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7</v>
      </c>
      <c r="K17" s="7">
        <f>(Ticket_Table[[#This Row],[Ticket_Points]]+Ticket_Table[[#This Row],[Route_Points]])/Ticket_Table[[#This Row],[Route_Length]]</f>
        <v>2.4285714285714284</v>
      </c>
      <c r="L17" s="5">
        <v>10001</v>
      </c>
      <c r="M17" s="5">
        <v>10002</v>
      </c>
      <c r="N17" s="5">
        <v>10004</v>
      </c>
      <c r="O17" s="5"/>
      <c r="P17" s="5"/>
      <c r="Q17" s="5"/>
      <c r="R17" s="5"/>
      <c r="S17" s="5"/>
    </row>
    <row r="18" spans="1:19" x14ac:dyDescent="0.2">
      <c r="A18" s="5">
        <v>2015</v>
      </c>
      <c r="B18" s="5" t="str">
        <f>_xlfn.CONCAT(Ticket_Table[[#This Row],[City01]],"-",Ticket_Table[[#This Row],[City02]])</f>
        <v>Roma-Smyrna</v>
      </c>
      <c r="C18" s="5" t="s">
        <v>29</v>
      </c>
      <c r="D18" s="5" t="s">
        <v>40</v>
      </c>
      <c r="E18" s="5" t="str">
        <f>INDEX(Cities_Table[#All], MATCH(C18, Cities_Table[City], 0) + 1, MATCH("Quad", Cities_Table[#Headers], 0))</f>
        <v>SC</v>
      </c>
      <c r="F18" s="5" t="str">
        <f>INDEX(Cities_Table[#All], MATCH(D18, Cities_Table[City], 0) + 1, MATCH("Quad", Cities_Table[#Headers], 0))</f>
        <v>SE</v>
      </c>
      <c r="G18" s="5">
        <v>8</v>
      </c>
      <c r="H18"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18" s="5">
        <f>Ticket_Table[[#This Row],[Ticket_Points]]+Ticket_Table[[#This Row],[Route_Points]]</f>
        <v>19</v>
      </c>
      <c r="J18"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18" s="7">
        <f>(Ticket_Table[[#This Row],[Ticket_Points]]+Ticket_Table[[#This Row],[Route_Points]])/Ticket_Table[[#This Row],[Route_Length]]</f>
        <v>2.375</v>
      </c>
      <c r="L18" s="5">
        <v>10002</v>
      </c>
      <c r="M18" s="5">
        <v>10002</v>
      </c>
      <c r="N18" s="5">
        <v>10004</v>
      </c>
      <c r="O18" s="5"/>
      <c r="P18" s="5"/>
      <c r="Q18" s="5"/>
      <c r="R18" s="5"/>
      <c r="S18" s="5"/>
    </row>
    <row r="19" spans="1:19" x14ac:dyDescent="0.2">
      <c r="A19" s="5">
        <v>2016</v>
      </c>
      <c r="B19" s="5" t="str">
        <f>_xlfn.CONCAT(Ticket_Table[[#This Row],[City01]],"-",Ticket_Table[[#This Row],[City02]])</f>
        <v>Palermo-Constantinople</v>
      </c>
      <c r="C19" s="5" t="s">
        <v>48</v>
      </c>
      <c r="D19" s="5" t="s">
        <v>35</v>
      </c>
      <c r="E19" s="5" t="str">
        <f>INDEX(Cities_Table[#All], MATCH(C19, Cities_Table[City], 0) + 1, MATCH("Quad", Cities_Table[#Headers], 0))</f>
        <v>SC</v>
      </c>
      <c r="F19" s="5" t="str">
        <f>INDEX(Cities_Table[#All], MATCH(D19, Cities_Table[City], 0) + 1, MATCH("Quad", Cities_Table[#Headers], 0))</f>
        <v>SE</v>
      </c>
      <c r="G19" s="5">
        <v>8</v>
      </c>
      <c r="H19"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17</v>
      </c>
      <c r="I19" s="5">
        <f>Ticket_Table[[#This Row],[Ticket_Points]]+Ticket_Table[[#This Row],[Route_Points]]</f>
        <v>25</v>
      </c>
      <c r="J19"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19" s="7">
        <f>(Ticket_Table[[#This Row],[Ticket_Points]]+Ticket_Table[[#This Row],[Route_Points]])/Ticket_Table[[#This Row],[Route_Length]]</f>
        <v>3.125</v>
      </c>
      <c r="L19" s="5">
        <v>10002</v>
      </c>
      <c r="M19" s="5">
        <v>10005</v>
      </c>
      <c r="N19" s="5"/>
      <c r="O19" s="5"/>
      <c r="P19" s="5"/>
      <c r="Q19" s="5"/>
      <c r="R19" s="5"/>
      <c r="S19" s="5"/>
    </row>
    <row r="20" spans="1:19" x14ac:dyDescent="0.2">
      <c r="A20" s="5">
        <v>2017</v>
      </c>
      <c r="B20" s="5" t="str">
        <f>_xlfn.CONCAT(Ticket_Table[[#This Row],[City01]],"-",Ticket_Table[[#This Row],[City02]])</f>
        <v>Sarajevo-Sevastopol</v>
      </c>
      <c r="C20" s="5" t="s">
        <v>30</v>
      </c>
      <c r="D20" s="5" t="s">
        <v>34</v>
      </c>
      <c r="E20" s="5" t="str">
        <f>INDEX(Cities_Table[#All], MATCH(C20, Cities_Table[City], 0) + 1, MATCH("Quad", Cities_Table[#Headers], 0))</f>
        <v>SC</v>
      </c>
      <c r="F20" s="5" t="str">
        <f>INDEX(Cities_Table[#All], MATCH(D20, Cities_Table[City], 0) + 1, MATCH("Quad", Cities_Table[#Headers], 0))</f>
        <v>SE</v>
      </c>
      <c r="G20" s="5">
        <v>8</v>
      </c>
      <c r="H20"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20" s="5">
        <f>Ticket_Table[[#This Row],[Ticket_Points]]+Ticket_Table[[#This Row],[Route_Points]]</f>
        <v>19</v>
      </c>
      <c r="J20"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0" s="7">
        <f>(Ticket_Table[[#This Row],[Ticket_Points]]+Ticket_Table[[#This Row],[Route_Points]])/Ticket_Table[[#This Row],[Route_Length]]</f>
        <v>2.375</v>
      </c>
      <c r="L20" s="5">
        <v>10002</v>
      </c>
      <c r="M20" s="5">
        <v>10002</v>
      </c>
      <c r="N20" s="5">
        <v>10004</v>
      </c>
      <c r="O20" s="5"/>
      <c r="P20" s="5"/>
      <c r="Q20" s="5"/>
      <c r="R20" s="5"/>
      <c r="S20" s="5"/>
    </row>
    <row r="21" spans="1:19" x14ac:dyDescent="0.2">
      <c r="A21" s="5">
        <v>2018</v>
      </c>
      <c r="B21" s="5" t="str">
        <f>_xlfn.CONCAT(Ticket_Table[[#This Row],[City01]],"-",Ticket_Table[[#This Row],[City02]])</f>
        <v>Madrid-Dieppe</v>
      </c>
      <c r="C21" s="5" t="s">
        <v>27</v>
      </c>
      <c r="D21" s="5" t="s">
        <v>8</v>
      </c>
      <c r="E21" s="5" t="str">
        <f>INDEX(Cities_Table[#All], MATCH(C21, Cities_Table[City], 0) + 1, MATCH("Quad", Cities_Table[#Headers], 0))</f>
        <v>SW</v>
      </c>
      <c r="F21" s="5" t="str">
        <f>INDEX(Cities_Table[#All], MATCH(D21, Cities_Table[City], 0) + 1, MATCH("Quad", Cities_Table[#Headers], 0))</f>
        <v>NW</v>
      </c>
      <c r="G21" s="5">
        <v>8</v>
      </c>
      <c r="H21"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12</v>
      </c>
      <c r="I21" s="5">
        <f>Ticket_Table[[#This Row],[Ticket_Points]]+Ticket_Table[[#This Row],[Route_Points]]</f>
        <v>20</v>
      </c>
      <c r="J21"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1" s="7">
        <f>(Ticket_Table[[#This Row],[Ticket_Points]]+Ticket_Table[[#This Row],[Route_Points]])/Ticket_Table[[#This Row],[Route_Length]]</f>
        <v>2.5</v>
      </c>
      <c r="L21" s="5">
        <v>10001</v>
      </c>
      <c r="M21" s="5">
        <v>10003</v>
      </c>
      <c r="N21" s="5">
        <v>10004</v>
      </c>
      <c r="O21" s="5"/>
      <c r="P21" s="5"/>
      <c r="Q21" s="5"/>
      <c r="R21" s="5"/>
      <c r="S21" s="5"/>
    </row>
    <row r="22" spans="1:19" x14ac:dyDescent="0.2">
      <c r="A22" s="5">
        <v>2019</v>
      </c>
      <c r="B22" s="5" t="str">
        <f>_xlfn.CONCAT(Ticket_Table[[#This Row],[City01]],"-",Ticket_Table[[#This Row],[City02]])</f>
        <v>Barcelona-Bruxelles</v>
      </c>
      <c r="C22" s="5" t="s">
        <v>28</v>
      </c>
      <c r="D22" s="5" t="s">
        <v>10</v>
      </c>
      <c r="E22" s="5" t="str">
        <f>INDEX(Cities_Table[#All], MATCH(C22, Cities_Table[City], 0) + 1, MATCH("Quad", Cities_Table[#Headers], 0))</f>
        <v>SW</v>
      </c>
      <c r="F22" s="5" t="str">
        <f>INDEX(Cities_Table[#All], MATCH(D22, Cities_Table[City], 0) + 1, MATCH("Quad", Cities_Table[#Headers], 0))</f>
        <v>NW</v>
      </c>
      <c r="G22" s="5">
        <v>8</v>
      </c>
      <c r="H22"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22" s="5">
        <f>Ticket_Table[[#This Row],[Ticket_Points]]+Ticket_Table[[#This Row],[Route_Points]]</f>
        <v>19</v>
      </c>
      <c r="J22"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2" s="7">
        <f>(Ticket_Table[[#This Row],[Ticket_Points]]+Ticket_Table[[#This Row],[Route_Points]])/Ticket_Table[[#This Row],[Route_Length]]</f>
        <v>2.375</v>
      </c>
      <c r="L22" s="5">
        <v>10002</v>
      </c>
      <c r="M22" s="5">
        <v>10002</v>
      </c>
      <c r="N22" s="5">
        <v>10004</v>
      </c>
      <c r="O22" s="5"/>
      <c r="P22" s="5"/>
      <c r="Q22" s="5"/>
      <c r="R22" s="5"/>
      <c r="S22" s="5"/>
    </row>
    <row r="23" spans="1:19" x14ac:dyDescent="0.2">
      <c r="A23" s="5">
        <v>2020</v>
      </c>
      <c r="B23" s="5" t="str">
        <f>_xlfn.CONCAT(Ticket_Table[[#This Row],[City01]],"-",Ticket_Table[[#This Row],[City02]])</f>
        <v>Paris-Wien</v>
      </c>
      <c r="C23" s="5" t="s">
        <v>11</v>
      </c>
      <c r="D23" s="5" t="s">
        <v>25</v>
      </c>
      <c r="E23" s="5" t="str">
        <f>INDEX(Cities_Table[#All], MATCH(C23, Cities_Table[City], 0) + 1, MATCH("Quad", Cities_Table[#Headers], 0))</f>
        <v>NW</v>
      </c>
      <c r="F23" s="5" t="str">
        <f>INDEX(Cities_Table[#All], MATCH(D23, Cities_Table[City], 0) + 1, MATCH("Quad", Cities_Table[#Headers], 0))</f>
        <v>SC</v>
      </c>
      <c r="G23" s="5">
        <v>8</v>
      </c>
      <c r="H23"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10</v>
      </c>
      <c r="I23" s="5">
        <f>Ticket_Table[[#This Row],[Ticket_Points]]+Ticket_Table[[#This Row],[Route_Points]]</f>
        <v>18</v>
      </c>
      <c r="J23"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3" s="7">
        <f>(Ticket_Table[[#This Row],[Ticket_Points]]+Ticket_Table[[#This Row],[Route_Points]])/Ticket_Table[[#This Row],[Route_Length]]</f>
        <v>2.25</v>
      </c>
      <c r="L23" s="5">
        <v>10002</v>
      </c>
      <c r="M23" s="5">
        <v>10003</v>
      </c>
      <c r="N23" s="5">
        <v>10003</v>
      </c>
      <c r="O23" s="5"/>
      <c r="P23" s="5"/>
      <c r="Q23" s="5"/>
      <c r="R23" s="5"/>
      <c r="S23" s="5"/>
    </row>
    <row r="24" spans="1:19" x14ac:dyDescent="0.2">
      <c r="A24" s="5">
        <v>2021</v>
      </c>
      <c r="B24" s="5" t="str">
        <f>_xlfn.CONCAT(Ticket_Table[[#This Row],[City01]],"-",Ticket_Table[[#This Row],[City02]])</f>
        <v>Barcelona-Munchen</v>
      </c>
      <c r="C24" s="5" t="s">
        <v>28</v>
      </c>
      <c r="D24" s="5" t="s">
        <v>23</v>
      </c>
      <c r="E24" s="5" t="str">
        <f>INDEX(Cities_Table[#All], MATCH(C24, Cities_Table[City], 0) + 1, MATCH("Quad", Cities_Table[#Headers], 0))</f>
        <v>SW</v>
      </c>
      <c r="F24" s="5" t="str">
        <f>INDEX(Cities_Table[#All], MATCH(D24, Cities_Table[City], 0) + 1, MATCH("Quad", Cities_Table[#Headers], 0))</f>
        <v>NC</v>
      </c>
      <c r="G24" s="5">
        <v>8</v>
      </c>
      <c r="H24"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24" s="5">
        <f>Ticket_Table[[#This Row],[Ticket_Points]]+Ticket_Table[[#This Row],[Route_Points]]</f>
        <v>19</v>
      </c>
      <c r="J24"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4" s="7">
        <f>(Ticket_Table[[#This Row],[Ticket_Points]]+Ticket_Table[[#This Row],[Route_Points]])/Ticket_Table[[#This Row],[Route_Length]]</f>
        <v>2.375</v>
      </c>
      <c r="L24" s="5">
        <v>10002</v>
      </c>
      <c r="M24" s="5">
        <v>10002</v>
      </c>
      <c r="N24" s="5">
        <v>10004</v>
      </c>
      <c r="O24" s="5"/>
      <c r="P24" s="5"/>
      <c r="Q24" s="5"/>
      <c r="R24" s="5"/>
      <c r="S24" s="5"/>
    </row>
    <row r="25" spans="1:19" x14ac:dyDescent="0.2">
      <c r="A25" s="5">
        <v>2022</v>
      </c>
      <c r="B25" s="5" t="str">
        <f>_xlfn.CONCAT(Ticket_Table[[#This Row],[City01]],"-",Ticket_Table[[#This Row],[City02]])</f>
        <v>Brest-Venezia</v>
      </c>
      <c r="C25" s="5" t="s">
        <v>9</v>
      </c>
      <c r="D25" s="5" t="s">
        <v>46</v>
      </c>
      <c r="E25" s="5" t="str">
        <f>INDEX(Cities_Table[#All], MATCH(C25, Cities_Table[City], 0) + 1, MATCH("Quad", Cities_Table[#Headers], 0))</f>
        <v>NW</v>
      </c>
      <c r="F25" s="5" t="str">
        <f>INDEX(Cities_Table[#All], MATCH(D25, Cities_Table[City], 0) + 1, MATCH("Quad", Cities_Table[#Headers], 0))</f>
        <v>SC</v>
      </c>
      <c r="G25" s="5">
        <v>8</v>
      </c>
      <c r="H25"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10</v>
      </c>
      <c r="I25" s="5">
        <f>Ticket_Table[[#This Row],[Ticket_Points]]+Ticket_Table[[#This Row],[Route_Points]]</f>
        <v>18</v>
      </c>
      <c r="J25"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5" s="7">
        <f>(Ticket_Table[[#This Row],[Ticket_Points]]+Ticket_Table[[#This Row],[Route_Points]])/Ticket_Table[[#This Row],[Route_Length]]</f>
        <v>2.25</v>
      </c>
      <c r="L25" s="5">
        <v>10002</v>
      </c>
      <c r="M25" s="5">
        <v>10003</v>
      </c>
      <c r="N25" s="5">
        <v>10003</v>
      </c>
      <c r="O25" s="5"/>
      <c r="P25" s="5"/>
      <c r="Q25" s="5"/>
      <c r="R25" s="5"/>
      <c r="S25" s="5"/>
    </row>
    <row r="26" spans="1:19" x14ac:dyDescent="0.2">
      <c r="A26" s="5">
        <v>2023</v>
      </c>
      <c r="B26" s="5" t="str">
        <f>_xlfn.CONCAT(Ticket_Table[[#This Row],[City01]],"-",Ticket_Table[[#This Row],[City02]])</f>
        <v>Smolensk-Rostov</v>
      </c>
      <c r="C26" s="5" t="s">
        <v>20</v>
      </c>
      <c r="D26" s="5" t="s">
        <v>38</v>
      </c>
      <c r="E26" s="5" t="str">
        <f>INDEX(Cities_Table[#All], MATCH(C26, Cities_Table[City], 0) + 1, MATCH("Quad", Cities_Table[#Headers], 0))</f>
        <v>NE</v>
      </c>
      <c r="F26" s="5" t="str">
        <f>INDEX(Cities_Table[#All], MATCH(D26, Cities_Table[City], 0) + 1, MATCH("Quad", Cities_Table[#Headers], 0))</f>
        <v>SE</v>
      </c>
      <c r="G26" s="5">
        <v>8</v>
      </c>
      <c r="H26"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26" s="5">
        <f>Ticket_Table[[#This Row],[Ticket_Points]]+Ticket_Table[[#This Row],[Route_Points]]</f>
        <v>19</v>
      </c>
      <c r="J26"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6" s="7">
        <f>(Ticket_Table[[#This Row],[Ticket_Points]]+Ticket_Table[[#This Row],[Route_Points]])/Ticket_Table[[#This Row],[Route_Length]]</f>
        <v>2.375</v>
      </c>
      <c r="L26" s="5">
        <v>10002</v>
      </c>
      <c r="M26" s="5">
        <v>10002</v>
      </c>
      <c r="N26" s="5">
        <v>10004</v>
      </c>
      <c r="O26" s="5"/>
      <c r="P26" s="5"/>
      <c r="Q26" s="5"/>
      <c r="R26" s="5"/>
      <c r="S26" s="5"/>
    </row>
    <row r="27" spans="1:19" x14ac:dyDescent="0.2">
      <c r="A27" s="5">
        <v>2024</v>
      </c>
      <c r="B27" s="5" t="str">
        <f>_xlfn.CONCAT(Ticket_Table[[#This Row],[City01]],"-",Ticket_Table[[#This Row],[City02]])</f>
        <v>Marseille-Essen</v>
      </c>
      <c r="C27" s="5" t="s">
        <v>14</v>
      </c>
      <c r="D27" s="5" t="s">
        <v>24</v>
      </c>
      <c r="E27" s="5" t="str">
        <f>INDEX(Cities_Table[#All], MATCH(C27, Cities_Table[City], 0) + 1, MATCH("Quad", Cities_Table[#Headers], 0))</f>
        <v>SC</v>
      </c>
      <c r="F27" s="5" t="str">
        <f>INDEX(Cities_Table[#All], MATCH(D27, Cities_Table[City], 0) + 1, MATCH("Quad", Cities_Table[#Headers], 0))</f>
        <v>NC</v>
      </c>
      <c r="G27" s="5">
        <v>8</v>
      </c>
      <c r="H27"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8</v>
      </c>
      <c r="I27" s="5">
        <f>Ticket_Table[[#This Row],[Ticket_Points]]+Ticket_Table[[#This Row],[Route_Points]]</f>
        <v>16</v>
      </c>
      <c r="J27"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7" s="7">
        <f>(Ticket_Table[[#This Row],[Ticket_Points]]+Ticket_Table[[#This Row],[Route_Points]])/Ticket_Table[[#This Row],[Route_Length]]</f>
        <v>2</v>
      </c>
      <c r="L27" s="5">
        <v>10002</v>
      </c>
      <c r="M27" s="5">
        <v>10002</v>
      </c>
      <c r="N27" s="5">
        <v>10002</v>
      </c>
      <c r="O27" s="5">
        <v>10002</v>
      </c>
      <c r="P27" s="5"/>
      <c r="Q27" s="5"/>
      <c r="R27" s="5"/>
      <c r="S27" s="5"/>
    </row>
    <row r="28" spans="1:19" x14ac:dyDescent="0.2">
      <c r="A28" s="5">
        <v>2025</v>
      </c>
      <c r="B28" s="5" t="str">
        <f>_xlfn.CONCAT(Ticket_Table[[#This Row],[City01]],"-",Ticket_Table[[#This Row],[City02]])</f>
        <v>Kyiv-Sochi</v>
      </c>
      <c r="C28" s="5" t="s">
        <v>16</v>
      </c>
      <c r="D28" s="5" t="s">
        <v>39</v>
      </c>
      <c r="E28" s="5" t="str">
        <f>INDEX(Cities_Table[#All], MATCH(C28, Cities_Table[City], 0) + 1, MATCH("Quad", Cities_Table[#Headers], 0))</f>
        <v>NE</v>
      </c>
      <c r="F28" s="5" t="str">
        <f>INDEX(Cities_Table[#All], MATCH(D28, Cities_Table[City], 0) + 1, MATCH("Quad", Cities_Table[#Headers], 0))</f>
        <v>SE</v>
      </c>
      <c r="G28" s="5">
        <v>8</v>
      </c>
      <c r="H28"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28" s="5">
        <f>Ticket_Table[[#This Row],[Ticket_Points]]+Ticket_Table[[#This Row],[Route_Points]]</f>
        <v>19</v>
      </c>
      <c r="J28"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8" s="7">
        <f>(Ticket_Table[[#This Row],[Ticket_Points]]+Ticket_Table[[#This Row],[Route_Points]])/Ticket_Table[[#This Row],[Route_Length]]</f>
        <v>2.375</v>
      </c>
      <c r="L28" s="5">
        <v>10002</v>
      </c>
      <c r="M28" s="5">
        <v>10002</v>
      </c>
      <c r="N28" s="5">
        <v>10004</v>
      </c>
      <c r="O28" s="5"/>
      <c r="P28" s="5"/>
      <c r="Q28" s="5"/>
      <c r="R28" s="5"/>
      <c r="S28" s="5"/>
    </row>
    <row r="29" spans="1:19" x14ac:dyDescent="0.2">
      <c r="A29" s="5">
        <v>2026</v>
      </c>
      <c r="B29" s="5" t="str">
        <f>_xlfn.CONCAT(Ticket_Table[[#This Row],[City01]],"-",Ticket_Table[[#This Row],[City02]])</f>
        <v>Madrid-Zurich</v>
      </c>
      <c r="C29" s="5" t="s">
        <v>27</v>
      </c>
      <c r="D29" s="5" t="s">
        <v>13</v>
      </c>
      <c r="E29" s="5" t="str">
        <f>INDEX(Cities_Table[#All], MATCH(C29, Cities_Table[City], 0) + 1, MATCH("Quad", Cities_Table[#Headers], 0))</f>
        <v>SW</v>
      </c>
      <c r="F29" s="5" t="str">
        <f>INDEX(Cities_Table[#All], MATCH(D29, Cities_Table[City], 0) + 1, MATCH("Quad", Cities_Table[#Headers], 0))</f>
        <v>SC</v>
      </c>
      <c r="G29" s="5">
        <v>8</v>
      </c>
      <c r="H29"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11</v>
      </c>
      <c r="I29" s="5">
        <f>Ticket_Table[[#This Row],[Ticket_Points]]+Ticket_Table[[#This Row],[Route_Points]]</f>
        <v>19</v>
      </c>
      <c r="J29"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29" s="7">
        <f>(Ticket_Table[[#This Row],[Ticket_Points]]+Ticket_Table[[#This Row],[Route_Points]])/Ticket_Table[[#This Row],[Route_Length]]</f>
        <v>2.375</v>
      </c>
      <c r="L29" s="5">
        <v>10002</v>
      </c>
      <c r="M29" s="5">
        <v>10002</v>
      </c>
      <c r="N29" s="5">
        <v>10004</v>
      </c>
      <c r="O29" s="5"/>
      <c r="P29" s="5"/>
      <c r="Q29" s="5"/>
      <c r="R29" s="5"/>
      <c r="S29" s="5"/>
    </row>
    <row r="30" spans="1:19" x14ac:dyDescent="0.2">
      <c r="A30" s="5">
        <v>2027</v>
      </c>
      <c r="B30" s="5" t="str">
        <f>_xlfn.CONCAT(Ticket_Table[[#This Row],[City01]],"-",Ticket_Table[[#This Row],[City02]])</f>
        <v>Berlin-Bucresti</v>
      </c>
      <c r="C30" s="5" t="s">
        <v>22</v>
      </c>
      <c r="D30" s="5" t="s">
        <v>18</v>
      </c>
      <c r="E30" s="5" t="str">
        <f>INDEX(Cities_Table[#All], MATCH(C30, Cities_Table[City], 0) + 1, MATCH("Quad", Cities_Table[#Headers], 0))</f>
        <v>NE</v>
      </c>
      <c r="F30" s="5" t="str">
        <f>INDEX(Cities_Table[#All], MATCH(D30, Cities_Table[City], 0) + 1, MATCH("Quad", Cities_Table[#Headers], 0))</f>
        <v>SE</v>
      </c>
      <c r="G30" s="5">
        <v>8</v>
      </c>
      <c r="H30"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12</v>
      </c>
      <c r="I30" s="5">
        <f>Ticket_Table[[#This Row],[Ticket_Points]]+Ticket_Table[[#This Row],[Route_Points]]</f>
        <v>20</v>
      </c>
      <c r="J30"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8</v>
      </c>
      <c r="K30" s="7">
        <f>(Ticket_Table[[#This Row],[Ticket_Points]]+Ticket_Table[[#This Row],[Route_Points]])/Ticket_Table[[#This Row],[Route_Length]]</f>
        <v>2.5</v>
      </c>
      <c r="L30" s="5">
        <v>10001</v>
      </c>
      <c r="M30" s="5">
        <v>10003</v>
      </c>
      <c r="N30" s="5">
        <v>10004</v>
      </c>
      <c r="O30" s="5"/>
      <c r="P30" s="5"/>
      <c r="Q30" s="5"/>
      <c r="R30" s="5"/>
      <c r="S30" s="5"/>
    </row>
    <row r="31" spans="1:19" x14ac:dyDescent="0.2">
      <c r="A31" s="5">
        <v>2028</v>
      </c>
      <c r="B31" s="5" t="str">
        <f>_xlfn.CONCAT(Ticket_Table[[#This Row],[City01]],"-",Ticket_Table[[#This Row],[City02]])</f>
        <v>Bruxelles-Danzig</v>
      </c>
      <c r="C31" s="5" t="s">
        <v>10</v>
      </c>
      <c r="D31" s="5" t="s">
        <v>66</v>
      </c>
      <c r="E31" s="5" t="str">
        <f>INDEX(Cities_Table[#All], MATCH(C31, Cities_Table[City], 0) + 1, MATCH("Quad", Cities_Table[#Headers], 0))</f>
        <v>NW</v>
      </c>
      <c r="F31" s="5" t="str">
        <f>INDEX(Cities_Table[#All], MATCH(D31, Cities_Table[City], 0) + 1, MATCH("Quad", Cities_Table[#Headers], 0))</f>
        <v>NC</v>
      </c>
      <c r="G31" s="5">
        <v>9</v>
      </c>
      <c r="H31"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13</v>
      </c>
      <c r="I31" s="5">
        <f>Ticket_Table[[#This Row],[Ticket_Points]]+Ticket_Table[[#This Row],[Route_Points]]</f>
        <v>22</v>
      </c>
      <c r="J31"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9</v>
      </c>
      <c r="K31" s="7">
        <f>(Ticket_Table[[#This Row],[Ticket_Points]]+Ticket_Table[[#This Row],[Route_Points]])/Ticket_Table[[#This Row],[Route_Length]]</f>
        <v>2.4444444444444446</v>
      </c>
      <c r="L31" s="5">
        <v>10002</v>
      </c>
      <c r="M31" s="5">
        <v>10003</v>
      </c>
      <c r="N31" s="5">
        <v>10004</v>
      </c>
      <c r="O31" s="5"/>
      <c r="P31" s="5"/>
      <c r="Q31" s="5"/>
      <c r="R31" s="5"/>
      <c r="S31" s="5"/>
    </row>
    <row r="32" spans="1:19" x14ac:dyDescent="0.2">
      <c r="A32" s="5">
        <v>2029</v>
      </c>
      <c r="B32" s="5" t="str">
        <f>_xlfn.CONCAT(Ticket_Table[[#This Row],[City01]],"-",Ticket_Table[[#This Row],[City02]])</f>
        <v>Berlin-Roma</v>
      </c>
      <c r="C32" s="5" t="s">
        <v>22</v>
      </c>
      <c r="D32" s="5" t="s">
        <v>29</v>
      </c>
      <c r="E32" s="5" t="str">
        <f>INDEX(Cities_Table[#All], MATCH(C32, Cities_Table[City], 0) + 1, MATCH("Quad", Cities_Table[#Headers], 0))</f>
        <v>NE</v>
      </c>
      <c r="F32" s="5" t="str">
        <f>INDEX(Cities_Table[#All], MATCH(D32, Cities_Table[City], 0) + 1, MATCH("Quad", Cities_Table[#Headers], 0))</f>
        <v>SC</v>
      </c>
      <c r="G32" s="5">
        <v>9</v>
      </c>
      <c r="H32"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10</v>
      </c>
      <c r="I32" s="5">
        <f>Ticket_Table[[#This Row],[Ticket_Points]]+Ticket_Table[[#This Row],[Route_Points]]</f>
        <v>19</v>
      </c>
      <c r="J32"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9</v>
      </c>
      <c r="K32" s="7">
        <f>(Ticket_Table[[#This Row],[Ticket_Points]]+Ticket_Table[[#This Row],[Route_Points]])/Ticket_Table[[#This Row],[Route_Length]]</f>
        <v>2.1111111111111112</v>
      </c>
      <c r="L32" s="5">
        <v>10002</v>
      </c>
      <c r="M32" s="5">
        <v>10002</v>
      </c>
      <c r="N32" s="5">
        <v>10002</v>
      </c>
      <c r="O32" s="5">
        <v>10003</v>
      </c>
      <c r="P32" s="5"/>
      <c r="Q32" s="5"/>
      <c r="R32" s="5"/>
      <c r="S32" s="5"/>
    </row>
    <row r="33" spans="1:19" x14ac:dyDescent="0.2">
      <c r="A33" s="5">
        <v>2030</v>
      </c>
      <c r="B33" s="5" t="str">
        <f>_xlfn.CONCAT(Ticket_Table[[#This Row],[City01]],"-",Ticket_Table[[#This Row],[City02]])</f>
        <v>Angora-Kharkov</v>
      </c>
      <c r="C33" s="5" t="s">
        <v>41</v>
      </c>
      <c r="D33" s="5" t="s">
        <v>33</v>
      </c>
      <c r="E33" s="5" t="str">
        <f>INDEX(Cities_Table[#All], MATCH(C33, Cities_Table[City], 0) + 1, MATCH("Quad", Cities_Table[#Headers], 0))</f>
        <v>SE</v>
      </c>
      <c r="F33" s="5" t="str">
        <f>INDEX(Cities_Table[#All], MATCH(D33, Cities_Table[City], 0) + 1, MATCH("Quad", Cities_Table[#Headers], 0))</f>
        <v>NE</v>
      </c>
      <c r="G33" s="5">
        <v>10</v>
      </c>
      <c r="H33"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12</v>
      </c>
      <c r="I33" s="5">
        <f>Ticket_Table[[#This Row],[Ticket_Points]]+Ticket_Table[[#This Row],[Route_Points]]</f>
        <v>22</v>
      </c>
      <c r="J33"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10</v>
      </c>
      <c r="K33" s="7">
        <f>(Ticket_Table[[#This Row],[Ticket_Points]]+Ticket_Table[[#This Row],[Route_Points]])/Ticket_Table[[#This Row],[Route_Length]]</f>
        <v>2.2000000000000002</v>
      </c>
      <c r="L33" s="5">
        <v>10002</v>
      </c>
      <c r="M33" s="5">
        <v>10002</v>
      </c>
      <c r="N33" s="5">
        <v>10003</v>
      </c>
      <c r="O33" s="5">
        <v>10003</v>
      </c>
      <c r="P33" s="5"/>
      <c r="Q33" s="5"/>
      <c r="R33" s="5"/>
      <c r="S33" s="5"/>
    </row>
    <row r="34" spans="1:19" x14ac:dyDescent="0.2">
      <c r="A34" s="5">
        <v>2031</v>
      </c>
      <c r="B34" s="5" t="str">
        <f>_xlfn.CONCAT(Ticket_Table[[#This Row],[City01]],"-",Ticket_Table[[#This Row],[City02]])</f>
        <v>Riga-Bucresti</v>
      </c>
      <c r="C34" s="5" t="s">
        <v>31</v>
      </c>
      <c r="D34" s="5" t="s">
        <v>18</v>
      </c>
      <c r="E34" s="5" t="str">
        <f>INDEX(Cities_Table[#All], MATCH(C34, Cities_Table[City], 0) + 1, MATCH("Quad", Cities_Table[#Headers], 0))</f>
        <v>NE</v>
      </c>
      <c r="F34" s="5" t="str">
        <f>INDEX(Cities_Table[#All], MATCH(D34, Cities_Table[City], 0) + 1, MATCH("Quad", Cities_Table[#Headers], 0))</f>
        <v>SE</v>
      </c>
      <c r="G34" s="5">
        <v>10</v>
      </c>
      <c r="H34"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16</v>
      </c>
      <c r="I34" s="5">
        <f>Ticket_Table[[#This Row],[Ticket_Points]]+Ticket_Table[[#This Row],[Route_Points]]</f>
        <v>26</v>
      </c>
      <c r="J34"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10</v>
      </c>
      <c r="K34" s="7">
        <f>(Ticket_Table[[#This Row],[Ticket_Points]]+Ticket_Table[[#This Row],[Route_Points]])/Ticket_Table[[#This Row],[Route_Length]]</f>
        <v>2.6</v>
      </c>
      <c r="L34" s="5">
        <v>10002</v>
      </c>
      <c r="M34" s="5">
        <v>10004</v>
      </c>
      <c r="N34" s="5">
        <v>10004</v>
      </c>
      <c r="O34" s="5"/>
      <c r="P34" s="5"/>
      <c r="Q34" s="5"/>
      <c r="R34" s="5"/>
      <c r="S34" s="5"/>
    </row>
    <row r="35" spans="1:19" x14ac:dyDescent="0.2">
      <c r="A35" s="5">
        <v>2032</v>
      </c>
      <c r="B35" s="5" t="str">
        <f>_xlfn.CONCAT(Ticket_Table[[#This Row],[City01]],"-",Ticket_Table[[#This Row],[City02]])</f>
        <v>Essen-Kyiv</v>
      </c>
      <c r="C35" s="5" t="s">
        <v>24</v>
      </c>
      <c r="D35" s="5" t="s">
        <v>16</v>
      </c>
      <c r="E35" s="5" t="str">
        <f>INDEX(Cities_Table[#All], MATCH(C35, Cities_Table[City], 0) + 1, MATCH("Quad", Cities_Table[#Headers], 0))</f>
        <v>NC</v>
      </c>
      <c r="F35" s="5" t="str">
        <f>INDEX(Cities_Table[#All], MATCH(D35, Cities_Table[City], 0) + 1, MATCH("Quad", Cities_Table[#Headers], 0))</f>
        <v>NE</v>
      </c>
      <c r="G35" s="5">
        <v>10</v>
      </c>
      <c r="H35"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16</v>
      </c>
      <c r="I35" s="5">
        <f>Ticket_Table[[#This Row],[Ticket_Points]]+Ticket_Table[[#This Row],[Route_Points]]</f>
        <v>26</v>
      </c>
      <c r="J35"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10</v>
      </c>
      <c r="K35" s="7">
        <f>(Ticket_Table[[#This Row],[Ticket_Points]]+Ticket_Table[[#This Row],[Route_Points]])/Ticket_Table[[#This Row],[Route_Length]]</f>
        <v>2.6</v>
      </c>
      <c r="L35" s="5">
        <v>10002</v>
      </c>
      <c r="M35" s="5">
        <v>10004</v>
      </c>
      <c r="N35" s="5">
        <v>10004</v>
      </c>
      <c r="O35" s="5"/>
      <c r="P35" s="5"/>
      <c r="Q35" s="5"/>
      <c r="R35" s="5"/>
      <c r="S35" s="5"/>
    </row>
    <row r="36" spans="1:19" x14ac:dyDescent="0.2">
      <c r="A36" s="5">
        <v>2033</v>
      </c>
      <c r="B36" s="5" t="str">
        <f>_xlfn.CONCAT(Ticket_Table[[#This Row],[City01]],"-",Ticket_Table[[#This Row],[City02]])</f>
        <v>Venezia-Constantinople</v>
      </c>
      <c r="C36" s="5" t="s">
        <v>46</v>
      </c>
      <c r="D36" s="5" t="s">
        <v>35</v>
      </c>
      <c r="E36" s="5" t="str">
        <f>INDEX(Cities_Table[#All], MATCH(C36, Cities_Table[City], 0) + 1, MATCH("Quad", Cities_Table[#Headers], 0))</f>
        <v>SC</v>
      </c>
      <c r="F36" s="5" t="str">
        <f>INDEX(Cities_Table[#All], MATCH(D36, Cities_Table[City], 0) + 1, MATCH("Quad", Cities_Table[#Headers], 0))</f>
        <v>SE</v>
      </c>
      <c r="G36" s="5">
        <v>10</v>
      </c>
      <c r="H36"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12</v>
      </c>
      <c r="I36" s="5">
        <f>Ticket_Table[[#This Row],[Ticket_Points]]+Ticket_Table[[#This Row],[Route_Points]]</f>
        <v>22</v>
      </c>
      <c r="J36"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10</v>
      </c>
      <c r="K36" s="7">
        <f>(Ticket_Table[[#This Row],[Ticket_Points]]+Ticket_Table[[#This Row],[Route_Points]])/Ticket_Table[[#This Row],[Route_Length]]</f>
        <v>2.2000000000000002</v>
      </c>
      <c r="L36" s="5">
        <v>10002</v>
      </c>
      <c r="M36" s="5">
        <v>10002</v>
      </c>
      <c r="N36" s="5">
        <v>10003</v>
      </c>
      <c r="O36" s="5">
        <v>10003</v>
      </c>
      <c r="P36" s="5"/>
      <c r="Q36" s="5"/>
      <c r="R36" s="5"/>
      <c r="S36" s="5"/>
    </row>
    <row r="37" spans="1:19" x14ac:dyDescent="0.2">
      <c r="A37" s="5">
        <v>2034</v>
      </c>
      <c r="B37" s="5" t="str">
        <f>_xlfn.CONCAT(Ticket_Table[[#This Row],[City01]],"-",Ticket_Table[[#This Row],[City02]])</f>
        <v>London-Wien</v>
      </c>
      <c r="C37" s="5" t="s">
        <v>6</v>
      </c>
      <c r="D37" s="5" t="s">
        <v>25</v>
      </c>
      <c r="E37" s="5" t="str">
        <f>INDEX(Cities_Table[#All], MATCH(C37, Cities_Table[City], 0) + 1, MATCH("Quad", Cities_Table[#Headers], 0))</f>
        <v>NW</v>
      </c>
      <c r="F37" s="5" t="str">
        <f>INDEX(Cities_Table[#All], MATCH(D37, Cities_Table[City], 0) + 1, MATCH("Quad", Cities_Table[#Headers], 0))</f>
        <v>SC</v>
      </c>
      <c r="G37" s="5">
        <v>10</v>
      </c>
      <c r="H37"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10</v>
      </c>
      <c r="I37" s="5">
        <f>Ticket_Table[[#This Row],[Ticket_Points]]+Ticket_Table[[#This Row],[Route_Points]]</f>
        <v>20</v>
      </c>
      <c r="J37"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9</v>
      </c>
      <c r="K37" s="7">
        <f>(Ticket_Table[[#This Row],[Ticket_Points]]+Ticket_Table[[#This Row],[Route_Points]])/Ticket_Table[[#This Row],[Route_Length]]</f>
        <v>2.2222222222222223</v>
      </c>
      <c r="L37" s="5">
        <v>10002</v>
      </c>
      <c r="M37" s="5">
        <v>10002</v>
      </c>
      <c r="N37" s="5">
        <v>10002</v>
      </c>
      <c r="O37" s="5">
        <v>10003</v>
      </c>
      <c r="P37" s="5"/>
      <c r="Q37" s="5"/>
      <c r="R37" s="5"/>
      <c r="S37" s="5"/>
    </row>
    <row r="38" spans="1:19" x14ac:dyDescent="0.2">
      <c r="A38" s="5">
        <v>2035</v>
      </c>
      <c r="B38" s="5" t="str">
        <f>_xlfn.CONCAT(Ticket_Table[[#This Row],[City01]],"-",Ticket_Table[[#This Row],[City02]])</f>
        <v>Athina-Wilno</v>
      </c>
      <c r="C38" s="5" t="s">
        <v>50</v>
      </c>
      <c r="D38" s="5" t="s">
        <v>21</v>
      </c>
      <c r="E38" s="5" t="str">
        <f>INDEX(Cities_Table[#All], MATCH(C38, Cities_Table[City], 0) + 1, MATCH("Quad", Cities_Table[#Headers], 0))</f>
        <v>SC</v>
      </c>
      <c r="F38" s="5" t="str">
        <f>INDEX(Cities_Table[#All], MATCH(D38, Cities_Table[City], 0) + 1, MATCH("Quad", Cities_Table[#Headers], 0))</f>
        <v>NE</v>
      </c>
      <c r="G38" s="5">
        <v>11</v>
      </c>
      <c r="H38"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15</v>
      </c>
      <c r="I38" s="5">
        <f>Ticket_Table[[#This Row],[Ticket_Points]]+Ticket_Table[[#This Row],[Route_Points]]</f>
        <v>26</v>
      </c>
      <c r="J38"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11</v>
      </c>
      <c r="K38" s="7">
        <f>(Ticket_Table[[#This Row],[Ticket_Points]]+Ticket_Table[[#This Row],[Route_Points]])/Ticket_Table[[#This Row],[Route_Length]]</f>
        <v>2.3636363636363638</v>
      </c>
      <c r="L38" s="5">
        <v>10002</v>
      </c>
      <c r="M38" s="5">
        <v>10002</v>
      </c>
      <c r="N38" s="5">
        <v>10003</v>
      </c>
      <c r="O38" s="5">
        <v>10004</v>
      </c>
      <c r="P38" s="5"/>
      <c r="Q38" s="5"/>
      <c r="R38" s="5"/>
      <c r="S38" s="5"/>
    </row>
    <row r="39" spans="1:19" x14ac:dyDescent="0.2">
      <c r="A39" s="5">
        <v>2036</v>
      </c>
      <c r="B39" s="5" t="str">
        <f>_xlfn.CONCAT(Ticket_Table[[#This Row],[City01]],"-",Ticket_Table[[#This Row],[City02]])</f>
        <v>Stockholm-Wien</v>
      </c>
      <c r="C39" s="5" t="s">
        <v>51</v>
      </c>
      <c r="D39" s="5" t="s">
        <v>25</v>
      </c>
      <c r="E39" s="5" t="str">
        <f>INDEX(Cities_Table[#All], MATCH(C39, Cities_Table[City], 0) + 1, MATCH("Quad", Cities_Table[#Headers], 0))</f>
        <v>NC</v>
      </c>
      <c r="F39" s="5" t="str">
        <f>INDEX(Cities_Table[#All], MATCH(D39, Cities_Table[City], 0) + 1, MATCH("Quad", Cities_Table[#Headers], 0))</f>
        <v>SC</v>
      </c>
      <c r="G39" s="5">
        <v>11</v>
      </c>
      <c r="H39"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14</v>
      </c>
      <c r="I39" s="5">
        <f>Ticket_Table[[#This Row],[Ticket_Points]]+Ticket_Table[[#This Row],[Route_Points]]</f>
        <v>25</v>
      </c>
      <c r="J39"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11</v>
      </c>
      <c r="K39" s="7">
        <f>(Ticket_Table[[#This Row],[Ticket_Points]]+Ticket_Table[[#This Row],[Route_Points]])/Ticket_Table[[#This Row],[Route_Length]]</f>
        <v>2.2727272727272729</v>
      </c>
      <c r="L39" s="5">
        <v>10002</v>
      </c>
      <c r="M39" s="5">
        <v>10003</v>
      </c>
      <c r="N39" s="5">
        <v>10003</v>
      </c>
      <c r="O39" s="5">
        <v>10003</v>
      </c>
      <c r="P39" s="5"/>
      <c r="Q39" s="5"/>
      <c r="R39" s="5"/>
      <c r="S39" s="5"/>
    </row>
    <row r="40" spans="1:19" x14ac:dyDescent="0.2">
      <c r="A40" s="5">
        <v>2037</v>
      </c>
      <c r="B40" s="5" t="str">
        <f>_xlfn.CONCAT(Ticket_Table[[#This Row],[City01]],"-",Ticket_Table[[#This Row],[City02]])</f>
        <v>Berlin-Moskva</v>
      </c>
      <c r="C40" s="5" t="s">
        <v>22</v>
      </c>
      <c r="D40" s="5" t="s">
        <v>52</v>
      </c>
      <c r="E40" s="5" t="str">
        <f>INDEX(Cities_Table[#All], MATCH(C40, Cities_Table[City], 0) + 1, MATCH("Quad", Cities_Table[#Headers], 0))</f>
        <v>NE</v>
      </c>
      <c r="F40" s="5" t="str">
        <f>INDEX(Cities_Table[#All], MATCH(D40, Cities_Table[City], 0) + 1, MATCH("Quad", Cities_Table[#Headers], 0))</f>
        <v>NE</v>
      </c>
      <c r="G40" s="5">
        <v>12</v>
      </c>
      <c r="H40"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17</v>
      </c>
      <c r="I40" s="5">
        <f>Ticket_Table[[#This Row],[Ticket_Points]]+Ticket_Table[[#This Row],[Route_Points]]</f>
        <v>29</v>
      </c>
      <c r="J40"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12</v>
      </c>
      <c r="K40" s="7">
        <f>(Ticket_Table[[#This Row],[Ticket_Points]]+Ticket_Table[[#This Row],[Route_Points]])/Ticket_Table[[#This Row],[Route_Length]]</f>
        <v>2.4166666666666665</v>
      </c>
      <c r="L40" s="5">
        <v>10002</v>
      </c>
      <c r="M40" s="5">
        <v>10003</v>
      </c>
      <c r="N40" s="5">
        <v>10003</v>
      </c>
      <c r="O40" s="5">
        <v>10004</v>
      </c>
      <c r="P40" s="5"/>
      <c r="Q40" s="5"/>
      <c r="R40" s="5"/>
      <c r="S40" s="5"/>
    </row>
    <row r="41" spans="1:19" x14ac:dyDescent="0.2">
      <c r="A41" s="5">
        <v>2038</v>
      </c>
      <c r="B41" s="5" t="str">
        <f>_xlfn.CONCAT(Ticket_Table[[#This Row],[City01]],"-",Ticket_Table[[#This Row],[City02]])</f>
        <v>Amsterdam-Wilno</v>
      </c>
      <c r="C41" s="5" t="s">
        <v>7</v>
      </c>
      <c r="D41" s="5" t="s">
        <v>21</v>
      </c>
      <c r="E41" s="5" t="str">
        <f>INDEX(Cities_Table[#All], MATCH(C41, Cities_Table[City], 0) + 1, MATCH("Quad", Cities_Table[#Headers], 0))</f>
        <v>NW</v>
      </c>
      <c r="F41" s="5" t="str">
        <f>INDEX(Cities_Table[#All], MATCH(D41, Cities_Table[City], 0) + 1, MATCH("Quad", Cities_Table[#Headers], 0))</f>
        <v>NE</v>
      </c>
      <c r="G41" s="5">
        <v>12</v>
      </c>
      <c r="H41"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17</v>
      </c>
      <c r="I41" s="5">
        <f>Ticket_Table[[#This Row],[Ticket_Points]]+Ticket_Table[[#This Row],[Route_Points]]</f>
        <v>29</v>
      </c>
      <c r="J41"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12</v>
      </c>
      <c r="K41" s="7">
        <f>(Ticket_Table[[#This Row],[Ticket_Points]]+Ticket_Table[[#This Row],[Route_Points]])/Ticket_Table[[#This Row],[Route_Length]]</f>
        <v>2.4166666666666665</v>
      </c>
      <c r="L41" s="5">
        <v>10002</v>
      </c>
      <c r="M41" s="5">
        <v>10003</v>
      </c>
      <c r="N41" s="5">
        <v>10003</v>
      </c>
      <c r="O41" s="5">
        <v>10004</v>
      </c>
      <c r="P41" s="5"/>
      <c r="Q41" s="5"/>
      <c r="R41" s="5"/>
      <c r="S41" s="5"/>
    </row>
    <row r="42" spans="1:19" x14ac:dyDescent="0.2">
      <c r="A42" s="5">
        <v>2039</v>
      </c>
      <c r="B42" s="5" t="str">
        <f>_xlfn.CONCAT(Ticket_Table[[#This Row],[City01]],"-",Ticket_Table[[#This Row],[City02]])</f>
        <v>Frankfurt-Smolensk</v>
      </c>
      <c r="C42" s="5" t="s">
        <v>12</v>
      </c>
      <c r="D42" s="5" t="s">
        <v>20</v>
      </c>
      <c r="E42" s="5" t="str">
        <f>INDEX(Cities_Table[#All], MATCH(C42, Cities_Table[City], 0) + 1, MATCH("Quad", Cities_Table[#Headers], 0))</f>
        <v>NC</v>
      </c>
      <c r="F42" s="5" t="str">
        <f>INDEX(Cities_Table[#All], MATCH(D42, Cities_Table[City], 0) + 1, MATCH("Quad", Cities_Table[#Headers], 0))</f>
        <v>NE</v>
      </c>
      <c r="G42" s="5">
        <v>13</v>
      </c>
      <c r="H42"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19</v>
      </c>
      <c r="I42" s="5">
        <f>Ticket_Table[[#This Row],[Ticket_Points]]+Ticket_Table[[#This Row],[Route_Points]]</f>
        <v>32</v>
      </c>
      <c r="J42"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13</v>
      </c>
      <c r="K42" s="7">
        <f>(Ticket_Table[[#This Row],[Ticket_Points]]+Ticket_Table[[#This Row],[Route_Points]])/Ticket_Table[[#This Row],[Route_Length]]</f>
        <v>2.4615384615384617</v>
      </c>
      <c r="L42" s="5">
        <v>10003</v>
      </c>
      <c r="M42" s="5">
        <v>10003</v>
      </c>
      <c r="N42" s="5">
        <v>10003</v>
      </c>
      <c r="O42" s="5">
        <v>10004</v>
      </c>
      <c r="P42" s="5"/>
      <c r="Q42" s="5"/>
      <c r="R42" s="5"/>
      <c r="S42" s="5"/>
    </row>
    <row r="43" spans="1:19" x14ac:dyDescent="0.2">
      <c r="A43" s="5">
        <v>2040</v>
      </c>
      <c r="B43" s="5" t="str">
        <f>_xlfn.CONCAT(Ticket_Table[[#This Row],[City01]],"-",Ticket_Table[[#This Row],[City02]])</f>
        <v>Lisboa-Danzig</v>
      </c>
      <c r="C43" s="5" t="s">
        <v>42</v>
      </c>
      <c r="D43" s="5" t="s">
        <v>66</v>
      </c>
      <c r="E43" s="5" t="str">
        <f>INDEX(Cities_Table[#All], MATCH(C43, Cities_Table[City], 0) + 1, MATCH("Quad", Cities_Table[#Headers], 0))</f>
        <v>SW</v>
      </c>
      <c r="F43" s="5" t="str">
        <f>INDEX(Cities_Table[#All], MATCH(D43, Cities_Table[City], 0) + 1, MATCH("Quad", Cities_Table[#Headers], 0))</f>
        <v>NC</v>
      </c>
      <c r="G43" s="5">
        <v>20</v>
      </c>
      <c r="H43"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30</v>
      </c>
      <c r="I43" s="5">
        <f>Ticket_Table[[#This Row],[Ticket_Points]]+Ticket_Table[[#This Row],[Route_Points]]</f>
        <v>50</v>
      </c>
      <c r="J43"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20</v>
      </c>
      <c r="K43" s="7">
        <f>(Ticket_Table[[#This Row],[Ticket_Points]]+Ticket_Table[[#This Row],[Route_Points]])/Ticket_Table[[#This Row],[Route_Length]]</f>
        <v>2.5</v>
      </c>
      <c r="L43" s="5">
        <v>10003</v>
      </c>
      <c r="M43" s="5">
        <v>10003</v>
      </c>
      <c r="N43" s="5">
        <v>10003</v>
      </c>
      <c r="O43" s="5">
        <v>10003</v>
      </c>
      <c r="P43" s="5">
        <v>10004</v>
      </c>
      <c r="Q43" s="5">
        <v>10004</v>
      </c>
      <c r="R43" s="5"/>
      <c r="S43" s="5"/>
    </row>
    <row r="44" spans="1:19" x14ac:dyDescent="0.2">
      <c r="A44" s="5">
        <v>2041</v>
      </c>
      <c r="B44" s="5" t="str">
        <f>_xlfn.CONCAT(Ticket_Table[[#This Row],[City01]],"-",Ticket_Table[[#This Row],[City02]])</f>
        <v>Brest-Petrograd</v>
      </c>
      <c r="C44" s="5" t="s">
        <v>9</v>
      </c>
      <c r="D44" s="5" t="s">
        <v>32</v>
      </c>
      <c r="E44" s="5" t="str">
        <f>INDEX(Cities_Table[#All], MATCH(C44, Cities_Table[City], 0) + 1, MATCH("Quad", Cities_Table[#Headers], 0))</f>
        <v>NW</v>
      </c>
      <c r="F44" s="5" t="str">
        <f>INDEX(Cities_Table[#All], MATCH(D44, Cities_Table[City], 0) + 1, MATCH("Quad", Cities_Table[#Headers], 0))</f>
        <v>NE</v>
      </c>
      <c r="G44" s="5">
        <v>20</v>
      </c>
      <c r="H44"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30</v>
      </c>
      <c r="I44" s="5">
        <f>Ticket_Table[[#This Row],[Ticket_Points]]+Ticket_Table[[#This Row],[Route_Points]]</f>
        <v>50</v>
      </c>
      <c r="J44"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20</v>
      </c>
      <c r="K44" s="7">
        <f>(Ticket_Table[[#This Row],[Ticket_Points]]+Ticket_Table[[#This Row],[Route_Points]])/Ticket_Table[[#This Row],[Route_Length]]</f>
        <v>2.5</v>
      </c>
      <c r="L44" s="5">
        <v>10003</v>
      </c>
      <c r="M44" s="5">
        <v>10003</v>
      </c>
      <c r="N44" s="5">
        <v>10003</v>
      </c>
      <c r="O44" s="5">
        <v>10003</v>
      </c>
      <c r="P44" s="5">
        <v>10004</v>
      </c>
      <c r="Q44" s="5">
        <v>10004</v>
      </c>
      <c r="R44" s="5"/>
      <c r="S44" s="5"/>
    </row>
    <row r="45" spans="1:19" x14ac:dyDescent="0.2">
      <c r="A45" s="5">
        <v>2042</v>
      </c>
      <c r="B45" s="5" t="str">
        <f>_xlfn.CONCAT(Ticket_Table[[#This Row],[City01]],"-",Ticket_Table[[#This Row],[City02]])</f>
        <v>Palermo-Moskva</v>
      </c>
      <c r="C45" s="5" t="s">
        <v>48</v>
      </c>
      <c r="D45" s="5" t="s">
        <v>52</v>
      </c>
      <c r="E45" s="5" t="str">
        <f>INDEX(Cities_Table[#All], MATCH(C45, Cities_Table[City], 0) + 1, MATCH("Quad", Cities_Table[#Headers], 0))</f>
        <v>SC</v>
      </c>
      <c r="F45" s="5" t="str">
        <f>INDEX(Cities_Table[#All], MATCH(D45, Cities_Table[City], 0) + 1, MATCH("Quad", Cities_Table[#Headers], 0))</f>
        <v>NE</v>
      </c>
      <c r="G45" s="5">
        <v>20</v>
      </c>
      <c r="H45"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34</v>
      </c>
      <c r="I45" s="5">
        <f>Ticket_Table[[#This Row],[Ticket_Points]]+Ticket_Table[[#This Row],[Route_Points]]</f>
        <v>54</v>
      </c>
      <c r="J45"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20</v>
      </c>
      <c r="K45" s="7">
        <f>(Ticket_Table[[#This Row],[Ticket_Points]]+Ticket_Table[[#This Row],[Route_Points]])/Ticket_Table[[#This Row],[Route_Length]]</f>
        <v>2.7</v>
      </c>
      <c r="L45" s="5">
        <v>10002</v>
      </c>
      <c r="M45" s="5">
        <v>10002</v>
      </c>
      <c r="N45" s="5">
        <v>10003</v>
      </c>
      <c r="O45" s="5">
        <v>10003</v>
      </c>
      <c r="P45" s="5">
        <v>10004</v>
      </c>
      <c r="Q45" s="5">
        <v>10005</v>
      </c>
      <c r="R45" s="5"/>
      <c r="S45" s="5"/>
    </row>
    <row r="46" spans="1:19" x14ac:dyDescent="0.2">
      <c r="A46" s="5">
        <v>2043</v>
      </c>
      <c r="B46" s="5" t="str">
        <f>_xlfn.CONCAT(Ticket_Table[[#This Row],[City01]],"-",Ticket_Table[[#This Row],[City02]])</f>
        <v>Kobenhavn-Erzurum</v>
      </c>
      <c r="C46" s="5" t="s">
        <v>45</v>
      </c>
      <c r="D46" s="5" t="s">
        <v>65</v>
      </c>
      <c r="E46" s="5" t="str">
        <f>INDEX(Cities_Table[#All], MATCH(C46, Cities_Table[City], 0) + 1, MATCH("Quad", Cities_Table[#Headers], 0))</f>
        <v>NC</v>
      </c>
      <c r="F46" s="5" t="str">
        <f>INDEX(Cities_Table[#All], MATCH(D46, Cities_Table[City], 0) + 1, MATCH("Quad", Cities_Table[#Headers], 0))</f>
        <v>SE</v>
      </c>
      <c r="G46" s="5">
        <v>21</v>
      </c>
      <c r="H46"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32</v>
      </c>
      <c r="I46" s="5">
        <f>Ticket_Table[[#This Row],[Ticket_Points]]+Ticket_Table[[#This Row],[Route_Points]]</f>
        <v>53</v>
      </c>
      <c r="J46"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21</v>
      </c>
      <c r="K46" s="7">
        <f>(Ticket_Table[[#This Row],[Ticket_Points]]+Ticket_Table[[#This Row],[Route_Points]])/Ticket_Table[[#This Row],[Route_Length]]</f>
        <v>2.5238095238095237</v>
      </c>
      <c r="L46" s="5">
        <v>10001</v>
      </c>
      <c r="M46" s="5">
        <v>10002</v>
      </c>
      <c r="N46" s="5">
        <v>10003</v>
      </c>
      <c r="O46" s="5">
        <v>10003</v>
      </c>
      <c r="P46" s="5">
        <v>10004</v>
      </c>
      <c r="Q46" s="5">
        <v>10004</v>
      </c>
      <c r="R46" s="5">
        <v>10004</v>
      </c>
      <c r="S46" s="5"/>
    </row>
    <row r="47" spans="1:19" x14ac:dyDescent="0.2">
      <c r="A47" s="5">
        <v>2044</v>
      </c>
      <c r="B47" s="5" t="str">
        <f>_xlfn.CONCAT(Ticket_Table[[#This Row],[City01]],"-",Ticket_Table[[#This Row],[City02]])</f>
        <v>Edinburgh-Athina</v>
      </c>
      <c r="C47" s="5" t="s">
        <v>5</v>
      </c>
      <c r="D47" s="5" t="s">
        <v>50</v>
      </c>
      <c r="E47" s="5" t="str">
        <f>INDEX(Cities_Table[#All], MATCH(C47, Cities_Table[City], 0) + 1, MATCH("Quad", Cities_Table[#Headers], 0))</f>
        <v>NW</v>
      </c>
      <c r="F47" s="5" t="str">
        <f>INDEX(Cities_Table[#All], MATCH(D47, Cities_Table[City], 0) + 1, MATCH("Quad", Cities_Table[#Headers], 0))</f>
        <v>SC</v>
      </c>
      <c r="G47" s="5">
        <v>21</v>
      </c>
      <c r="H47"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27</v>
      </c>
      <c r="I47" s="5">
        <f>Ticket_Table[[#This Row],[Ticket_Points]]+Ticket_Table[[#This Row],[Route_Points]]</f>
        <v>48</v>
      </c>
      <c r="J47"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20</v>
      </c>
      <c r="K47" s="7">
        <f>(Ticket_Table[[#This Row],[Ticket_Points]]+Ticket_Table[[#This Row],[Route_Points]])/Ticket_Table[[#This Row],[Route_Length]]</f>
        <v>2.4</v>
      </c>
      <c r="L47" s="5">
        <v>10001</v>
      </c>
      <c r="M47" s="5">
        <v>10002</v>
      </c>
      <c r="N47" s="5">
        <v>10002</v>
      </c>
      <c r="O47" s="5">
        <v>10002</v>
      </c>
      <c r="P47" s="5">
        <v>10002</v>
      </c>
      <c r="Q47" s="5">
        <v>10003</v>
      </c>
      <c r="R47" s="5">
        <v>10004</v>
      </c>
      <c r="S47" s="5">
        <v>10004</v>
      </c>
    </row>
    <row r="48" spans="1:19" x14ac:dyDescent="0.2">
      <c r="A48" s="5">
        <v>2045</v>
      </c>
      <c r="B48" s="5" t="str">
        <f>_xlfn.CONCAT(Ticket_Table[[#This Row],[City01]],"-",Ticket_Table[[#This Row],[City02]])</f>
        <v>Cadiz-Stockholm</v>
      </c>
      <c r="C48" s="5" t="s">
        <v>43</v>
      </c>
      <c r="D48" s="5" t="s">
        <v>51</v>
      </c>
      <c r="E48" s="5" t="str">
        <f>INDEX(Cities_Table[#All], MATCH(C48, Cities_Table[City], 0) + 1, MATCH("Quad", Cities_Table[#Headers], 0))</f>
        <v>SW</v>
      </c>
      <c r="F48" s="5" t="str">
        <f>INDEX(Cities_Table[#All], MATCH(D48, Cities_Table[City], 0) + 1, MATCH("Quad", Cities_Table[#Headers], 0))</f>
        <v>NC</v>
      </c>
      <c r="G48" s="5">
        <v>21</v>
      </c>
      <c r="H48" s="5">
        <f>IF(Ticket_Table[[#This Row],[Route01_ID]] = "", 0, INDEX(RtP_Table[#All], MATCH(Ticket_Table[[#This Row],[Route01_ID]], RtP_Table[ID], 0) + 1, MATCH(Ticket_Table[[#Headers],[Route_Points]], RtP_Table[#Headers], 0))) +
IF(Ticket_Table[[#This Row],[Route02_ID]] = "", 0, INDEX(RtP_Table[#All], MATCH(Ticket_Table[[#This Row],[Route02_ID]], RtP_Table[ID], 0) + 1, MATCH(Ticket_Table[[#Headers],[Route_Points]], RtP_Table[#Headers], 0))) +
IF(Ticket_Table[[#This Row],[Route03_ID]] = "", 0, INDEX(RtP_Table[#All], MATCH(Ticket_Table[[#This Row],[Route03_ID]], RtP_Table[ID], 0) + 1, MATCH(Ticket_Table[[#Headers],[Route_Points]], RtP_Table[#Headers], 0))) +
IF(Ticket_Table[[#This Row],[Route04_ID]] = "", 0, INDEX(RtP_Table[#All], MATCH(Ticket_Table[[#This Row],[Route04_ID]], RtP_Table[ID], 0) + 1, MATCH(Ticket_Table[[#Headers],[Route_Points]], RtP_Table[#Headers], 0))) +
IF(Ticket_Table[[#This Row],[Route05_ID]] = "", 0, INDEX(RtP_Table[#All], MATCH(Ticket_Table[[#This Row],[Route05_ID]], RtP_Table[ID], 0) + 1, MATCH(Ticket_Table[[#Headers],[Route_Points]], RtP_Table[#Headers], 0))) +
IF(Ticket_Table[[#This Row],[Route06_ID]] = "", 0, INDEX(RtP_Table[#All], MATCH(Ticket_Table[[#This Row],[Route06_ID]], RtP_Table[ID], 0) + 1, MATCH(Ticket_Table[[#Headers],[Route_Points]], RtP_Table[#Headers], 0))) +
IF(Ticket_Table[[#This Row],[Route07_ID]] = "", 0, INDEX(RtP_Table[#All], MATCH(Ticket_Table[[#This Row],[Route07_ID]], RtP_Table[ID], 0) + 1, MATCH(Ticket_Table[[#Headers],[Route_Points]], RtP_Table[#Headers], 0))) +
IF(Ticket_Table[[#This Row],[Route08_ID]] = "", 0, INDEX(RtP_Table[#All], MATCH(Ticket_Table[[#This Row],[Route08_ID]], RtP_Table[ID], 0) + 1, MATCH(Ticket_Table[[#Headers],[Route_Points]], RtP_Table[#Headers], 0)))</f>
        <v>29</v>
      </c>
      <c r="I48" s="5">
        <f>Ticket_Table[[#This Row],[Ticket_Points]]+Ticket_Table[[#This Row],[Route_Points]]</f>
        <v>50</v>
      </c>
      <c r="J48" s="5">
        <f>IF(Ticket_Table[[#This Row],[Route01_ID]] = "", 0, INDEX(RtP_Table[#All], MATCH(Ticket_Table[[#This Row],[Route01_ID]], RtP_Table[ID], 0) + 1, MATCH(Ticket_Table[[#Headers],[Route_Length]], RtP_Table[#Headers], 0))) +
IF(Ticket_Table[[#This Row],[Route02_ID]] = "", 0, INDEX(RtP_Table[#All], MATCH(Ticket_Table[[#This Row],[Route02_ID]], RtP_Table[ID], 0) + 1, MATCH(Ticket_Table[[#Headers],[Route_Length]], RtP_Table[#Headers], 0))) +
IF(Ticket_Table[[#This Row],[Route03_ID]] = "", 0, INDEX(RtP_Table[#All], MATCH(Ticket_Table[[#This Row],[Route03_ID]], RtP_Table[ID], 0) + 1, MATCH(Ticket_Table[[#Headers],[Route_Length]], RtP_Table[#Headers], 0))) +
IF(Ticket_Table[[#This Row],[Route04_ID]] = "", 0, INDEX(RtP_Table[#All], MATCH(Ticket_Table[[#This Row],[Route04_ID]], RtP_Table[ID], 0) + 1, MATCH(Ticket_Table[[#Headers],[Route_Length]], RtP_Table[#Headers], 0))) +
IF(Ticket_Table[[#This Row],[Route05_ID]] = "", 0, INDEX(RtP_Table[#All], MATCH(Ticket_Table[[#This Row],[Route05_ID]], RtP_Table[ID], 0) + 1, MATCH(Ticket_Table[[#Headers],[Route_Length]], RtP_Table[#Headers], 0))) +
IF(Ticket_Table[[#This Row],[Route06_ID]] = "", 0, INDEX(RtP_Table[#All], MATCH(Ticket_Table[[#This Row],[Route06_ID]], RtP_Table[ID], 0) + 1, MATCH(Ticket_Table[[#Headers],[Route_Length]], RtP_Table[#Headers], 0))) +
IF(Ticket_Table[[#This Row],[Route07_ID]] = "", 0, INDEX(RtP_Table[#All], MATCH(Ticket_Table[[#This Row],[Route07_ID]], RtP_Table[ID], 0) + 1, MATCH(Ticket_Table[[#Headers],[Route_Length]], RtP_Table[#Headers], 0))) +
IF(Ticket_Table[[#This Row],[Route08_ID]] = "", 0, INDEX(RtP_Table[#All], MATCH(Ticket_Table[[#This Row],[Route08_ID]], RtP_Table[ID], 0) + 1, MATCH(Ticket_Table[[#Headers],[Route_Length]], RtP_Table[#Headers], 0)))</f>
        <v>21</v>
      </c>
      <c r="K48" s="7">
        <f>(Ticket_Table[[#This Row],[Ticket_Points]]+Ticket_Table[[#This Row],[Route_Points]])/Ticket_Table[[#This Row],[Route_Length]]</f>
        <v>2.3809523809523809</v>
      </c>
      <c r="L48" s="5">
        <v>10002</v>
      </c>
      <c r="M48" s="5">
        <v>10003</v>
      </c>
      <c r="N48" s="5">
        <v>10003</v>
      </c>
      <c r="O48" s="5">
        <v>10003</v>
      </c>
      <c r="P48" s="5">
        <v>10003</v>
      </c>
      <c r="Q48" s="5">
        <v>10003</v>
      </c>
      <c r="R48" s="5">
        <v>10004</v>
      </c>
      <c r="S48" s="5"/>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C2D03-2228-0E48-9627-AAED1FE831D5}">
  <sheetPr>
    <tabColor theme="1"/>
  </sheetPr>
  <dimension ref="A1:G93"/>
  <sheetViews>
    <sheetView workbookViewId="0">
      <selection activeCell="H17" sqref="H17"/>
    </sheetView>
  </sheetViews>
  <sheetFormatPr baseColWidth="10" defaultRowHeight="16" x14ac:dyDescent="0.2"/>
  <cols>
    <col min="2" max="2" width="23.1640625" bestFit="1" customWidth="1"/>
    <col min="3" max="4" width="13.33203125" bestFit="1" customWidth="1"/>
    <col min="5" max="5" width="15" bestFit="1" customWidth="1"/>
    <col min="6" max="6" width="14.5" bestFit="1" customWidth="1"/>
    <col min="7" max="7" width="11.6640625" bestFit="1" customWidth="1"/>
  </cols>
  <sheetData>
    <row r="1" spans="1:7" x14ac:dyDescent="0.2">
      <c r="A1" s="2" t="s">
        <v>69</v>
      </c>
      <c r="B1" s="3"/>
      <c r="C1" s="3"/>
      <c r="D1" s="3"/>
      <c r="E1" s="3"/>
      <c r="F1" s="4"/>
      <c r="G1" s="4"/>
    </row>
    <row r="2" spans="1:7" x14ac:dyDescent="0.2">
      <c r="A2" s="6" t="s">
        <v>2</v>
      </c>
      <c r="B2" s="6" t="s">
        <v>74</v>
      </c>
      <c r="C2" s="6" t="s">
        <v>3</v>
      </c>
      <c r="D2" s="6" t="s">
        <v>4</v>
      </c>
      <c r="E2" s="6" t="s">
        <v>68</v>
      </c>
      <c r="F2" s="6" t="s">
        <v>67</v>
      </c>
      <c r="G2" s="6" t="s">
        <v>1</v>
      </c>
    </row>
    <row r="3" spans="1:7" x14ac:dyDescent="0.2">
      <c r="A3" s="5">
        <v>1000</v>
      </c>
      <c r="B3" s="5" t="str">
        <f>_xlfn.CONCAT(RouteInfo_Table[[#This Row],[City01]], "-",RouteInfo_Table[[#This Row],[City02]])</f>
        <v>Paris-Pamplona</v>
      </c>
      <c r="C3" s="5" t="s">
        <v>11</v>
      </c>
      <c r="D3" s="5" t="s">
        <v>15</v>
      </c>
      <c r="E3" s="5">
        <v>4</v>
      </c>
      <c r="F3" s="5">
        <f>INDEX(RtP_Table[#All], MATCH(RouteInfo_Table[[#This Row],[Route_Length]],RtP_Table[Route_Length],0) + 1, MATCH(RouteInfo_Table[[#Headers],[Route_Points]], RtP_Table[#Headers], 0))</f>
        <v>7</v>
      </c>
      <c r="G3" s="7">
        <f>RouteInfo_Table[[#This Row],[Route_Points]]/RouteInfo_Table[[#This Row],[Route_Length]]</f>
        <v>1.75</v>
      </c>
    </row>
    <row r="4" spans="1:7" x14ac:dyDescent="0.2">
      <c r="A4" s="5">
        <v>1001</v>
      </c>
      <c r="B4" s="5" t="str">
        <f>_xlfn.CONCAT(RouteInfo_Table[[#This Row],[City01]], "-",RouteInfo_Table[[#This Row],[City02]])</f>
        <v>Paris-Marseille</v>
      </c>
      <c r="C4" s="5" t="s">
        <v>11</v>
      </c>
      <c r="D4" s="5" t="s">
        <v>14</v>
      </c>
      <c r="E4" s="5">
        <v>4</v>
      </c>
      <c r="F4" s="5">
        <f>INDEX(RtP_Table[#All], MATCH(RouteInfo_Table[[#This Row],[Route_Length]],RtP_Table[Route_Length],0) + 1, MATCH(RouteInfo_Table[[#Headers],[Route_Points]], RtP_Table[#Headers], 0))</f>
        <v>7</v>
      </c>
      <c r="G4" s="7">
        <f>RouteInfo_Table[[#This Row],[Route_Points]]/RouteInfo_Table[[#This Row],[Route_Length]]</f>
        <v>1.75</v>
      </c>
    </row>
    <row r="5" spans="1:7" x14ac:dyDescent="0.2">
      <c r="A5" s="5">
        <v>1002</v>
      </c>
      <c r="B5" s="5" t="str">
        <f>_xlfn.CONCAT(RouteInfo_Table[[#This Row],[City01]], "-",RouteInfo_Table[[#This Row],[City02]])</f>
        <v>Paris-Zurich</v>
      </c>
      <c r="C5" s="5" t="s">
        <v>11</v>
      </c>
      <c r="D5" s="5" t="s">
        <v>13</v>
      </c>
      <c r="E5" s="5">
        <v>3</v>
      </c>
      <c r="F5" s="5">
        <f>INDEX(RtP_Table[#All], MATCH(RouteInfo_Table[[#This Row],[Route_Length]],RtP_Table[Route_Length],0) + 1, MATCH(RouteInfo_Table[[#Headers],[Route_Points]], RtP_Table[#Headers], 0))</f>
        <v>4</v>
      </c>
      <c r="G5" s="7">
        <f>RouteInfo_Table[[#This Row],[Route_Points]]/RouteInfo_Table[[#This Row],[Route_Length]]</f>
        <v>1.3333333333333333</v>
      </c>
    </row>
    <row r="6" spans="1:7" x14ac:dyDescent="0.2">
      <c r="A6" s="5">
        <v>1003</v>
      </c>
      <c r="B6" s="5" t="str">
        <f>_xlfn.CONCAT(RouteInfo_Table[[#This Row],[City01]], "-",RouteInfo_Table[[#This Row],[City02]])</f>
        <v>Paris-Frankfurt</v>
      </c>
      <c r="C6" s="5" t="s">
        <v>11</v>
      </c>
      <c r="D6" s="5" t="s">
        <v>12</v>
      </c>
      <c r="E6" s="5">
        <v>3</v>
      </c>
      <c r="F6" s="5">
        <f>INDEX(RtP_Table[#All], MATCH(RouteInfo_Table[[#This Row],[Route_Length]],RtP_Table[Route_Length],0) + 1, MATCH(RouteInfo_Table[[#Headers],[Route_Points]], RtP_Table[#Headers], 0))</f>
        <v>4</v>
      </c>
      <c r="G6" s="7">
        <f>RouteInfo_Table[[#This Row],[Route_Points]]/RouteInfo_Table[[#This Row],[Route_Length]]</f>
        <v>1.3333333333333333</v>
      </c>
    </row>
    <row r="7" spans="1:7" x14ac:dyDescent="0.2">
      <c r="A7" s="5">
        <v>1004</v>
      </c>
      <c r="B7" s="5" t="str">
        <f>_xlfn.CONCAT(RouteInfo_Table[[#This Row],[City01]], "-",RouteInfo_Table[[#This Row],[City02]])</f>
        <v>Paris-Brest</v>
      </c>
      <c r="C7" s="5" t="s">
        <v>11</v>
      </c>
      <c r="D7" s="5" t="s">
        <v>9</v>
      </c>
      <c r="E7" s="5">
        <v>3</v>
      </c>
      <c r="F7" s="5">
        <f>INDEX(RtP_Table[#All], MATCH(RouteInfo_Table[[#This Row],[Route_Length]],RtP_Table[Route_Length],0) + 1, MATCH(RouteInfo_Table[[#Headers],[Route_Points]], RtP_Table[#Headers], 0))</f>
        <v>4</v>
      </c>
      <c r="G7" s="7">
        <f>RouteInfo_Table[[#This Row],[Route_Points]]/RouteInfo_Table[[#This Row],[Route_Length]]</f>
        <v>1.3333333333333333</v>
      </c>
    </row>
    <row r="8" spans="1:7" x14ac:dyDescent="0.2">
      <c r="A8" s="5">
        <v>1005</v>
      </c>
      <c r="B8" s="5" t="str">
        <f>_xlfn.CONCAT(RouteInfo_Table[[#This Row],[City01]], "-",RouteInfo_Table[[#This Row],[City02]])</f>
        <v>Paris-Bruxelles</v>
      </c>
      <c r="C8" s="5" t="s">
        <v>11</v>
      </c>
      <c r="D8" s="5" t="s">
        <v>10</v>
      </c>
      <c r="E8" s="5">
        <v>2</v>
      </c>
      <c r="F8" s="5">
        <f>INDEX(RtP_Table[#All], MATCH(RouteInfo_Table[[#This Row],[Route_Length]],RtP_Table[Route_Length],0) + 1, MATCH(RouteInfo_Table[[#Headers],[Route_Points]], RtP_Table[#Headers], 0))</f>
        <v>2</v>
      </c>
      <c r="G8" s="7">
        <f>RouteInfo_Table[[#This Row],[Route_Points]]/RouteInfo_Table[[#This Row],[Route_Length]]</f>
        <v>1</v>
      </c>
    </row>
    <row r="9" spans="1:7" x14ac:dyDescent="0.2">
      <c r="A9" s="5">
        <v>1006</v>
      </c>
      <c r="B9" s="5" t="str">
        <f>_xlfn.CONCAT(RouteInfo_Table[[#This Row],[City01]], "-",RouteInfo_Table[[#This Row],[City02]])</f>
        <v>Paris-Dieppe</v>
      </c>
      <c r="C9" s="5" t="s">
        <v>11</v>
      </c>
      <c r="D9" s="5" t="s">
        <v>8</v>
      </c>
      <c r="E9" s="5">
        <v>1</v>
      </c>
      <c r="F9" s="5">
        <f>INDEX(RtP_Table[#All], MATCH(RouteInfo_Table[[#This Row],[Route_Length]],RtP_Table[Route_Length],0) + 1, MATCH(RouteInfo_Table[[#Headers],[Route_Points]], RtP_Table[#Headers], 0))</f>
        <v>1</v>
      </c>
      <c r="G9" s="7">
        <f>RouteInfo_Table[[#This Row],[Route_Points]]/RouteInfo_Table[[#This Row],[Route_Length]]</f>
        <v>1</v>
      </c>
    </row>
    <row r="10" spans="1:7" x14ac:dyDescent="0.2">
      <c r="A10" s="5">
        <v>1007</v>
      </c>
      <c r="B10" s="5" t="str">
        <f>_xlfn.CONCAT(RouteInfo_Table[[#This Row],[City01]], "-",RouteInfo_Table[[#This Row],[City02]])</f>
        <v>Pamplona-Brest</v>
      </c>
      <c r="C10" s="5" t="s">
        <v>15</v>
      </c>
      <c r="D10" s="5" t="s">
        <v>9</v>
      </c>
      <c r="E10" s="5">
        <v>4</v>
      </c>
      <c r="F10" s="5">
        <f>INDEX(RtP_Table[#All], MATCH(RouteInfo_Table[[#This Row],[Route_Length]],RtP_Table[Route_Length],0) + 1, MATCH(RouteInfo_Table[[#Headers],[Route_Points]], RtP_Table[#Headers], 0))</f>
        <v>7</v>
      </c>
      <c r="G10" s="7">
        <f>RouteInfo_Table[[#This Row],[Route_Points]]/RouteInfo_Table[[#This Row],[Route_Length]]</f>
        <v>1.75</v>
      </c>
    </row>
    <row r="11" spans="1:7" x14ac:dyDescent="0.2">
      <c r="A11" s="5">
        <v>1008</v>
      </c>
      <c r="B11" s="5" t="str">
        <f>_xlfn.CONCAT(RouteInfo_Table[[#This Row],[City01]], "-",RouteInfo_Table[[#This Row],[City02]])</f>
        <v>Pamplona-Marseille</v>
      </c>
      <c r="C11" s="5" t="s">
        <v>15</v>
      </c>
      <c r="D11" s="5" t="s">
        <v>14</v>
      </c>
      <c r="E11" s="5">
        <v>4</v>
      </c>
      <c r="F11" s="5">
        <f>INDEX(RtP_Table[#All], MATCH(RouteInfo_Table[[#This Row],[Route_Length]],RtP_Table[Route_Length],0) + 1, MATCH(RouteInfo_Table[[#Headers],[Route_Points]], RtP_Table[#Headers], 0))</f>
        <v>7</v>
      </c>
      <c r="G11" s="7">
        <f>RouteInfo_Table[[#This Row],[Route_Points]]/RouteInfo_Table[[#This Row],[Route_Length]]</f>
        <v>1.75</v>
      </c>
    </row>
    <row r="12" spans="1:7" x14ac:dyDescent="0.2">
      <c r="A12" s="5">
        <v>1009</v>
      </c>
      <c r="B12" s="5" t="str">
        <f>_xlfn.CONCAT(RouteInfo_Table[[#This Row],[City01]], "-",RouteInfo_Table[[#This Row],[City02]])</f>
        <v>Pamplona-Madrid</v>
      </c>
      <c r="C12" s="5" t="s">
        <v>15</v>
      </c>
      <c r="D12" s="5" t="s">
        <v>27</v>
      </c>
      <c r="E12" s="5">
        <v>3</v>
      </c>
      <c r="F12" s="5">
        <f>INDEX(RtP_Table[#All], MATCH(RouteInfo_Table[[#This Row],[Route_Length]],RtP_Table[Route_Length],0) + 1, MATCH(RouteInfo_Table[[#Headers],[Route_Points]], RtP_Table[#Headers], 0))</f>
        <v>4</v>
      </c>
      <c r="G12" s="7">
        <f>RouteInfo_Table[[#This Row],[Route_Points]]/RouteInfo_Table[[#This Row],[Route_Length]]</f>
        <v>1.3333333333333333</v>
      </c>
    </row>
    <row r="13" spans="1:7" x14ac:dyDescent="0.2">
      <c r="A13" s="5">
        <v>1010</v>
      </c>
      <c r="B13" s="5" t="str">
        <f>_xlfn.CONCAT(RouteInfo_Table[[#This Row],[City01]], "-",RouteInfo_Table[[#This Row],[City02]])</f>
        <v>Pamplona-Barcelona</v>
      </c>
      <c r="C13" s="5" t="s">
        <v>15</v>
      </c>
      <c r="D13" s="5" t="s">
        <v>28</v>
      </c>
      <c r="E13" s="5">
        <v>2</v>
      </c>
      <c r="F13" s="5">
        <f>INDEX(RtP_Table[#All], MATCH(RouteInfo_Table[[#This Row],[Route_Length]],RtP_Table[Route_Length],0) + 1, MATCH(RouteInfo_Table[[#Headers],[Route_Points]], RtP_Table[#Headers], 0))</f>
        <v>2</v>
      </c>
      <c r="G13" s="7">
        <f>RouteInfo_Table[[#This Row],[Route_Points]]/RouteInfo_Table[[#This Row],[Route_Length]]</f>
        <v>1</v>
      </c>
    </row>
    <row r="14" spans="1:7" x14ac:dyDescent="0.2">
      <c r="A14" s="5">
        <v>1011</v>
      </c>
      <c r="B14" s="5" t="str">
        <f>_xlfn.CONCAT(RouteInfo_Table[[#This Row],[City01]], "-",RouteInfo_Table[[#This Row],[City02]])</f>
        <v>Frankfurt-Berlin</v>
      </c>
      <c r="C14" s="5" t="s">
        <v>12</v>
      </c>
      <c r="D14" s="5" t="s">
        <v>22</v>
      </c>
      <c r="E14" s="5">
        <v>3</v>
      </c>
      <c r="F14" s="5">
        <f>INDEX(RtP_Table[#All], MATCH(RouteInfo_Table[[#This Row],[Route_Length]],RtP_Table[Route_Length],0) + 1, MATCH(RouteInfo_Table[[#Headers],[Route_Points]], RtP_Table[#Headers], 0))</f>
        <v>4</v>
      </c>
      <c r="G14" s="7">
        <f>RouteInfo_Table[[#This Row],[Route_Points]]/RouteInfo_Table[[#This Row],[Route_Length]]</f>
        <v>1.3333333333333333</v>
      </c>
    </row>
    <row r="15" spans="1:7" x14ac:dyDescent="0.2">
      <c r="A15" s="5">
        <v>1012</v>
      </c>
      <c r="B15" s="5" t="str">
        <f>_xlfn.CONCAT(RouteInfo_Table[[#This Row],[City01]], "-",RouteInfo_Table[[#This Row],[City02]])</f>
        <v>Frankfurt-Munchen</v>
      </c>
      <c r="C15" s="5" t="s">
        <v>12</v>
      </c>
      <c r="D15" s="5" t="s">
        <v>23</v>
      </c>
      <c r="E15" s="5">
        <v>2</v>
      </c>
      <c r="F15" s="5">
        <f>INDEX(RtP_Table[#All], MATCH(RouteInfo_Table[[#This Row],[Route_Length]],RtP_Table[Route_Length],0) + 1, MATCH(RouteInfo_Table[[#Headers],[Route_Points]], RtP_Table[#Headers], 0))</f>
        <v>2</v>
      </c>
      <c r="G15" s="7">
        <f>RouteInfo_Table[[#This Row],[Route_Points]]/RouteInfo_Table[[#This Row],[Route_Length]]</f>
        <v>1</v>
      </c>
    </row>
    <row r="16" spans="1:7" x14ac:dyDescent="0.2">
      <c r="A16" s="5">
        <v>1013</v>
      </c>
      <c r="B16" s="5" t="str">
        <f>_xlfn.CONCAT(RouteInfo_Table[[#This Row],[City01]], "-",RouteInfo_Table[[#This Row],[City02]])</f>
        <v>Frankfurt-Bruxelles</v>
      </c>
      <c r="C16" s="5" t="s">
        <v>12</v>
      </c>
      <c r="D16" s="5" t="s">
        <v>10</v>
      </c>
      <c r="E16" s="5">
        <v>2</v>
      </c>
      <c r="F16" s="5">
        <f>INDEX(RtP_Table[#All], MATCH(RouteInfo_Table[[#This Row],[Route_Length]],RtP_Table[Route_Length],0) + 1, MATCH(RouteInfo_Table[[#Headers],[Route_Points]], RtP_Table[#Headers], 0))</f>
        <v>2</v>
      </c>
      <c r="G16" s="7">
        <f>RouteInfo_Table[[#This Row],[Route_Points]]/RouteInfo_Table[[#This Row],[Route_Length]]</f>
        <v>1</v>
      </c>
    </row>
    <row r="17" spans="1:7" x14ac:dyDescent="0.2">
      <c r="A17" s="5">
        <v>1014</v>
      </c>
      <c r="B17" s="5" t="str">
        <f>_xlfn.CONCAT(RouteInfo_Table[[#This Row],[City01]], "-",RouteInfo_Table[[#This Row],[City02]])</f>
        <v>Frankfurt-Amsterdam</v>
      </c>
      <c r="C17" s="5" t="s">
        <v>12</v>
      </c>
      <c r="D17" s="5" t="s">
        <v>7</v>
      </c>
      <c r="E17" s="5">
        <v>2</v>
      </c>
      <c r="F17" s="5">
        <f>INDEX(RtP_Table[#All], MATCH(RouteInfo_Table[[#This Row],[Route_Length]],RtP_Table[Route_Length],0) + 1, MATCH(RouteInfo_Table[[#Headers],[Route_Points]], RtP_Table[#Headers], 0))</f>
        <v>2</v>
      </c>
      <c r="G17" s="7">
        <f>RouteInfo_Table[[#This Row],[Route_Points]]/RouteInfo_Table[[#This Row],[Route_Length]]</f>
        <v>1</v>
      </c>
    </row>
    <row r="18" spans="1:7" x14ac:dyDescent="0.2">
      <c r="A18" s="5">
        <v>1015</v>
      </c>
      <c r="B18" s="5" t="str">
        <f>_xlfn.CONCAT(RouteInfo_Table[[#This Row],[City01]], "-",RouteInfo_Table[[#This Row],[City02]])</f>
        <v>Frankfurt-Essen</v>
      </c>
      <c r="C18" s="5" t="s">
        <v>12</v>
      </c>
      <c r="D18" s="5" t="s">
        <v>24</v>
      </c>
      <c r="E18" s="5">
        <v>2</v>
      </c>
      <c r="F18" s="5">
        <f>INDEX(RtP_Table[#All], MATCH(RouteInfo_Table[[#This Row],[Route_Length]],RtP_Table[Route_Length],0) + 1, MATCH(RouteInfo_Table[[#Headers],[Route_Points]], RtP_Table[#Headers], 0))</f>
        <v>2</v>
      </c>
      <c r="G18" s="7">
        <f>RouteInfo_Table[[#This Row],[Route_Points]]/RouteInfo_Table[[#This Row],[Route_Length]]</f>
        <v>1</v>
      </c>
    </row>
    <row r="19" spans="1:7" x14ac:dyDescent="0.2">
      <c r="A19" s="5">
        <v>1016</v>
      </c>
      <c r="B19" s="5" t="str">
        <f>_xlfn.CONCAT(RouteInfo_Table[[#This Row],[City01]], "-",RouteInfo_Table[[#This Row],[City02]])</f>
        <v>Marseille-Barcelona</v>
      </c>
      <c r="C19" s="5" t="s">
        <v>14</v>
      </c>
      <c r="D19" s="5" t="s">
        <v>28</v>
      </c>
      <c r="E19" s="5">
        <v>4</v>
      </c>
      <c r="F19" s="5">
        <f>INDEX(RtP_Table[#All], MATCH(RouteInfo_Table[[#This Row],[Route_Length]],RtP_Table[Route_Length],0) + 1, MATCH(RouteInfo_Table[[#Headers],[Route_Points]], RtP_Table[#Headers], 0))</f>
        <v>7</v>
      </c>
      <c r="G19" s="7">
        <f>RouteInfo_Table[[#This Row],[Route_Points]]/RouteInfo_Table[[#This Row],[Route_Length]]</f>
        <v>1.75</v>
      </c>
    </row>
    <row r="20" spans="1:7" x14ac:dyDescent="0.2">
      <c r="A20" s="5">
        <v>1017</v>
      </c>
      <c r="B20" s="5" t="str">
        <f>_xlfn.CONCAT(RouteInfo_Table[[#This Row],[City01]], "-",RouteInfo_Table[[#This Row],[City02]])</f>
        <v>Marseille-Roma</v>
      </c>
      <c r="C20" s="5" t="s">
        <v>14</v>
      </c>
      <c r="D20" s="5" t="s">
        <v>29</v>
      </c>
      <c r="E20" s="5">
        <v>4</v>
      </c>
      <c r="F20" s="5">
        <f>INDEX(RtP_Table[#All], MATCH(RouteInfo_Table[[#This Row],[Route_Length]],RtP_Table[Route_Length],0) + 1, MATCH(RouteInfo_Table[[#Headers],[Route_Points]], RtP_Table[#Headers], 0))</f>
        <v>7</v>
      </c>
      <c r="G20" s="7">
        <f>RouteInfo_Table[[#This Row],[Route_Points]]/RouteInfo_Table[[#This Row],[Route_Length]]</f>
        <v>1.75</v>
      </c>
    </row>
    <row r="21" spans="1:7" x14ac:dyDescent="0.2">
      <c r="A21" s="5">
        <v>1018</v>
      </c>
      <c r="B21" s="5" t="str">
        <f>_xlfn.CONCAT(RouteInfo_Table[[#This Row],[City01]], "-",RouteInfo_Table[[#This Row],[City02]])</f>
        <v>Marseille-Zurich</v>
      </c>
      <c r="C21" s="5" t="s">
        <v>14</v>
      </c>
      <c r="D21" s="5" t="s">
        <v>13</v>
      </c>
      <c r="E21" s="5">
        <v>2</v>
      </c>
      <c r="F21" s="5">
        <f>INDEX(RtP_Table[#All], MATCH(RouteInfo_Table[[#This Row],[Route_Length]],RtP_Table[Route_Length],0) + 1, MATCH(RouteInfo_Table[[#Headers],[Route_Points]], RtP_Table[#Headers], 0))</f>
        <v>2</v>
      </c>
      <c r="G21" s="7">
        <f>RouteInfo_Table[[#This Row],[Route_Points]]/RouteInfo_Table[[#This Row],[Route_Length]]</f>
        <v>1</v>
      </c>
    </row>
    <row r="22" spans="1:7" x14ac:dyDescent="0.2">
      <c r="A22" s="5">
        <v>1019</v>
      </c>
      <c r="B22" s="5" t="str">
        <f>_xlfn.CONCAT(RouteInfo_Table[[#This Row],[City01]], "-",RouteInfo_Table[[#This Row],[City02]])</f>
        <v>Berlin-Warszawa</v>
      </c>
      <c r="C22" s="5" t="s">
        <v>22</v>
      </c>
      <c r="D22" s="5" t="s">
        <v>19</v>
      </c>
      <c r="E22" s="5">
        <v>4</v>
      </c>
      <c r="F22" s="5">
        <f>INDEX(RtP_Table[#All], MATCH(RouteInfo_Table[[#This Row],[Route_Length]],RtP_Table[Route_Length],0) + 1, MATCH(RouteInfo_Table[[#Headers],[Route_Points]], RtP_Table[#Headers], 0))</f>
        <v>7</v>
      </c>
      <c r="G22" s="7">
        <f>RouteInfo_Table[[#This Row],[Route_Points]]/RouteInfo_Table[[#This Row],[Route_Length]]</f>
        <v>1.75</v>
      </c>
    </row>
    <row r="23" spans="1:7" x14ac:dyDescent="0.2">
      <c r="A23" s="5">
        <v>1020</v>
      </c>
      <c r="B23" s="5" t="str">
        <f>_xlfn.CONCAT(RouteInfo_Table[[#This Row],[City01]], "-",RouteInfo_Table[[#This Row],[City02]])</f>
        <v>Berlin-Danzig</v>
      </c>
      <c r="C23" s="5" t="s">
        <v>22</v>
      </c>
      <c r="D23" s="5" t="s">
        <v>66</v>
      </c>
      <c r="E23" s="5">
        <v>4</v>
      </c>
      <c r="F23" s="5">
        <f>INDEX(RtP_Table[#All], MATCH(RouteInfo_Table[[#This Row],[Route_Length]],RtP_Table[Route_Length],0) + 1, MATCH(RouteInfo_Table[[#Headers],[Route_Points]], RtP_Table[#Headers], 0))</f>
        <v>7</v>
      </c>
      <c r="G23" s="7">
        <f>RouteInfo_Table[[#This Row],[Route_Points]]/RouteInfo_Table[[#This Row],[Route_Length]]</f>
        <v>1.75</v>
      </c>
    </row>
    <row r="24" spans="1:7" x14ac:dyDescent="0.2">
      <c r="A24" s="5">
        <v>1021</v>
      </c>
      <c r="B24" s="5" t="str">
        <f>_xlfn.CONCAT(RouteInfo_Table[[#This Row],[City01]], "-",RouteInfo_Table[[#This Row],[City02]])</f>
        <v>Berlin-Wien</v>
      </c>
      <c r="C24" s="5" t="s">
        <v>22</v>
      </c>
      <c r="D24" s="5" t="s">
        <v>25</v>
      </c>
      <c r="E24" s="5">
        <v>3</v>
      </c>
      <c r="F24" s="5">
        <f>INDEX(RtP_Table[#All], MATCH(RouteInfo_Table[[#This Row],[Route_Length]],RtP_Table[Route_Length],0) + 1, MATCH(RouteInfo_Table[[#Headers],[Route_Points]], RtP_Table[#Headers], 0))</f>
        <v>4</v>
      </c>
      <c r="G24" s="7">
        <f>RouteInfo_Table[[#This Row],[Route_Points]]/RouteInfo_Table[[#This Row],[Route_Length]]</f>
        <v>1.3333333333333333</v>
      </c>
    </row>
    <row r="25" spans="1:7" x14ac:dyDescent="0.2">
      <c r="A25" s="5">
        <v>1022</v>
      </c>
      <c r="B25" s="5" t="str">
        <f>_xlfn.CONCAT(RouteInfo_Table[[#This Row],[City01]], "-",RouteInfo_Table[[#This Row],[City02]])</f>
        <v>Berlin-Essen</v>
      </c>
      <c r="C25" s="5" t="s">
        <v>22</v>
      </c>
      <c r="D25" s="5" t="s">
        <v>24</v>
      </c>
      <c r="E25" s="5">
        <v>2</v>
      </c>
      <c r="F25" s="5">
        <f>INDEX(RtP_Table[#All], MATCH(RouteInfo_Table[[#This Row],[Route_Length]],RtP_Table[Route_Length],0) + 1, MATCH(RouteInfo_Table[[#Headers],[Route_Points]], RtP_Table[#Headers], 0))</f>
        <v>2</v>
      </c>
      <c r="G25" s="7">
        <f>RouteInfo_Table[[#This Row],[Route_Points]]/RouteInfo_Table[[#This Row],[Route_Length]]</f>
        <v>1</v>
      </c>
    </row>
    <row r="26" spans="1:7" x14ac:dyDescent="0.2">
      <c r="A26" s="5">
        <v>1023</v>
      </c>
      <c r="B26" s="5" t="str">
        <f>_xlfn.CONCAT(RouteInfo_Table[[#This Row],[City01]], "-",RouteInfo_Table[[#This Row],[City02]])</f>
        <v>Wien-Warszawa</v>
      </c>
      <c r="C26" s="5" t="s">
        <v>25</v>
      </c>
      <c r="D26" s="5" t="s">
        <v>19</v>
      </c>
      <c r="E26" s="5">
        <v>4</v>
      </c>
      <c r="F26" s="5">
        <f>INDEX(RtP_Table[#All], MATCH(RouteInfo_Table[[#This Row],[Route_Length]],RtP_Table[Route_Length],0) + 1, MATCH(RouteInfo_Table[[#Headers],[Route_Points]], RtP_Table[#Headers], 0))</f>
        <v>7</v>
      </c>
      <c r="G26" s="7">
        <f>RouteInfo_Table[[#This Row],[Route_Points]]/RouteInfo_Table[[#This Row],[Route_Length]]</f>
        <v>1.75</v>
      </c>
    </row>
    <row r="27" spans="1:7" x14ac:dyDescent="0.2">
      <c r="A27" s="5">
        <v>1024</v>
      </c>
      <c r="B27" s="5" t="str">
        <f>_xlfn.CONCAT(RouteInfo_Table[[#This Row],[City01]], "-",RouteInfo_Table[[#This Row],[City02]])</f>
        <v>Wien-Munchen</v>
      </c>
      <c r="C27" s="5" t="s">
        <v>25</v>
      </c>
      <c r="D27" s="5" t="s">
        <v>23</v>
      </c>
      <c r="E27" s="5">
        <v>3</v>
      </c>
      <c r="F27" s="5">
        <f>INDEX(RtP_Table[#All], MATCH(RouteInfo_Table[[#This Row],[Route_Length]],RtP_Table[Route_Length],0) + 1, MATCH(RouteInfo_Table[[#Headers],[Route_Points]], RtP_Table[#Headers], 0))</f>
        <v>4</v>
      </c>
      <c r="G27" s="7">
        <f>RouteInfo_Table[[#This Row],[Route_Points]]/RouteInfo_Table[[#This Row],[Route_Length]]</f>
        <v>1.3333333333333333</v>
      </c>
    </row>
    <row r="28" spans="1:7" x14ac:dyDescent="0.2">
      <c r="A28" s="5">
        <v>1025</v>
      </c>
      <c r="B28" s="5" t="str">
        <f>_xlfn.CONCAT(RouteInfo_Table[[#This Row],[City01]], "-",RouteInfo_Table[[#This Row],[City02]])</f>
        <v>Wien-Zagrab</v>
      </c>
      <c r="C28" s="5" t="s">
        <v>25</v>
      </c>
      <c r="D28" s="5" t="s">
        <v>26</v>
      </c>
      <c r="E28" s="5">
        <v>2</v>
      </c>
      <c r="F28" s="5">
        <f>INDEX(RtP_Table[#All], MATCH(RouteInfo_Table[[#This Row],[Route_Length]],RtP_Table[Route_Length],0) + 1, MATCH(RouteInfo_Table[[#Headers],[Route_Points]], RtP_Table[#Headers], 0))</f>
        <v>2</v>
      </c>
      <c r="G28" s="7">
        <f>RouteInfo_Table[[#This Row],[Route_Points]]/RouteInfo_Table[[#This Row],[Route_Length]]</f>
        <v>1</v>
      </c>
    </row>
    <row r="29" spans="1:7" x14ac:dyDescent="0.2">
      <c r="A29" s="5">
        <v>1026</v>
      </c>
      <c r="B29" s="5" t="str">
        <f>_xlfn.CONCAT(RouteInfo_Table[[#This Row],[City01]], "-",RouteInfo_Table[[#This Row],[City02]])</f>
        <v>Wien-Budapest</v>
      </c>
      <c r="C29" s="5" t="s">
        <v>25</v>
      </c>
      <c r="D29" s="5" t="s">
        <v>17</v>
      </c>
      <c r="E29" s="5">
        <v>1</v>
      </c>
      <c r="F29" s="5">
        <f>INDEX(RtP_Table[#All], MATCH(RouteInfo_Table[[#This Row],[Route_Length]],RtP_Table[Route_Length],0) + 1, MATCH(RouteInfo_Table[[#Headers],[Route_Points]], RtP_Table[#Headers], 0))</f>
        <v>1</v>
      </c>
      <c r="G29" s="7">
        <f>RouteInfo_Table[[#This Row],[Route_Points]]/RouteInfo_Table[[#This Row],[Route_Length]]</f>
        <v>1</v>
      </c>
    </row>
    <row r="30" spans="1:7" x14ac:dyDescent="0.2">
      <c r="A30" s="5">
        <v>1027</v>
      </c>
      <c r="B30" s="5" t="str">
        <f>_xlfn.CONCAT(RouteInfo_Table[[#This Row],[City01]], "-",RouteInfo_Table[[#This Row],[City02]])</f>
        <v>Warszawa-Kyiv</v>
      </c>
      <c r="C30" s="5" t="s">
        <v>19</v>
      </c>
      <c r="D30" s="5" t="s">
        <v>16</v>
      </c>
      <c r="E30" s="5">
        <v>4</v>
      </c>
      <c r="F30" s="5">
        <f>INDEX(RtP_Table[#All], MATCH(RouteInfo_Table[[#This Row],[Route_Length]],RtP_Table[Route_Length],0) + 1, MATCH(RouteInfo_Table[[#Headers],[Route_Points]], RtP_Table[#Headers], 0))</f>
        <v>7</v>
      </c>
      <c r="G30" s="7">
        <f>RouteInfo_Table[[#This Row],[Route_Points]]/RouteInfo_Table[[#This Row],[Route_Length]]</f>
        <v>1.75</v>
      </c>
    </row>
    <row r="31" spans="1:7" x14ac:dyDescent="0.2">
      <c r="A31" s="5">
        <v>1028</v>
      </c>
      <c r="B31" s="5" t="str">
        <f>_xlfn.CONCAT(RouteInfo_Table[[#This Row],[City01]], "-",RouteInfo_Table[[#This Row],[City02]])</f>
        <v>Warszawa-Wilno</v>
      </c>
      <c r="C31" s="5" t="s">
        <v>19</v>
      </c>
      <c r="D31" s="5" t="s">
        <v>21</v>
      </c>
      <c r="E31" s="5">
        <v>3</v>
      </c>
      <c r="F31" s="5">
        <f>INDEX(RtP_Table[#All], MATCH(RouteInfo_Table[[#This Row],[Route_Length]],RtP_Table[Route_Length],0) + 1, MATCH(RouteInfo_Table[[#Headers],[Route_Points]], RtP_Table[#Headers], 0))</f>
        <v>4</v>
      </c>
      <c r="G31" s="7">
        <f>RouteInfo_Table[[#This Row],[Route_Points]]/RouteInfo_Table[[#This Row],[Route_Length]]</f>
        <v>1.3333333333333333</v>
      </c>
    </row>
    <row r="32" spans="1:7" x14ac:dyDescent="0.2">
      <c r="A32" s="5">
        <v>1029</v>
      </c>
      <c r="B32" s="5" t="str">
        <f>_xlfn.CONCAT(RouteInfo_Table[[#This Row],[City01]], "-",RouteInfo_Table[[#This Row],[City02]])</f>
        <v>Warszawa-Danzig</v>
      </c>
      <c r="C32" s="5" t="s">
        <v>19</v>
      </c>
      <c r="D32" s="5" t="s">
        <v>66</v>
      </c>
      <c r="E32" s="5">
        <v>2</v>
      </c>
      <c r="F32" s="5">
        <f>INDEX(RtP_Table[#All], MATCH(RouteInfo_Table[[#This Row],[Route_Length]],RtP_Table[Route_Length],0) + 1, MATCH(RouteInfo_Table[[#Headers],[Route_Points]], RtP_Table[#Headers], 0))</f>
        <v>2</v>
      </c>
      <c r="G32" s="7">
        <f>RouteInfo_Table[[#This Row],[Route_Points]]/RouteInfo_Table[[#This Row],[Route_Length]]</f>
        <v>1</v>
      </c>
    </row>
    <row r="33" spans="1:7" x14ac:dyDescent="0.2">
      <c r="A33" s="5">
        <v>1030</v>
      </c>
      <c r="B33" s="5" t="str">
        <f>_xlfn.CONCAT(RouteInfo_Table[[#This Row],[City01]], "-",RouteInfo_Table[[#This Row],[City02]])</f>
        <v>Budapest-Kyiv</v>
      </c>
      <c r="C33" s="5" t="s">
        <v>17</v>
      </c>
      <c r="D33" s="5" t="s">
        <v>16</v>
      </c>
      <c r="E33" s="5">
        <v>6</v>
      </c>
      <c r="F33" s="5">
        <f>INDEX(RtP_Table[#All], MATCH(RouteInfo_Table[[#This Row],[Route_Length]],RtP_Table[Route_Length],0) + 1, MATCH(RouteInfo_Table[[#Headers],[Route_Points]], RtP_Table[#Headers], 0))</f>
        <v>15</v>
      </c>
      <c r="G33" s="7">
        <f>RouteInfo_Table[[#This Row],[Route_Points]]/RouteInfo_Table[[#This Row],[Route_Length]]</f>
        <v>2.5</v>
      </c>
    </row>
    <row r="34" spans="1:7" x14ac:dyDescent="0.2">
      <c r="A34" s="5">
        <v>1031</v>
      </c>
      <c r="B34" s="5" t="str">
        <f>_xlfn.CONCAT(RouteInfo_Table[[#This Row],[City01]], "-",RouteInfo_Table[[#This Row],[City02]])</f>
        <v>Budapest-Bucresti</v>
      </c>
      <c r="C34" s="5" t="s">
        <v>17</v>
      </c>
      <c r="D34" s="5" t="s">
        <v>18</v>
      </c>
      <c r="E34" s="5">
        <v>4</v>
      </c>
      <c r="F34" s="5">
        <f>INDEX(RtP_Table[#All], MATCH(RouteInfo_Table[[#This Row],[Route_Length]],RtP_Table[Route_Length],0) + 1, MATCH(RouteInfo_Table[[#Headers],[Route_Points]], RtP_Table[#Headers], 0))</f>
        <v>7</v>
      </c>
      <c r="G34" s="7">
        <f>RouteInfo_Table[[#This Row],[Route_Points]]/RouteInfo_Table[[#This Row],[Route_Length]]</f>
        <v>1.75</v>
      </c>
    </row>
    <row r="35" spans="1:7" x14ac:dyDescent="0.2">
      <c r="A35" s="5">
        <v>1032</v>
      </c>
      <c r="B35" s="5" t="str">
        <f>_xlfn.CONCAT(RouteInfo_Table[[#This Row],[City01]], "-",RouteInfo_Table[[#This Row],[City02]])</f>
        <v>Budapest-Sarajevo</v>
      </c>
      <c r="C35" s="5" t="s">
        <v>17</v>
      </c>
      <c r="D35" s="5" t="s">
        <v>30</v>
      </c>
      <c r="E35" s="5">
        <v>3</v>
      </c>
      <c r="F35" s="5">
        <f>INDEX(RtP_Table[#All], MATCH(RouteInfo_Table[[#This Row],[Route_Length]],RtP_Table[Route_Length],0) + 1, MATCH(RouteInfo_Table[[#Headers],[Route_Points]], RtP_Table[#Headers], 0))</f>
        <v>4</v>
      </c>
      <c r="G35" s="7">
        <f>RouteInfo_Table[[#This Row],[Route_Points]]/RouteInfo_Table[[#This Row],[Route_Length]]</f>
        <v>1.3333333333333333</v>
      </c>
    </row>
    <row r="36" spans="1:7" x14ac:dyDescent="0.2">
      <c r="A36" s="5">
        <v>1033</v>
      </c>
      <c r="B36" s="5" t="str">
        <f>_xlfn.CONCAT(RouteInfo_Table[[#This Row],[City01]], "-",RouteInfo_Table[[#This Row],[City02]])</f>
        <v>Budapest-Zagrab</v>
      </c>
      <c r="C36" s="5" t="s">
        <v>17</v>
      </c>
      <c r="D36" s="5" t="s">
        <v>26</v>
      </c>
      <c r="E36" s="5">
        <v>2</v>
      </c>
      <c r="F36" s="5">
        <f>INDEX(RtP_Table[#All], MATCH(RouteInfo_Table[[#This Row],[Route_Length]],RtP_Table[Route_Length],0) + 1, MATCH(RouteInfo_Table[[#Headers],[Route_Points]], RtP_Table[#Headers], 0))</f>
        <v>2</v>
      </c>
      <c r="G36" s="7">
        <f>RouteInfo_Table[[#This Row],[Route_Points]]/RouteInfo_Table[[#This Row],[Route_Length]]</f>
        <v>1</v>
      </c>
    </row>
    <row r="37" spans="1:7" x14ac:dyDescent="0.2">
      <c r="A37" s="5">
        <v>1034</v>
      </c>
      <c r="B37" s="5" t="str">
        <f>_xlfn.CONCAT(RouteInfo_Table[[#This Row],[City01]], "-",RouteInfo_Table[[#This Row],[City02]])</f>
        <v>Wilno-Riga</v>
      </c>
      <c r="C37" s="5" t="s">
        <v>21</v>
      </c>
      <c r="D37" s="5" t="s">
        <v>31</v>
      </c>
      <c r="E37" s="5">
        <v>4</v>
      </c>
      <c r="F37" s="5">
        <f>INDEX(RtP_Table[#All], MATCH(RouteInfo_Table[[#This Row],[Route_Length]],RtP_Table[Route_Length],0) + 1, MATCH(RouteInfo_Table[[#Headers],[Route_Points]], RtP_Table[#Headers], 0))</f>
        <v>7</v>
      </c>
      <c r="G37" s="7">
        <f>RouteInfo_Table[[#This Row],[Route_Points]]/RouteInfo_Table[[#This Row],[Route_Length]]</f>
        <v>1.75</v>
      </c>
    </row>
    <row r="38" spans="1:7" x14ac:dyDescent="0.2">
      <c r="A38" s="5">
        <v>1035</v>
      </c>
      <c r="B38" s="5" t="str">
        <f>_xlfn.CONCAT(RouteInfo_Table[[#This Row],[City01]], "-",RouteInfo_Table[[#This Row],[City02]])</f>
        <v>Wilno-Petrograd</v>
      </c>
      <c r="C38" s="5" t="s">
        <v>21</v>
      </c>
      <c r="D38" s="5" t="s">
        <v>32</v>
      </c>
      <c r="E38" s="5">
        <v>4</v>
      </c>
      <c r="F38" s="5">
        <f>INDEX(RtP_Table[#All], MATCH(RouteInfo_Table[[#This Row],[Route_Length]],RtP_Table[Route_Length],0) + 1, MATCH(RouteInfo_Table[[#Headers],[Route_Points]], RtP_Table[#Headers], 0))</f>
        <v>7</v>
      </c>
      <c r="G38" s="7">
        <f>RouteInfo_Table[[#This Row],[Route_Points]]/RouteInfo_Table[[#This Row],[Route_Length]]</f>
        <v>1.75</v>
      </c>
    </row>
    <row r="39" spans="1:7" x14ac:dyDescent="0.2">
      <c r="A39" s="5">
        <v>1036</v>
      </c>
      <c r="B39" s="5" t="str">
        <f>_xlfn.CONCAT(RouteInfo_Table[[#This Row],[City01]], "-",RouteInfo_Table[[#This Row],[City02]])</f>
        <v>Wilno-Smolensk</v>
      </c>
      <c r="C39" s="5" t="s">
        <v>21</v>
      </c>
      <c r="D39" s="5" t="s">
        <v>20</v>
      </c>
      <c r="E39" s="5">
        <v>3</v>
      </c>
      <c r="F39" s="5">
        <f>INDEX(RtP_Table[#All], MATCH(RouteInfo_Table[[#This Row],[Route_Length]],RtP_Table[Route_Length],0) + 1, MATCH(RouteInfo_Table[[#Headers],[Route_Points]], RtP_Table[#Headers], 0))</f>
        <v>4</v>
      </c>
      <c r="G39" s="7">
        <f>RouteInfo_Table[[#This Row],[Route_Points]]/RouteInfo_Table[[#This Row],[Route_Length]]</f>
        <v>1.3333333333333333</v>
      </c>
    </row>
    <row r="40" spans="1:7" x14ac:dyDescent="0.2">
      <c r="A40" s="5">
        <v>1037</v>
      </c>
      <c r="B40" s="5" t="str">
        <f>_xlfn.CONCAT(RouteInfo_Table[[#This Row],[City01]], "-",RouteInfo_Table[[#This Row],[City02]])</f>
        <v>Wilno-Kyiv</v>
      </c>
      <c r="C40" s="5" t="s">
        <v>21</v>
      </c>
      <c r="D40" s="5" t="s">
        <v>16</v>
      </c>
      <c r="E40" s="5">
        <v>2</v>
      </c>
      <c r="F40" s="5">
        <f>INDEX(RtP_Table[#All], MATCH(RouteInfo_Table[[#This Row],[Route_Length]],RtP_Table[Route_Length],0) + 1, MATCH(RouteInfo_Table[[#Headers],[Route_Points]], RtP_Table[#Headers], 0))</f>
        <v>2</v>
      </c>
      <c r="G40" s="7">
        <f>RouteInfo_Table[[#This Row],[Route_Points]]/RouteInfo_Table[[#This Row],[Route_Length]]</f>
        <v>1</v>
      </c>
    </row>
    <row r="41" spans="1:7" x14ac:dyDescent="0.2">
      <c r="A41" s="5">
        <v>1038</v>
      </c>
      <c r="B41" s="5" t="str">
        <f>_xlfn.CONCAT(RouteInfo_Table[[#This Row],[City01]], "-",RouteInfo_Table[[#This Row],[City02]])</f>
        <v>Kyiv-Kharkov</v>
      </c>
      <c r="C41" s="5" t="s">
        <v>16</v>
      </c>
      <c r="D41" s="5" t="s">
        <v>33</v>
      </c>
      <c r="E41" s="5">
        <v>4</v>
      </c>
      <c r="F41" s="5">
        <f>INDEX(RtP_Table[#All], MATCH(RouteInfo_Table[[#This Row],[Route_Length]],RtP_Table[Route_Length],0) + 1, MATCH(RouteInfo_Table[[#Headers],[Route_Points]], RtP_Table[#Headers], 0))</f>
        <v>7</v>
      </c>
      <c r="G41" s="7">
        <f>RouteInfo_Table[[#This Row],[Route_Points]]/RouteInfo_Table[[#This Row],[Route_Length]]</f>
        <v>1.75</v>
      </c>
    </row>
    <row r="42" spans="1:7" x14ac:dyDescent="0.2">
      <c r="A42" s="5">
        <v>1039</v>
      </c>
      <c r="B42" s="5" t="str">
        <f>_xlfn.CONCAT(RouteInfo_Table[[#This Row],[City01]], "-",RouteInfo_Table[[#This Row],[City02]])</f>
        <v>Kyiv-Bucresti</v>
      </c>
      <c r="C42" s="5" t="s">
        <v>16</v>
      </c>
      <c r="D42" s="5" t="s">
        <v>18</v>
      </c>
      <c r="E42" s="5">
        <v>4</v>
      </c>
      <c r="F42" s="5">
        <f>INDEX(RtP_Table[#All], MATCH(RouteInfo_Table[[#This Row],[Route_Length]],RtP_Table[Route_Length],0) + 1, MATCH(RouteInfo_Table[[#Headers],[Route_Points]], RtP_Table[#Headers], 0))</f>
        <v>7</v>
      </c>
      <c r="G42" s="7">
        <f>RouteInfo_Table[[#This Row],[Route_Points]]/RouteInfo_Table[[#This Row],[Route_Length]]</f>
        <v>1.75</v>
      </c>
    </row>
    <row r="43" spans="1:7" x14ac:dyDescent="0.2">
      <c r="A43" s="5">
        <v>1040</v>
      </c>
      <c r="B43" s="5" t="str">
        <f>_xlfn.CONCAT(RouteInfo_Table[[#This Row],[City01]], "-",RouteInfo_Table[[#This Row],[City02]])</f>
        <v>Kyiv-Smolensk</v>
      </c>
      <c r="C43" s="5" t="s">
        <v>16</v>
      </c>
      <c r="D43" s="5" t="s">
        <v>20</v>
      </c>
      <c r="E43" s="5">
        <v>3</v>
      </c>
      <c r="F43" s="5">
        <f>INDEX(RtP_Table[#All], MATCH(RouteInfo_Table[[#This Row],[Route_Length]],RtP_Table[Route_Length],0) + 1, MATCH(RouteInfo_Table[[#Headers],[Route_Points]], RtP_Table[#Headers], 0))</f>
        <v>4</v>
      </c>
      <c r="G43" s="7">
        <f>RouteInfo_Table[[#This Row],[Route_Points]]/RouteInfo_Table[[#This Row],[Route_Length]]</f>
        <v>1.3333333333333333</v>
      </c>
    </row>
    <row r="44" spans="1:7" x14ac:dyDescent="0.2">
      <c r="A44" s="5">
        <v>1041</v>
      </c>
      <c r="B44" s="5" t="str">
        <f>_xlfn.CONCAT(RouteInfo_Table[[#This Row],[City01]], "-",RouteInfo_Table[[#This Row],[City02]])</f>
        <v>Bucresti-Sevastopol</v>
      </c>
      <c r="C44" s="5" t="s">
        <v>18</v>
      </c>
      <c r="D44" s="5" t="s">
        <v>34</v>
      </c>
      <c r="E44" s="5">
        <v>4</v>
      </c>
      <c r="F44" s="5">
        <f>INDEX(RtP_Table[#All], MATCH(RouteInfo_Table[[#This Row],[Route_Length]],RtP_Table[Route_Length],0) + 1, MATCH(RouteInfo_Table[[#Headers],[Route_Points]], RtP_Table[#Headers], 0))</f>
        <v>7</v>
      </c>
      <c r="G44" s="7">
        <f>RouteInfo_Table[[#This Row],[Route_Points]]/RouteInfo_Table[[#This Row],[Route_Length]]</f>
        <v>1.75</v>
      </c>
    </row>
    <row r="45" spans="1:7" x14ac:dyDescent="0.2">
      <c r="A45" s="5">
        <v>1042</v>
      </c>
      <c r="B45" s="5" t="str">
        <f>_xlfn.CONCAT(RouteInfo_Table[[#This Row],[City01]], "-",RouteInfo_Table[[#This Row],[City02]])</f>
        <v>Bucresti-Constantinople</v>
      </c>
      <c r="C45" s="5" t="s">
        <v>18</v>
      </c>
      <c r="D45" s="5" t="s">
        <v>35</v>
      </c>
      <c r="E45" s="5">
        <v>3</v>
      </c>
      <c r="F45" s="5">
        <f>INDEX(RtP_Table[#All], MATCH(RouteInfo_Table[[#This Row],[Route_Length]],RtP_Table[Route_Length],0) + 1, MATCH(RouteInfo_Table[[#Headers],[Route_Points]], RtP_Table[#Headers], 0))</f>
        <v>4</v>
      </c>
      <c r="G45" s="7">
        <f>RouteInfo_Table[[#This Row],[Route_Points]]/RouteInfo_Table[[#This Row],[Route_Length]]</f>
        <v>1.3333333333333333</v>
      </c>
    </row>
    <row r="46" spans="1:7" x14ac:dyDescent="0.2">
      <c r="A46" s="5">
        <v>1043</v>
      </c>
      <c r="B46" s="5" t="str">
        <f>_xlfn.CONCAT(RouteInfo_Table[[#This Row],[City01]], "-",RouteInfo_Table[[#This Row],[City02]])</f>
        <v>Bucresti-Sofia</v>
      </c>
      <c r="C46" s="5" t="s">
        <v>18</v>
      </c>
      <c r="D46" s="5" t="s">
        <v>36</v>
      </c>
      <c r="E46" s="5">
        <v>2</v>
      </c>
      <c r="F46" s="5">
        <f>INDEX(RtP_Table[#All], MATCH(RouteInfo_Table[[#This Row],[Route_Length]],RtP_Table[Route_Length],0) + 1, MATCH(RouteInfo_Table[[#Headers],[Route_Points]], RtP_Table[#Headers], 0))</f>
        <v>2</v>
      </c>
      <c r="G46" s="7">
        <f>RouteInfo_Table[[#This Row],[Route_Points]]/RouteInfo_Table[[#This Row],[Route_Length]]</f>
        <v>1</v>
      </c>
    </row>
    <row r="47" spans="1:7" x14ac:dyDescent="0.2">
      <c r="A47" s="5">
        <v>1044</v>
      </c>
      <c r="B47" s="5" t="str">
        <f>_xlfn.CONCAT(RouteInfo_Table[[#This Row],[City01]], "-",RouteInfo_Table[[#This Row],[City02]])</f>
        <v>Sevastapol-Rostov</v>
      </c>
      <c r="C47" s="5" t="s">
        <v>37</v>
      </c>
      <c r="D47" s="5" t="s">
        <v>38</v>
      </c>
      <c r="E47" s="5">
        <v>4</v>
      </c>
      <c r="F47" s="5">
        <f>INDEX(RtP_Table[#All], MATCH(RouteInfo_Table[[#This Row],[Route_Length]],RtP_Table[Route_Length],0) + 1, MATCH(RouteInfo_Table[[#Headers],[Route_Points]], RtP_Table[#Headers], 0))</f>
        <v>7</v>
      </c>
      <c r="G47" s="7">
        <f>RouteInfo_Table[[#This Row],[Route_Points]]/RouteInfo_Table[[#This Row],[Route_Length]]</f>
        <v>1.75</v>
      </c>
    </row>
    <row r="48" spans="1:7" x14ac:dyDescent="0.2">
      <c r="A48" s="5">
        <v>1045</v>
      </c>
      <c r="B48" s="5" t="str">
        <f>_xlfn.CONCAT(RouteInfo_Table[[#This Row],[City01]], "-",RouteInfo_Table[[#This Row],[City02]])</f>
        <v>Sevastapol-Erzurum</v>
      </c>
      <c r="C48" s="5" t="s">
        <v>37</v>
      </c>
      <c r="D48" s="5" t="s">
        <v>65</v>
      </c>
      <c r="E48" s="5">
        <v>4</v>
      </c>
      <c r="F48" s="5">
        <f>INDEX(RtP_Table[#All], MATCH(RouteInfo_Table[[#This Row],[Route_Length]],RtP_Table[Route_Length],0) + 1, MATCH(RouteInfo_Table[[#Headers],[Route_Points]], RtP_Table[#Headers], 0))</f>
        <v>7</v>
      </c>
      <c r="G48" s="7">
        <f>RouteInfo_Table[[#This Row],[Route_Points]]/RouteInfo_Table[[#This Row],[Route_Length]]</f>
        <v>1.75</v>
      </c>
    </row>
    <row r="49" spans="1:7" x14ac:dyDescent="0.2">
      <c r="A49" s="5">
        <v>1046</v>
      </c>
      <c r="B49" s="5" t="str">
        <f>_xlfn.CONCAT(RouteInfo_Table[[#This Row],[City01]], "-",RouteInfo_Table[[#This Row],[City02]])</f>
        <v>Sevastapol-Constantinople</v>
      </c>
      <c r="C49" s="5" t="s">
        <v>37</v>
      </c>
      <c r="D49" s="5" t="s">
        <v>35</v>
      </c>
      <c r="E49" s="5">
        <v>4</v>
      </c>
      <c r="F49" s="5">
        <f>INDEX(RtP_Table[#All], MATCH(RouteInfo_Table[[#This Row],[Route_Length]],RtP_Table[Route_Length],0) + 1, MATCH(RouteInfo_Table[[#Headers],[Route_Points]], RtP_Table[#Headers], 0))</f>
        <v>7</v>
      </c>
      <c r="G49" s="7">
        <f>RouteInfo_Table[[#This Row],[Route_Points]]/RouteInfo_Table[[#This Row],[Route_Length]]</f>
        <v>1.75</v>
      </c>
    </row>
    <row r="50" spans="1:7" x14ac:dyDescent="0.2">
      <c r="A50" s="5">
        <v>1047</v>
      </c>
      <c r="B50" s="5" t="str">
        <f>_xlfn.CONCAT(RouteInfo_Table[[#This Row],[City01]], "-",RouteInfo_Table[[#This Row],[City02]])</f>
        <v>Sevastapol-Sochi</v>
      </c>
      <c r="C50" s="5" t="s">
        <v>37</v>
      </c>
      <c r="D50" s="5" t="s">
        <v>39</v>
      </c>
      <c r="E50" s="5">
        <v>2</v>
      </c>
      <c r="F50" s="5">
        <f>INDEX(RtP_Table[#All], MATCH(RouteInfo_Table[[#This Row],[Route_Length]],RtP_Table[Route_Length],0) + 1, MATCH(RouteInfo_Table[[#Headers],[Route_Points]], RtP_Table[#Headers], 0))</f>
        <v>2</v>
      </c>
      <c r="G50" s="7">
        <f>RouteInfo_Table[[#This Row],[Route_Points]]/RouteInfo_Table[[#This Row],[Route_Length]]</f>
        <v>1</v>
      </c>
    </row>
    <row r="51" spans="1:7" x14ac:dyDescent="0.2">
      <c r="A51" s="5">
        <v>1048</v>
      </c>
      <c r="B51" s="5" t="str">
        <f>_xlfn.CONCAT(RouteInfo_Table[[#This Row],[City01]], "-",RouteInfo_Table[[#This Row],[City02]])</f>
        <v>Constantinople-Sofia</v>
      </c>
      <c r="C51" s="5" t="s">
        <v>35</v>
      </c>
      <c r="D51" s="5" t="s">
        <v>36</v>
      </c>
      <c r="E51" s="5">
        <v>3</v>
      </c>
      <c r="F51" s="5">
        <f>INDEX(RtP_Table[#All], MATCH(RouteInfo_Table[[#This Row],[Route_Length]],RtP_Table[Route_Length],0) + 1, MATCH(RouteInfo_Table[[#Headers],[Route_Points]], RtP_Table[#Headers], 0))</f>
        <v>4</v>
      </c>
      <c r="G51" s="7">
        <f>RouteInfo_Table[[#This Row],[Route_Points]]/RouteInfo_Table[[#This Row],[Route_Length]]</f>
        <v>1.3333333333333333</v>
      </c>
    </row>
    <row r="52" spans="1:7" x14ac:dyDescent="0.2">
      <c r="A52" s="5">
        <v>1049</v>
      </c>
      <c r="B52" s="5" t="str">
        <f>_xlfn.CONCAT(RouteInfo_Table[[#This Row],[City01]], "-",RouteInfo_Table[[#This Row],[City02]])</f>
        <v>Constantinople-Smyrna</v>
      </c>
      <c r="C52" s="5" t="s">
        <v>35</v>
      </c>
      <c r="D52" s="5" t="s">
        <v>40</v>
      </c>
      <c r="E52" s="5">
        <v>2</v>
      </c>
      <c r="F52" s="5">
        <f>INDEX(RtP_Table[#All], MATCH(RouteInfo_Table[[#This Row],[Route_Length]],RtP_Table[Route_Length],0) + 1, MATCH(RouteInfo_Table[[#Headers],[Route_Points]], RtP_Table[#Headers], 0))</f>
        <v>2</v>
      </c>
      <c r="G52" s="7">
        <f>RouteInfo_Table[[#This Row],[Route_Points]]/RouteInfo_Table[[#This Row],[Route_Length]]</f>
        <v>1</v>
      </c>
    </row>
    <row r="53" spans="1:7" x14ac:dyDescent="0.2">
      <c r="A53" s="5">
        <v>1050</v>
      </c>
      <c r="B53" s="5" t="str">
        <f>_xlfn.CONCAT(RouteInfo_Table[[#This Row],[City01]], "-",RouteInfo_Table[[#This Row],[City02]])</f>
        <v>Constantinople-Angora</v>
      </c>
      <c r="C53" s="5" t="s">
        <v>35</v>
      </c>
      <c r="D53" s="5" t="s">
        <v>41</v>
      </c>
      <c r="E53" s="5">
        <v>2</v>
      </c>
      <c r="F53" s="5">
        <f>INDEX(RtP_Table[#All], MATCH(RouteInfo_Table[[#This Row],[Route_Length]],RtP_Table[Route_Length],0) + 1, MATCH(RouteInfo_Table[[#Headers],[Route_Points]], RtP_Table[#Headers], 0))</f>
        <v>2</v>
      </c>
      <c r="G53" s="7">
        <f>RouteInfo_Table[[#This Row],[Route_Points]]/RouteInfo_Table[[#This Row],[Route_Length]]</f>
        <v>1</v>
      </c>
    </row>
    <row r="54" spans="1:7" x14ac:dyDescent="0.2">
      <c r="A54" s="5">
        <v>1051</v>
      </c>
      <c r="B54" s="5" t="str">
        <f>_xlfn.CONCAT(RouteInfo_Table[[#This Row],[City01]], "-",RouteInfo_Table[[#This Row],[City02]])</f>
        <v>Amsterdam-Essen</v>
      </c>
      <c r="C54" s="5" t="s">
        <v>7</v>
      </c>
      <c r="D54" s="5" t="s">
        <v>24</v>
      </c>
      <c r="E54" s="5">
        <v>3</v>
      </c>
      <c r="F54" s="5">
        <f>INDEX(RtP_Table[#All], MATCH(RouteInfo_Table[[#This Row],[Route_Length]],RtP_Table[Route_Length],0) + 1, MATCH(RouteInfo_Table[[#Headers],[Route_Points]], RtP_Table[#Headers], 0))</f>
        <v>4</v>
      </c>
      <c r="G54" s="7">
        <f>RouteInfo_Table[[#This Row],[Route_Points]]/RouteInfo_Table[[#This Row],[Route_Length]]</f>
        <v>1.3333333333333333</v>
      </c>
    </row>
    <row r="55" spans="1:7" x14ac:dyDescent="0.2">
      <c r="A55" s="5">
        <v>1052</v>
      </c>
      <c r="B55" s="5" t="str">
        <f>_xlfn.CONCAT(RouteInfo_Table[[#This Row],[City01]], "-",RouteInfo_Table[[#This Row],[City02]])</f>
        <v>Amsterdam-Frankfurt</v>
      </c>
      <c r="C55" s="5" t="s">
        <v>7</v>
      </c>
      <c r="D55" s="5" t="s">
        <v>12</v>
      </c>
      <c r="E55" s="5">
        <v>2</v>
      </c>
      <c r="F55" s="5">
        <f>INDEX(RtP_Table[#All], MATCH(RouteInfo_Table[[#This Row],[Route_Length]],RtP_Table[Route_Length],0) + 1, MATCH(RouteInfo_Table[[#Headers],[Route_Points]], RtP_Table[#Headers], 0))</f>
        <v>2</v>
      </c>
      <c r="G55" s="7">
        <f>RouteInfo_Table[[#This Row],[Route_Points]]/RouteInfo_Table[[#This Row],[Route_Length]]</f>
        <v>1</v>
      </c>
    </row>
    <row r="56" spans="1:7" x14ac:dyDescent="0.2">
      <c r="A56" s="5">
        <v>1053</v>
      </c>
      <c r="B56" s="5" t="str">
        <f>_xlfn.CONCAT(RouteInfo_Table[[#This Row],[City01]], "-",RouteInfo_Table[[#This Row],[City02]])</f>
        <v>Amsterdam-London</v>
      </c>
      <c r="C56" s="5" t="s">
        <v>7</v>
      </c>
      <c r="D56" s="5" t="s">
        <v>6</v>
      </c>
      <c r="E56" s="5">
        <v>2</v>
      </c>
      <c r="F56" s="5">
        <f>INDEX(RtP_Table[#All], MATCH(RouteInfo_Table[[#This Row],[Route_Length]],RtP_Table[Route_Length],0) + 1, MATCH(RouteInfo_Table[[#Headers],[Route_Points]], RtP_Table[#Headers], 0))</f>
        <v>2</v>
      </c>
      <c r="G56" s="7">
        <f>RouteInfo_Table[[#This Row],[Route_Points]]/RouteInfo_Table[[#This Row],[Route_Length]]</f>
        <v>1</v>
      </c>
    </row>
    <row r="57" spans="1:7" x14ac:dyDescent="0.2">
      <c r="A57" s="5">
        <v>1054</v>
      </c>
      <c r="B57" s="5" t="str">
        <f>_xlfn.CONCAT(RouteInfo_Table[[#This Row],[City01]], "-",RouteInfo_Table[[#This Row],[City02]])</f>
        <v>Amsterdam-Bruxelles</v>
      </c>
      <c r="C57" s="5" t="s">
        <v>7</v>
      </c>
      <c r="D57" s="5" t="s">
        <v>10</v>
      </c>
      <c r="E57" s="5">
        <v>1</v>
      </c>
      <c r="F57" s="5">
        <f>INDEX(RtP_Table[#All], MATCH(RouteInfo_Table[[#This Row],[Route_Length]],RtP_Table[Route_Length],0) + 1, MATCH(RouteInfo_Table[[#Headers],[Route_Points]], RtP_Table[#Headers], 0))</f>
        <v>1</v>
      </c>
      <c r="G57" s="7">
        <f>RouteInfo_Table[[#This Row],[Route_Points]]/RouteInfo_Table[[#This Row],[Route_Length]]</f>
        <v>1</v>
      </c>
    </row>
    <row r="58" spans="1:7" x14ac:dyDescent="0.2">
      <c r="A58" s="5">
        <v>1055</v>
      </c>
      <c r="B58" s="5" t="str">
        <f>_xlfn.CONCAT(RouteInfo_Table[[#This Row],[City01]], "-",RouteInfo_Table[[#This Row],[City02]])</f>
        <v>Bruxelles-Dieppe</v>
      </c>
      <c r="C58" s="5" t="s">
        <v>10</v>
      </c>
      <c r="D58" s="5" t="s">
        <v>8</v>
      </c>
      <c r="E58" s="5">
        <v>2</v>
      </c>
      <c r="F58" s="5">
        <f>INDEX(RtP_Table[#All], MATCH(RouteInfo_Table[[#This Row],[Route_Length]],RtP_Table[Route_Length],0) + 1, MATCH(RouteInfo_Table[[#Headers],[Route_Points]], RtP_Table[#Headers], 0))</f>
        <v>2</v>
      </c>
      <c r="G58" s="7">
        <f>RouteInfo_Table[[#This Row],[Route_Points]]/RouteInfo_Table[[#This Row],[Route_Length]]</f>
        <v>1</v>
      </c>
    </row>
    <row r="59" spans="1:7" x14ac:dyDescent="0.2">
      <c r="A59" s="5">
        <v>1056</v>
      </c>
      <c r="B59" s="5" t="str">
        <f>_xlfn.CONCAT(RouteInfo_Table[[#This Row],[City01]], "-",RouteInfo_Table[[#This Row],[City02]])</f>
        <v>Dieppe-London</v>
      </c>
      <c r="C59" s="5" t="s">
        <v>8</v>
      </c>
      <c r="D59" s="5" t="s">
        <v>6</v>
      </c>
      <c r="E59" s="5">
        <v>2</v>
      </c>
      <c r="F59" s="5">
        <f>INDEX(RtP_Table[#All], MATCH(RouteInfo_Table[[#This Row],[Route_Length]],RtP_Table[Route_Length],0) + 1, MATCH(RouteInfo_Table[[#Headers],[Route_Points]], RtP_Table[#Headers], 0))</f>
        <v>2</v>
      </c>
      <c r="G59" s="7">
        <f>RouteInfo_Table[[#This Row],[Route_Points]]/RouteInfo_Table[[#This Row],[Route_Length]]</f>
        <v>1</v>
      </c>
    </row>
    <row r="60" spans="1:7" x14ac:dyDescent="0.2">
      <c r="A60" s="5">
        <v>1057</v>
      </c>
      <c r="B60" s="5" t="str">
        <f>_xlfn.CONCAT(RouteInfo_Table[[#This Row],[City01]], "-",RouteInfo_Table[[#This Row],[City02]])</f>
        <v>Dieppe-Brest</v>
      </c>
      <c r="C60" s="5" t="s">
        <v>8</v>
      </c>
      <c r="D60" s="5" t="s">
        <v>9</v>
      </c>
      <c r="E60" s="5">
        <v>2</v>
      </c>
      <c r="F60" s="5">
        <f>INDEX(RtP_Table[#All], MATCH(RouteInfo_Table[[#This Row],[Route_Length]],RtP_Table[Route_Length],0) + 1, MATCH(RouteInfo_Table[[#Headers],[Route_Points]], RtP_Table[#Headers], 0))</f>
        <v>2</v>
      </c>
      <c r="G60" s="7">
        <f>RouteInfo_Table[[#This Row],[Route_Points]]/RouteInfo_Table[[#This Row],[Route_Length]]</f>
        <v>1</v>
      </c>
    </row>
    <row r="61" spans="1:7" x14ac:dyDescent="0.2">
      <c r="A61" s="5">
        <v>1058</v>
      </c>
      <c r="B61" s="5" t="str">
        <f>_xlfn.CONCAT(RouteInfo_Table[[#This Row],[City01]], "-",RouteInfo_Table[[#This Row],[City02]])</f>
        <v>Madrid-Lisboa</v>
      </c>
      <c r="C61" s="5" t="s">
        <v>27</v>
      </c>
      <c r="D61" s="5" t="s">
        <v>42</v>
      </c>
      <c r="E61" s="5">
        <v>3</v>
      </c>
      <c r="F61" s="5">
        <f>INDEX(RtP_Table[#All], MATCH(RouteInfo_Table[[#This Row],[Route_Length]],RtP_Table[Route_Length],0) + 1, MATCH(RouteInfo_Table[[#Headers],[Route_Points]], RtP_Table[#Headers], 0))</f>
        <v>4</v>
      </c>
      <c r="G61" s="7">
        <f>RouteInfo_Table[[#This Row],[Route_Points]]/RouteInfo_Table[[#This Row],[Route_Length]]</f>
        <v>1.3333333333333333</v>
      </c>
    </row>
    <row r="62" spans="1:7" x14ac:dyDescent="0.2">
      <c r="A62" s="5">
        <v>1059</v>
      </c>
      <c r="B62" s="5" t="str">
        <f>_xlfn.CONCAT(RouteInfo_Table[[#This Row],[City01]], "-",RouteInfo_Table[[#This Row],[City02]])</f>
        <v>Madrid-Cadiz</v>
      </c>
      <c r="C62" s="5" t="s">
        <v>27</v>
      </c>
      <c r="D62" s="5" t="s">
        <v>43</v>
      </c>
      <c r="E62" s="5">
        <v>3</v>
      </c>
      <c r="F62" s="5">
        <f>INDEX(RtP_Table[#All], MATCH(RouteInfo_Table[[#This Row],[Route_Length]],RtP_Table[Route_Length],0) + 1, MATCH(RouteInfo_Table[[#Headers],[Route_Points]], RtP_Table[#Headers], 0))</f>
        <v>4</v>
      </c>
      <c r="G62" s="7">
        <f>RouteInfo_Table[[#This Row],[Route_Points]]/RouteInfo_Table[[#This Row],[Route_Length]]</f>
        <v>1.3333333333333333</v>
      </c>
    </row>
    <row r="63" spans="1:7" x14ac:dyDescent="0.2">
      <c r="A63" s="5">
        <v>1060</v>
      </c>
      <c r="B63" s="5" t="str">
        <f>_xlfn.CONCAT(RouteInfo_Table[[#This Row],[City01]], "-",RouteInfo_Table[[#This Row],[City02]])</f>
        <v>Madrid-Barcelona</v>
      </c>
      <c r="C63" s="5" t="s">
        <v>27</v>
      </c>
      <c r="D63" s="5" t="s">
        <v>28</v>
      </c>
      <c r="E63" s="5">
        <v>2</v>
      </c>
      <c r="F63" s="5">
        <f>INDEX(RtP_Table[#All], MATCH(RouteInfo_Table[[#This Row],[Route_Length]],RtP_Table[Route_Length],0) + 1, MATCH(RouteInfo_Table[[#Headers],[Route_Points]], RtP_Table[#Headers], 0))</f>
        <v>2</v>
      </c>
      <c r="G63" s="7">
        <f>RouteInfo_Table[[#This Row],[Route_Points]]/RouteInfo_Table[[#This Row],[Route_Length]]</f>
        <v>1</v>
      </c>
    </row>
    <row r="64" spans="1:7" x14ac:dyDescent="0.2">
      <c r="A64" s="5">
        <v>1061</v>
      </c>
      <c r="B64" s="5" t="str">
        <f>_xlfn.CONCAT(RouteInfo_Table[[#This Row],[City01]], "-",RouteInfo_Table[[#This Row],[City02]])</f>
        <v>Essen-Kobenhavn</v>
      </c>
      <c r="C64" s="5" t="s">
        <v>24</v>
      </c>
      <c r="D64" s="5" t="s">
        <v>45</v>
      </c>
      <c r="E64" s="5">
        <v>3</v>
      </c>
      <c r="F64" s="5">
        <f>INDEX(RtP_Table[#All], MATCH(RouteInfo_Table[[#This Row],[Route_Length]],RtP_Table[Route_Length],0) + 1, MATCH(RouteInfo_Table[[#Headers],[Route_Points]], RtP_Table[#Headers], 0))</f>
        <v>4</v>
      </c>
      <c r="G64" s="7">
        <f>RouteInfo_Table[[#This Row],[Route_Points]]/RouteInfo_Table[[#This Row],[Route_Length]]</f>
        <v>1.3333333333333333</v>
      </c>
    </row>
    <row r="65" spans="1:7" x14ac:dyDescent="0.2">
      <c r="A65" s="5">
        <v>1062</v>
      </c>
      <c r="B65" s="5" t="str">
        <f>_xlfn.CONCAT(RouteInfo_Table[[#This Row],[City01]], "-",RouteInfo_Table[[#This Row],[City02]])</f>
        <v>Munchen-Zurich</v>
      </c>
      <c r="C65" s="5" t="s">
        <v>23</v>
      </c>
      <c r="D65" s="5" t="s">
        <v>13</v>
      </c>
      <c r="E65" s="5">
        <v>2</v>
      </c>
      <c r="F65" s="5">
        <f>INDEX(RtP_Table[#All], MATCH(RouteInfo_Table[[#This Row],[Route_Length]],RtP_Table[Route_Length],0) + 1, MATCH(RouteInfo_Table[[#Headers],[Route_Points]], RtP_Table[#Headers], 0))</f>
        <v>2</v>
      </c>
      <c r="G65" s="7">
        <f>RouteInfo_Table[[#This Row],[Route_Points]]/RouteInfo_Table[[#This Row],[Route_Length]]</f>
        <v>1</v>
      </c>
    </row>
    <row r="66" spans="1:7" x14ac:dyDescent="0.2">
      <c r="A66" s="5">
        <v>1063</v>
      </c>
      <c r="B66" s="5" t="str">
        <f>_xlfn.CONCAT(RouteInfo_Table[[#This Row],[City01]], "-",RouteInfo_Table[[#This Row],[City02]])</f>
        <v>Munchen-Venezia</v>
      </c>
      <c r="C66" s="5" t="s">
        <v>23</v>
      </c>
      <c r="D66" s="5" t="s">
        <v>46</v>
      </c>
      <c r="E66" s="5">
        <v>2</v>
      </c>
      <c r="F66" s="5">
        <f>INDEX(RtP_Table[#All], MATCH(RouteInfo_Table[[#This Row],[Route_Length]],RtP_Table[Route_Length],0) + 1, MATCH(RouteInfo_Table[[#Headers],[Route_Points]], RtP_Table[#Headers], 0))</f>
        <v>2</v>
      </c>
      <c r="G66" s="7">
        <f>RouteInfo_Table[[#This Row],[Route_Points]]/RouteInfo_Table[[#This Row],[Route_Length]]</f>
        <v>1</v>
      </c>
    </row>
    <row r="67" spans="1:7" x14ac:dyDescent="0.2">
      <c r="A67" s="5">
        <v>1064</v>
      </c>
      <c r="B67" s="5" t="str">
        <f>_xlfn.CONCAT(RouteInfo_Table[[#This Row],[City01]], "-",RouteInfo_Table[[#This Row],[City02]])</f>
        <v>Zurich-Venezia</v>
      </c>
      <c r="C67" s="5" t="s">
        <v>13</v>
      </c>
      <c r="D67" s="5" t="s">
        <v>46</v>
      </c>
      <c r="E67" s="5">
        <v>2</v>
      </c>
      <c r="F67" s="5">
        <f>INDEX(RtP_Table[#All], MATCH(RouteInfo_Table[[#This Row],[Route_Length]],RtP_Table[Route_Length],0) + 1, MATCH(RouteInfo_Table[[#Headers],[Route_Points]], RtP_Table[#Headers], 0))</f>
        <v>2</v>
      </c>
      <c r="G67" s="7">
        <f>RouteInfo_Table[[#This Row],[Route_Points]]/RouteInfo_Table[[#This Row],[Route_Length]]</f>
        <v>1</v>
      </c>
    </row>
    <row r="68" spans="1:7" x14ac:dyDescent="0.2">
      <c r="A68" s="5">
        <v>1065</v>
      </c>
      <c r="B68" s="5" t="str">
        <f>_xlfn.CONCAT(RouteInfo_Table[[#This Row],[City01]], "-",RouteInfo_Table[[#This Row],[City02]])</f>
        <v>Venezia-Zagrab</v>
      </c>
      <c r="C68" s="5" t="s">
        <v>46</v>
      </c>
      <c r="D68" s="5" t="s">
        <v>26</v>
      </c>
      <c r="E68" s="5">
        <v>2</v>
      </c>
      <c r="F68" s="5">
        <f>INDEX(RtP_Table[#All], MATCH(RouteInfo_Table[[#This Row],[Route_Length]],RtP_Table[Route_Length],0) + 1, MATCH(RouteInfo_Table[[#Headers],[Route_Points]], RtP_Table[#Headers], 0))</f>
        <v>2</v>
      </c>
      <c r="G68" s="7">
        <f>RouteInfo_Table[[#This Row],[Route_Points]]/RouteInfo_Table[[#This Row],[Route_Length]]</f>
        <v>1</v>
      </c>
    </row>
    <row r="69" spans="1:7" x14ac:dyDescent="0.2">
      <c r="A69" s="5">
        <v>1066</v>
      </c>
      <c r="B69" s="5" t="str">
        <f>_xlfn.CONCAT(RouteInfo_Table[[#This Row],[City01]], "-",RouteInfo_Table[[#This Row],[City02]])</f>
        <v>Venezia-Roma</v>
      </c>
      <c r="C69" s="5" t="s">
        <v>46</v>
      </c>
      <c r="D69" s="5" t="s">
        <v>29</v>
      </c>
      <c r="E69" s="5">
        <v>2</v>
      </c>
      <c r="F69" s="5">
        <f>INDEX(RtP_Table[#All], MATCH(RouteInfo_Table[[#This Row],[Route_Length]],RtP_Table[Route_Length],0) + 1, MATCH(RouteInfo_Table[[#Headers],[Route_Points]], RtP_Table[#Headers], 0))</f>
        <v>2</v>
      </c>
      <c r="G69" s="7">
        <f>RouteInfo_Table[[#This Row],[Route_Points]]/RouteInfo_Table[[#This Row],[Route_Length]]</f>
        <v>1</v>
      </c>
    </row>
    <row r="70" spans="1:7" x14ac:dyDescent="0.2">
      <c r="A70" s="5">
        <v>1067</v>
      </c>
      <c r="B70" s="5" t="str">
        <f>_xlfn.CONCAT(RouteInfo_Table[[#This Row],[City01]], "-",RouteInfo_Table[[#This Row],[City02]])</f>
        <v>Zagrab-Sarajevo</v>
      </c>
      <c r="C70" s="5" t="s">
        <v>26</v>
      </c>
      <c r="D70" s="5" t="s">
        <v>30</v>
      </c>
      <c r="E70" s="5">
        <v>3</v>
      </c>
      <c r="F70" s="5">
        <f>INDEX(RtP_Table[#All], MATCH(RouteInfo_Table[[#This Row],[Route_Length]],RtP_Table[Route_Length],0) + 1, MATCH(RouteInfo_Table[[#Headers],[Route_Points]], RtP_Table[#Headers], 0))</f>
        <v>4</v>
      </c>
      <c r="G70" s="7">
        <f>RouteInfo_Table[[#This Row],[Route_Points]]/RouteInfo_Table[[#This Row],[Route_Length]]</f>
        <v>1.3333333333333333</v>
      </c>
    </row>
    <row r="71" spans="1:7" x14ac:dyDescent="0.2">
      <c r="A71" s="5">
        <v>1068</v>
      </c>
      <c r="B71" s="5" t="str">
        <f>_xlfn.CONCAT(RouteInfo_Table[[#This Row],[City01]], "-",RouteInfo_Table[[#This Row],[City02]])</f>
        <v>Sarajevo-Athena</v>
      </c>
      <c r="C71" s="5" t="s">
        <v>30</v>
      </c>
      <c r="D71" s="5" t="s">
        <v>47</v>
      </c>
      <c r="E71" s="5">
        <v>4</v>
      </c>
      <c r="F71" s="5">
        <f>INDEX(RtP_Table[#All], MATCH(RouteInfo_Table[[#This Row],[Route_Length]],RtP_Table[Route_Length],0) + 1, MATCH(RouteInfo_Table[[#Headers],[Route_Points]], RtP_Table[#Headers], 0))</f>
        <v>7</v>
      </c>
      <c r="G71" s="7">
        <f>RouteInfo_Table[[#This Row],[Route_Points]]/RouteInfo_Table[[#This Row],[Route_Length]]</f>
        <v>1.75</v>
      </c>
    </row>
    <row r="72" spans="1:7" x14ac:dyDescent="0.2">
      <c r="A72" s="5">
        <v>1069</v>
      </c>
      <c r="B72" s="5" t="str">
        <f>_xlfn.CONCAT(RouteInfo_Table[[#This Row],[City01]], "-",RouteInfo_Table[[#This Row],[City02]])</f>
        <v>Sarajevo-Sofia</v>
      </c>
      <c r="C72" s="5" t="s">
        <v>30</v>
      </c>
      <c r="D72" s="5" t="s">
        <v>36</v>
      </c>
      <c r="E72" s="5">
        <v>2</v>
      </c>
      <c r="F72" s="5">
        <f>INDEX(RtP_Table[#All], MATCH(RouteInfo_Table[[#This Row],[Route_Length]],RtP_Table[Route_Length],0) + 1, MATCH(RouteInfo_Table[[#Headers],[Route_Points]], RtP_Table[#Headers], 0))</f>
        <v>2</v>
      </c>
      <c r="G72" s="7">
        <f>RouteInfo_Table[[#This Row],[Route_Points]]/RouteInfo_Table[[#This Row],[Route_Length]]</f>
        <v>1</v>
      </c>
    </row>
    <row r="73" spans="1:7" x14ac:dyDescent="0.2">
      <c r="A73" s="5">
        <v>1070</v>
      </c>
      <c r="B73" s="5" t="str">
        <f>_xlfn.CONCAT(RouteInfo_Table[[#This Row],[City01]], "-",RouteInfo_Table[[#This Row],[City02]])</f>
        <v>Roma-Palermo</v>
      </c>
      <c r="C73" s="5" t="s">
        <v>29</v>
      </c>
      <c r="D73" s="5" t="s">
        <v>48</v>
      </c>
      <c r="E73" s="5">
        <v>4</v>
      </c>
      <c r="F73" s="5">
        <f>INDEX(RtP_Table[#All], MATCH(RouteInfo_Table[[#This Row],[Route_Length]],RtP_Table[Route_Length],0) + 1, MATCH(RouteInfo_Table[[#Headers],[Route_Points]], RtP_Table[#Headers], 0))</f>
        <v>7</v>
      </c>
      <c r="G73" s="7">
        <f>RouteInfo_Table[[#This Row],[Route_Points]]/RouteInfo_Table[[#This Row],[Route_Length]]</f>
        <v>1.75</v>
      </c>
    </row>
    <row r="74" spans="1:7" x14ac:dyDescent="0.2">
      <c r="A74" s="5">
        <v>1071</v>
      </c>
      <c r="B74" s="5" t="str">
        <f>_xlfn.CONCAT(RouteInfo_Table[[#This Row],[City01]], "-",RouteInfo_Table[[#This Row],[City02]])</f>
        <v>Roma-Brindisi</v>
      </c>
      <c r="C74" s="5" t="s">
        <v>29</v>
      </c>
      <c r="D74" s="5" t="s">
        <v>49</v>
      </c>
      <c r="E74" s="5">
        <v>2</v>
      </c>
      <c r="F74" s="5">
        <f>INDEX(RtP_Table[#All], MATCH(RouteInfo_Table[[#This Row],[Route_Length]],RtP_Table[Route_Length],0) + 1, MATCH(RouteInfo_Table[[#Headers],[Route_Points]], RtP_Table[#Headers], 0))</f>
        <v>2</v>
      </c>
      <c r="G74" s="7">
        <f>RouteInfo_Table[[#This Row],[Route_Points]]/RouteInfo_Table[[#This Row],[Route_Length]]</f>
        <v>1</v>
      </c>
    </row>
    <row r="75" spans="1:7" x14ac:dyDescent="0.2">
      <c r="A75" s="5">
        <v>1072</v>
      </c>
      <c r="B75" s="5" t="str">
        <f>_xlfn.CONCAT(RouteInfo_Table[[#This Row],[City01]], "-",RouteInfo_Table[[#This Row],[City02]])</f>
        <v>Athina-Brindisi</v>
      </c>
      <c r="C75" s="5" t="s">
        <v>50</v>
      </c>
      <c r="D75" s="5" t="s">
        <v>49</v>
      </c>
      <c r="E75" s="5">
        <v>4</v>
      </c>
      <c r="F75" s="5">
        <f>INDEX(RtP_Table[#All], MATCH(RouteInfo_Table[[#This Row],[Route_Length]],RtP_Table[Route_Length],0) + 1, MATCH(RouteInfo_Table[[#Headers],[Route_Points]], RtP_Table[#Headers], 0))</f>
        <v>7</v>
      </c>
      <c r="G75" s="7">
        <f>RouteInfo_Table[[#This Row],[Route_Points]]/RouteInfo_Table[[#This Row],[Route_Length]]</f>
        <v>1.75</v>
      </c>
    </row>
    <row r="76" spans="1:7" x14ac:dyDescent="0.2">
      <c r="A76" s="5">
        <v>1073</v>
      </c>
      <c r="B76" s="5" t="str">
        <f>_xlfn.CONCAT(RouteInfo_Table[[#This Row],[City01]], "-",RouteInfo_Table[[#This Row],[City02]])</f>
        <v>Athina-Sofia</v>
      </c>
      <c r="C76" s="5" t="s">
        <v>50</v>
      </c>
      <c r="D76" s="5" t="s">
        <v>36</v>
      </c>
      <c r="E76" s="5">
        <v>3</v>
      </c>
      <c r="F76" s="5">
        <f>INDEX(RtP_Table[#All], MATCH(RouteInfo_Table[[#This Row],[Route_Length]],RtP_Table[Route_Length],0) + 1, MATCH(RouteInfo_Table[[#Headers],[Route_Points]], RtP_Table[#Headers], 0))</f>
        <v>4</v>
      </c>
      <c r="G76" s="7">
        <f>RouteInfo_Table[[#This Row],[Route_Points]]/RouteInfo_Table[[#This Row],[Route_Length]]</f>
        <v>1.3333333333333333</v>
      </c>
    </row>
    <row r="77" spans="1:7" x14ac:dyDescent="0.2">
      <c r="A77" s="5">
        <v>1074</v>
      </c>
      <c r="B77" s="5" t="str">
        <f>_xlfn.CONCAT(RouteInfo_Table[[#This Row],[City01]], "-",RouteInfo_Table[[#This Row],[City02]])</f>
        <v>Athina-Smyrna</v>
      </c>
      <c r="C77" s="5" t="s">
        <v>50</v>
      </c>
      <c r="D77" s="5" t="s">
        <v>40</v>
      </c>
      <c r="E77" s="5">
        <v>2</v>
      </c>
      <c r="F77" s="5">
        <f>INDEX(RtP_Table[#All], MATCH(RouteInfo_Table[[#This Row],[Route_Length]],RtP_Table[Route_Length],0) + 1, MATCH(RouteInfo_Table[[#Headers],[Route_Points]], RtP_Table[#Headers], 0))</f>
        <v>2</v>
      </c>
      <c r="G77" s="7">
        <f>RouteInfo_Table[[#This Row],[Route_Points]]/RouteInfo_Table[[#This Row],[Route_Length]]</f>
        <v>1</v>
      </c>
    </row>
    <row r="78" spans="1:7" x14ac:dyDescent="0.2">
      <c r="A78" s="5">
        <v>1075</v>
      </c>
      <c r="B78" s="5" t="str">
        <f>_xlfn.CONCAT(RouteInfo_Table[[#This Row],[City01]], "-",RouteInfo_Table[[#This Row],[City02]])</f>
        <v>Petrograd-Stockholm</v>
      </c>
      <c r="C78" s="5" t="s">
        <v>32</v>
      </c>
      <c r="D78" s="5" t="s">
        <v>51</v>
      </c>
      <c r="E78" s="5">
        <v>8</v>
      </c>
      <c r="F78" s="5">
        <f>INDEX(RtP_Table[#All], MATCH(RouteInfo_Table[[#This Row],[Route_Length]],RtP_Table[Route_Length],0) + 1, MATCH(RouteInfo_Table[[#Headers],[Route_Points]], RtP_Table[#Headers], 0))</f>
        <v>21</v>
      </c>
      <c r="G78" s="7">
        <f>RouteInfo_Table[[#This Row],[Route_Points]]/RouteInfo_Table[[#This Row],[Route_Length]]</f>
        <v>2.625</v>
      </c>
    </row>
    <row r="79" spans="1:7" x14ac:dyDescent="0.2">
      <c r="A79" s="5">
        <v>1076</v>
      </c>
      <c r="B79" s="5" t="str">
        <f>_xlfn.CONCAT(RouteInfo_Table[[#This Row],[City01]], "-",RouteInfo_Table[[#This Row],[City02]])</f>
        <v>Petrograd-Riga</v>
      </c>
      <c r="C79" s="5" t="s">
        <v>32</v>
      </c>
      <c r="D79" s="5" t="s">
        <v>31</v>
      </c>
      <c r="E79" s="5">
        <v>4</v>
      </c>
      <c r="F79" s="5">
        <f>INDEX(RtP_Table[#All], MATCH(RouteInfo_Table[[#This Row],[Route_Length]],RtP_Table[Route_Length],0) + 1, MATCH(RouteInfo_Table[[#Headers],[Route_Points]], RtP_Table[#Headers], 0))</f>
        <v>7</v>
      </c>
      <c r="G79" s="7">
        <f>RouteInfo_Table[[#This Row],[Route_Points]]/RouteInfo_Table[[#This Row],[Route_Length]]</f>
        <v>1.75</v>
      </c>
    </row>
    <row r="80" spans="1:7" x14ac:dyDescent="0.2">
      <c r="A80" s="5">
        <v>1077</v>
      </c>
      <c r="B80" s="5" t="str">
        <f>_xlfn.CONCAT(RouteInfo_Table[[#This Row],[City01]], "-",RouteInfo_Table[[#This Row],[City02]])</f>
        <v>Petrograd-Moskva</v>
      </c>
      <c r="C80" s="5" t="s">
        <v>32</v>
      </c>
      <c r="D80" s="5" t="s">
        <v>52</v>
      </c>
      <c r="E80" s="5">
        <v>4</v>
      </c>
      <c r="F80" s="5">
        <f>INDEX(RtP_Table[#All], MATCH(RouteInfo_Table[[#This Row],[Route_Length]],RtP_Table[Route_Length],0) + 1, MATCH(RouteInfo_Table[[#Headers],[Route_Points]], RtP_Table[#Headers], 0))</f>
        <v>7</v>
      </c>
      <c r="G80" s="7">
        <f>RouteInfo_Table[[#This Row],[Route_Points]]/RouteInfo_Table[[#This Row],[Route_Length]]</f>
        <v>1.75</v>
      </c>
    </row>
    <row r="81" spans="1:7" x14ac:dyDescent="0.2">
      <c r="A81" s="5">
        <v>1078</v>
      </c>
      <c r="B81" s="5" t="str">
        <f>_xlfn.CONCAT(RouteInfo_Table[[#This Row],[City01]], "-",RouteInfo_Table[[#This Row],[City02]])</f>
        <v>Smyrna-Palermo</v>
      </c>
      <c r="C81" s="5" t="s">
        <v>40</v>
      </c>
      <c r="D81" s="5" t="s">
        <v>48</v>
      </c>
      <c r="E81" s="5">
        <v>6</v>
      </c>
      <c r="F81" s="5">
        <f>INDEX(RtP_Table[#All], MATCH(RouteInfo_Table[[#This Row],[Route_Length]],RtP_Table[Route_Length],0) + 1, MATCH(RouteInfo_Table[[#Headers],[Route_Points]], RtP_Table[#Headers], 0))</f>
        <v>15</v>
      </c>
      <c r="G81" s="7">
        <f>RouteInfo_Table[[#This Row],[Route_Points]]/RouteInfo_Table[[#This Row],[Route_Length]]</f>
        <v>2.5</v>
      </c>
    </row>
    <row r="82" spans="1:7" x14ac:dyDescent="0.2">
      <c r="A82" s="5">
        <v>1079</v>
      </c>
      <c r="B82" s="5" t="str">
        <f>_xlfn.CONCAT(RouteInfo_Table[[#This Row],[City01]], "-",RouteInfo_Table[[#This Row],[City02]])</f>
        <v>Smyrna-Angora</v>
      </c>
      <c r="C82" s="5" t="s">
        <v>40</v>
      </c>
      <c r="D82" s="5" t="s">
        <v>41</v>
      </c>
      <c r="E82" s="5">
        <v>3</v>
      </c>
      <c r="F82" s="5">
        <f>INDEX(RtP_Table[#All], MATCH(RouteInfo_Table[[#This Row],[Route_Length]],RtP_Table[Route_Length],0) + 1, MATCH(RouteInfo_Table[[#Headers],[Route_Points]], RtP_Table[#Headers], 0))</f>
        <v>4</v>
      </c>
      <c r="G82" s="7">
        <f>RouteInfo_Table[[#This Row],[Route_Points]]/RouteInfo_Table[[#This Row],[Route_Length]]</f>
        <v>1.3333333333333333</v>
      </c>
    </row>
    <row r="83" spans="1:7" x14ac:dyDescent="0.2">
      <c r="A83" s="5">
        <v>1080</v>
      </c>
      <c r="B83" s="5" t="str">
        <f>_xlfn.CONCAT(RouteInfo_Table[[#This Row],[City01]], "-",RouteInfo_Table[[#This Row],[City02]])</f>
        <v>London-Edinburgh</v>
      </c>
      <c r="C83" s="5" t="s">
        <v>6</v>
      </c>
      <c r="D83" s="5" t="s">
        <v>5</v>
      </c>
      <c r="E83" s="5">
        <v>4</v>
      </c>
      <c r="F83" s="5">
        <f>INDEX(RtP_Table[#All], MATCH(RouteInfo_Table[[#This Row],[Route_Length]],RtP_Table[Route_Length],0) + 1, MATCH(RouteInfo_Table[[#Headers],[Route_Points]], RtP_Table[#Headers], 0))</f>
        <v>7</v>
      </c>
      <c r="G83" s="7">
        <f>RouteInfo_Table[[#This Row],[Route_Points]]/RouteInfo_Table[[#This Row],[Route_Length]]</f>
        <v>1.75</v>
      </c>
    </row>
    <row r="84" spans="1:7" x14ac:dyDescent="0.2">
      <c r="A84" s="5">
        <v>1081</v>
      </c>
      <c r="B84" s="5" t="str">
        <f>_xlfn.CONCAT(RouteInfo_Table[[#This Row],[City01]], "-",RouteInfo_Table[[#This Row],[City02]])</f>
        <v>Danzig-Riga</v>
      </c>
      <c r="C84" s="5" t="s">
        <v>66</v>
      </c>
      <c r="D84" s="5" t="s">
        <v>31</v>
      </c>
      <c r="E84" s="5">
        <v>3</v>
      </c>
      <c r="F84" s="5">
        <f>INDEX(RtP_Table[#All], MATCH(RouteInfo_Table[[#This Row],[Route_Length]],RtP_Table[Route_Length],0) + 1, MATCH(RouteInfo_Table[[#Headers],[Route_Points]], RtP_Table[#Headers], 0))</f>
        <v>4</v>
      </c>
      <c r="G84" s="7">
        <f>RouteInfo_Table[[#This Row],[Route_Points]]/RouteInfo_Table[[#This Row],[Route_Length]]</f>
        <v>1.3333333333333333</v>
      </c>
    </row>
    <row r="85" spans="1:7" x14ac:dyDescent="0.2">
      <c r="A85" s="5">
        <v>1082</v>
      </c>
      <c r="B85" s="5" t="str">
        <f>_xlfn.CONCAT(RouteInfo_Table[[#This Row],[City01]], "-",RouteInfo_Table[[#This Row],[City02]])</f>
        <v>Brindisi-Palermo</v>
      </c>
      <c r="C85" s="5" t="s">
        <v>49</v>
      </c>
      <c r="D85" s="5" t="s">
        <v>48</v>
      </c>
      <c r="E85" s="5">
        <v>3</v>
      </c>
      <c r="F85" s="5">
        <f>INDEX(RtP_Table[#All], MATCH(RouteInfo_Table[[#This Row],[Route_Length]],RtP_Table[Route_Length],0) + 1, MATCH(RouteInfo_Table[[#Headers],[Route_Points]], RtP_Table[#Headers], 0))</f>
        <v>4</v>
      </c>
      <c r="G85" s="7">
        <f>RouteInfo_Table[[#This Row],[Route_Points]]/RouteInfo_Table[[#This Row],[Route_Length]]</f>
        <v>1.3333333333333333</v>
      </c>
    </row>
    <row r="86" spans="1:7" x14ac:dyDescent="0.2">
      <c r="A86" s="5">
        <v>1083</v>
      </c>
      <c r="B86" s="5" t="str">
        <f>_xlfn.CONCAT(RouteInfo_Table[[#This Row],[City01]], "-",RouteInfo_Table[[#This Row],[City02]])</f>
        <v>Moskva-Kharkov</v>
      </c>
      <c r="C86" s="5" t="s">
        <v>52</v>
      </c>
      <c r="D86" s="5" t="s">
        <v>33</v>
      </c>
      <c r="E86" s="5">
        <v>4</v>
      </c>
      <c r="F86" s="5">
        <f>INDEX(RtP_Table[#All], MATCH(RouteInfo_Table[[#This Row],[Route_Length]],RtP_Table[Route_Length],0) + 1, MATCH(RouteInfo_Table[[#Headers],[Route_Points]], RtP_Table[#Headers], 0))</f>
        <v>7</v>
      </c>
      <c r="G86" s="7">
        <f>RouteInfo_Table[[#This Row],[Route_Points]]/RouteInfo_Table[[#This Row],[Route_Length]]</f>
        <v>1.75</v>
      </c>
    </row>
    <row r="87" spans="1:7" x14ac:dyDescent="0.2">
      <c r="A87" s="5">
        <v>1084</v>
      </c>
      <c r="B87" s="5" t="str">
        <f>_xlfn.CONCAT(RouteInfo_Table[[#This Row],[City01]], "-",RouteInfo_Table[[#This Row],[City02]])</f>
        <v>Moskva-Smolensk</v>
      </c>
      <c r="C87" s="5" t="s">
        <v>52</v>
      </c>
      <c r="D87" s="5" t="s">
        <v>20</v>
      </c>
      <c r="E87" s="5">
        <v>2</v>
      </c>
      <c r="F87" s="5">
        <f>INDEX(RtP_Table[#All], MATCH(RouteInfo_Table[[#This Row],[Route_Length]],RtP_Table[Route_Length],0) + 1, MATCH(RouteInfo_Table[[#Headers],[Route_Points]], RtP_Table[#Headers], 0))</f>
        <v>2</v>
      </c>
      <c r="G87" s="7">
        <f>RouteInfo_Table[[#This Row],[Route_Points]]/RouteInfo_Table[[#This Row],[Route_Length]]</f>
        <v>1</v>
      </c>
    </row>
    <row r="88" spans="1:7" x14ac:dyDescent="0.2">
      <c r="A88" s="5">
        <v>1085</v>
      </c>
      <c r="B88" s="5" t="str">
        <f>_xlfn.CONCAT(RouteInfo_Table[[#This Row],[City01]], "-",RouteInfo_Table[[#This Row],[City02]])</f>
        <v>Kharkov-Rostov</v>
      </c>
      <c r="C88" s="5" t="s">
        <v>33</v>
      </c>
      <c r="D88" s="5" t="s">
        <v>38</v>
      </c>
      <c r="E88" s="5">
        <v>2</v>
      </c>
      <c r="F88" s="5">
        <f>INDEX(RtP_Table[#All], MATCH(RouteInfo_Table[[#This Row],[Route_Length]],RtP_Table[Route_Length],0) + 1, MATCH(RouteInfo_Table[[#Headers],[Route_Points]], RtP_Table[#Headers], 0))</f>
        <v>2</v>
      </c>
      <c r="G88" s="7">
        <f>RouteInfo_Table[[#This Row],[Route_Points]]/RouteInfo_Table[[#This Row],[Route_Length]]</f>
        <v>1</v>
      </c>
    </row>
    <row r="89" spans="1:7" x14ac:dyDescent="0.2">
      <c r="A89" s="5">
        <v>1086</v>
      </c>
      <c r="B89" s="5" t="str">
        <f>_xlfn.CONCAT(RouteInfo_Table[[#This Row],[City01]], "-",RouteInfo_Table[[#This Row],[City02]])</f>
        <v>Rostov-Sochi</v>
      </c>
      <c r="C89" s="5" t="s">
        <v>38</v>
      </c>
      <c r="D89" s="5" t="s">
        <v>39</v>
      </c>
      <c r="E89" s="5">
        <v>2</v>
      </c>
      <c r="F89" s="5">
        <f>INDEX(RtP_Table[#All], MATCH(RouteInfo_Table[[#This Row],[Route_Length]],RtP_Table[Route_Length],0) + 1, MATCH(RouteInfo_Table[[#Headers],[Route_Points]], RtP_Table[#Headers], 0))</f>
        <v>2</v>
      </c>
      <c r="G89" s="7">
        <f>RouteInfo_Table[[#This Row],[Route_Points]]/RouteInfo_Table[[#This Row],[Route_Length]]</f>
        <v>1</v>
      </c>
    </row>
    <row r="90" spans="1:7" x14ac:dyDescent="0.2">
      <c r="A90" s="5">
        <v>1087</v>
      </c>
      <c r="B90" s="5" t="str">
        <f>_xlfn.CONCAT(RouteInfo_Table[[#This Row],[City01]], "-",RouteInfo_Table[[#This Row],[City02]])</f>
        <v>Sochi-Erzurum</v>
      </c>
      <c r="C90" s="5" t="s">
        <v>39</v>
      </c>
      <c r="D90" s="5" t="s">
        <v>65</v>
      </c>
      <c r="E90" s="5">
        <v>3</v>
      </c>
      <c r="F90" s="5">
        <f>INDEX(RtP_Table[#All], MATCH(RouteInfo_Table[[#This Row],[Route_Length]],RtP_Table[Route_Length],0) + 1, MATCH(RouteInfo_Table[[#Headers],[Route_Points]], RtP_Table[#Headers], 0))</f>
        <v>4</v>
      </c>
      <c r="G90" s="7">
        <f>RouteInfo_Table[[#This Row],[Route_Points]]/RouteInfo_Table[[#This Row],[Route_Length]]</f>
        <v>1.3333333333333333</v>
      </c>
    </row>
    <row r="91" spans="1:7" x14ac:dyDescent="0.2">
      <c r="A91" s="5">
        <v>1088</v>
      </c>
      <c r="B91" s="5" t="str">
        <f>_xlfn.CONCAT(RouteInfo_Table[[#This Row],[City01]], "-",RouteInfo_Table[[#This Row],[City02]])</f>
        <v>Erzurum-Angora</v>
      </c>
      <c r="C91" s="5" t="s">
        <v>65</v>
      </c>
      <c r="D91" s="5" t="s">
        <v>41</v>
      </c>
      <c r="E91" s="5">
        <v>3</v>
      </c>
      <c r="F91" s="5">
        <f>INDEX(RtP_Table[#All], MATCH(RouteInfo_Table[[#This Row],[Route_Length]],RtP_Table[Route_Length],0) + 1, MATCH(RouteInfo_Table[[#Headers],[Route_Points]], RtP_Table[#Headers], 0))</f>
        <v>4</v>
      </c>
      <c r="G91" s="7">
        <f>RouteInfo_Table[[#This Row],[Route_Points]]/RouteInfo_Table[[#This Row],[Route_Length]]</f>
        <v>1.3333333333333333</v>
      </c>
    </row>
    <row r="92" spans="1:7" x14ac:dyDescent="0.2">
      <c r="A92" s="5">
        <v>1089</v>
      </c>
      <c r="B92" s="5" t="str">
        <f>_xlfn.CONCAT(RouteInfo_Table[[#This Row],[City01]], "-",RouteInfo_Table[[#This Row],[City02]])</f>
        <v>Lisboa-Cadiz</v>
      </c>
      <c r="C92" s="5" t="s">
        <v>42</v>
      </c>
      <c r="D92" s="5" t="s">
        <v>43</v>
      </c>
      <c r="E92" s="5">
        <v>2</v>
      </c>
      <c r="F92" s="5">
        <f>INDEX(RtP_Table[#All], MATCH(RouteInfo_Table[[#This Row],[Route_Length]],RtP_Table[Route_Length],0) + 1, MATCH(RouteInfo_Table[[#Headers],[Route_Points]], RtP_Table[#Headers], 0))</f>
        <v>2</v>
      </c>
      <c r="G92" s="7">
        <f>RouteInfo_Table[[#This Row],[Route_Points]]/RouteInfo_Table[[#This Row],[Route_Length]]</f>
        <v>1</v>
      </c>
    </row>
    <row r="93" spans="1:7" x14ac:dyDescent="0.2">
      <c r="A93" s="5">
        <v>1090</v>
      </c>
      <c r="B93" s="5" t="str">
        <f>_xlfn.CONCAT(RouteInfo_Table[[#This Row],[City01]], "-",RouteInfo_Table[[#This Row],[City02]])</f>
        <v>KobenHavn-Stockholm</v>
      </c>
      <c r="C93" s="5" t="s">
        <v>44</v>
      </c>
      <c r="D93" s="5" t="s">
        <v>51</v>
      </c>
      <c r="E93" s="5">
        <v>3</v>
      </c>
      <c r="F93" s="5">
        <f>INDEX(RtP_Table[#All], MATCH(RouteInfo_Table[[#This Row],[Route_Length]],RtP_Table[Route_Length],0) + 1, MATCH(RouteInfo_Table[[#Headers],[Route_Points]], RtP_Table[#Headers], 0))</f>
        <v>4</v>
      </c>
      <c r="G93" s="7">
        <f>RouteInfo_Table[[#This Row],[Route_Points]]/RouteInfo_Table[[#This Row],[Route_Length]]</f>
        <v>1.3333333333333333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A13B-0736-3142-B85E-46A7D780237F}">
  <sheetPr>
    <tabColor theme="1"/>
  </sheetPr>
  <dimension ref="A1:H49"/>
  <sheetViews>
    <sheetView workbookViewId="0"/>
  </sheetViews>
  <sheetFormatPr baseColWidth="10" defaultRowHeight="16" x14ac:dyDescent="0.2"/>
  <cols>
    <col min="2" max="3" width="19.83203125" bestFit="1" customWidth="1"/>
    <col min="4" max="4" width="8.6640625" bestFit="1" customWidth="1"/>
    <col min="5" max="5" width="10.6640625" bestFit="1" customWidth="1"/>
    <col min="6" max="6" width="24.1640625" bestFit="1" customWidth="1"/>
    <col min="7" max="7" width="12.33203125" bestFit="1" customWidth="1"/>
    <col min="8" max="8" width="17.6640625" bestFit="1" customWidth="1"/>
  </cols>
  <sheetData>
    <row r="1" spans="1:8" x14ac:dyDescent="0.2">
      <c r="A1" s="1" t="s">
        <v>70</v>
      </c>
      <c r="B1" s="1"/>
      <c r="C1" s="1"/>
      <c r="D1" s="1"/>
      <c r="E1" s="1"/>
      <c r="F1" s="1"/>
      <c r="G1" s="1"/>
      <c r="H1" s="1"/>
    </row>
    <row r="2" spans="1:8" x14ac:dyDescent="0.2">
      <c r="A2" s="8" t="s">
        <v>53</v>
      </c>
      <c r="B2" s="8" t="s">
        <v>79</v>
      </c>
      <c r="C2" s="8" t="s">
        <v>71</v>
      </c>
      <c r="D2" s="8" t="s">
        <v>0</v>
      </c>
      <c r="E2" s="8" t="s">
        <v>72</v>
      </c>
      <c r="F2" s="8" t="s">
        <v>73</v>
      </c>
      <c r="G2" s="8" t="s">
        <v>75</v>
      </c>
      <c r="H2" s="8" t="s">
        <v>76</v>
      </c>
    </row>
    <row r="3" spans="1:8" x14ac:dyDescent="0.2">
      <c r="A3" t="s">
        <v>51</v>
      </c>
      <c r="B3" t="s">
        <v>99</v>
      </c>
      <c r="C3" s="9">
        <f>(SUMIF(RouteInfo_Table[City01], Cities_Table[[#This Row],[City]], RouteInfo_Table[Route_Length]) + SUMIF(RouteInfo_Table[City02], Cities_Table[[#This Row],[City]], RouteInfo_Table[Route_Length])) / (COUNTIF(RouteInfo_Table[City01], Cities_Table[[#This Row],[City]]) + COUNTIF(RouteInfo_Table[City02], Cities_Table[[#This Row],[City]]))</f>
        <v>5.5</v>
      </c>
      <c r="D3">
        <f>SUMIF(RouteInfo_Table[City01], Cities_Table[[#This Row],[City]], RouteInfo_Table[Route_Points]) + SUMIF(RouteInfo_Table[City02], Cities_Table[[#This Row],[City]], RouteInfo_Table[Route_Points])</f>
        <v>25</v>
      </c>
      <c r="E3" s="9">
        <f>(SUMIF(RouteInfo_Table[City01], Cities_Table[[#This Row],[City]], RouteInfo_Table[Efficiency]) + SUMIF(RouteInfo_Table[City02], Cities_Table[[#This Row],[City]], RouteInfo_Table[Efficiency])) / (COUNTIF(RouteInfo_Table[City01], Cities_Table[[#This Row],[City]]) + COUNTIF(RouteInfo_Table[City02], Cities_Table[[#This Row],[City]]))</f>
        <v>1.9791666666666665</v>
      </c>
      <c r="F3">
        <f>COUNTIF(Ticket_Table[City01],Cities_Table[[#This Row],[City]]) + COUNTIF(Ticket_Table[City02],Cities_Table[[#This Row],[City]])</f>
        <v>2</v>
      </c>
      <c r="G3">
        <f>COUNTIF(RouteInfo_Table[City01],Cities_Table[[#This Row],[City]]) + COUNTIF(RouteInfo_Table[City02],Cities_Table[[#This Row],[City]])</f>
        <v>2</v>
      </c>
      <c r="H3">
        <f>Cities_Table[[#This Row],[Ticket_Destination_Freq]]+Cities_Table[[#This Row],[Path_Num]]</f>
        <v>4</v>
      </c>
    </row>
    <row r="4" spans="1:8" x14ac:dyDescent="0.2">
      <c r="A4" t="s">
        <v>32</v>
      </c>
      <c r="B4" t="s">
        <v>100</v>
      </c>
      <c r="C4" s="9">
        <f>(SUMIF(RouteInfo_Table[City01], Cities_Table[[#This Row],[City]], RouteInfo_Table[Route_Length]) + SUMIF(RouteInfo_Table[City02], Cities_Table[[#This Row],[City]], RouteInfo_Table[Route_Length])) / (COUNTIF(RouteInfo_Table[City01], Cities_Table[[#This Row],[City]]) + COUNTIF(RouteInfo_Table[City02], Cities_Table[[#This Row],[City]]))</f>
        <v>5</v>
      </c>
      <c r="D4">
        <f>SUMIF(RouteInfo_Table[City01], Cities_Table[[#This Row],[City]], RouteInfo_Table[Route_Points]) + SUMIF(RouteInfo_Table[City02], Cities_Table[[#This Row],[City]], RouteInfo_Table[Route_Points])</f>
        <v>42</v>
      </c>
      <c r="E4" s="9">
        <f>(SUMIF(RouteInfo_Table[City01], Cities_Table[[#This Row],[City]], RouteInfo_Table[Efficiency]) + SUMIF(RouteInfo_Table[City02], Cities_Table[[#This Row],[City]], RouteInfo_Table[Efficiency])) / (COUNTIF(RouteInfo_Table[City01], Cities_Table[[#This Row],[City]]) + COUNTIF(RouteInfo_Table[City02], Cities_Table[[#This Row],[City]]))</f>
        <v>1.96875</v>
      </c>
      <c r="F4">
        <f>COUNTIF(Ticket_Table[City01],Cities_Table[[#This Row],[City]]) + COUNTIF(Ticket_Table[City02],Cities_Table[[#This Row],[City]])</f>
        <v>2</v>
      </c>
      <c r="G4">
        <f>COUNTIF(RouteInfo_Table[City01],Cities_Table[[#This Row],[City]]) + COUNTIF(RouteInfo_Table[City02],Cities_Table[[#This Row],[City]])</f>
        <v>4</v>
      </c>
      <c r="H4">
        <f>Cities_Table[[#This Row],[Ticket_Destination_Freq]]+Cities_Table[[#This Row],[Path_Num]]</f>
        <v>6</v>
      </c>
    </row>
    <row r="5" spans="1:8" x14ac:dyDescent="0.2">
      <c r="A5" t="s">
        <v>48</v>
      </c>
      <c r="B5" t="s">
        <v>102</v>
      </c>
      <c r="C5" s="9">
        <f>(SUMIF(RouteInfo_Table[City01], Cities_Table[[#This Row],[City]], RouteInfo_Table[Route_Length]) + SUMIF(RouteInfo_Table[City02], Cities_Table[[#This Row],[City]], RouteInfo_Table[Route_Length])) / (COUNTIF(RouteInfo_Table[City01], Cities_Table[[#This Row],[City]]) + COUNTIF(RouteInfo_Table[City02], Cities_Table[[#This Row],[City]]))</f>
        <v>4.333333333333333</v>
      </c>
      <c r="D5">
        <f>SUMIF(RouteInfo_Table[City01], Cities_Table[[#This Row],[City]], RouteInfo_Table[Route_Points]) + SUMIF(RouteInfo_Table[City02], Cities_Table[[#This Row],[City]], RouteInfo_Table[Route_Points])</f>
        <v>26</v>
      </c>
      <c r="E5" s="9">
        <f>(SUMIF(RouteInfo_Table[City01], Cities_Table[[#This Row],[City]], RouteInfo_Table[Efficiency]) + SUMIF(RouteInfo_Table[City02], Cities_Table[[#This Row],[City]], RouteInfo_Table[Efficiency])) / (COUNTIF(RouteInfo_Table[City01], Cities_Table[[#This Row],[City]]) + COUNTIF(RouteInfo_Table[City02], Cities_Table[[#This Row],[City]]))</f>
        <v>1.8611111111111109</v>
      </c>
      <c r="F5">
        <f>COUNTIF(Ticket_Table[City01],Cities_Table[[#This Row],[City]]) + COUNTIF(Ticket_Table[City02],Cities_Table[[#This Row],[City]])</f>
        <v>2</v>
      </c>
      <c r="G5">
        <f>COUNTIF(RouteInfo_Table[City01],Cities_Table[[#This Row],[City]]) + COUNTIF(RouteInfo_Table[City02],Cities_Table[[#This Row],[City]])</f>
        <v>3</v>
      </c>
      <c r="H5">
        <f>Cities_Table[[#This Row],[Ticket_Destination_Freq]]+Cities_Table[[#This Row],[Path_Num]]</f>
        <v>5</v>
      </c>
    </row>
    <row r="6" spans="1:8" x14ac:dyDescent="0.2">
      <c r="A6" t="s">
        <v>5</v>
      </c>
      <c r="B6" t="s">
        <v>101</v>
      </c>
      <c r="C6" s="9">
        <f>(SUMIF(RouteInfo_Table[City01], Cities_Table[[#This Row],[City]], RouteInfo_Table[Route_Length]) + SUMIF(RouteInfo_Table[City02], Cities_Table[[#This Row],[City]], RouteInfo_Table[Route_Length])) / (COUNTIF(RouteInfo_Table[City01], Cities_Table[[#This Row],[City]]) + COUNTIF(RouteInfo_Table[City02], Cities_Table[[#This Row],[City]]))</f>
        <v>4</v>
      </c>
      <c r="D6">
        <f>SUMIF(RouteInfo_Table[City01], Cities_Table[[#This Row],[City]], RouteInfo_Table[Route_Points]) + SUMIF(RouteInfo_Table[City02], Cities_Table[[#This Row],[City]], RouteInfo_Table[Route_Points])</f>
        <v>7</v>
      </c>
      <c r="E6" s="9">
        <f>(SUMIF(RouteInfo_Table[City01], Cities_Table[[#This Row],[City]], RouteInfo_Table[Efficiency]) + SUMIF(RouteInfo_Table[City02], Cities_Table[[#This Row],[City]], RouteInfo_Table[Efficiency])) / (COUNTIF(RouteInfo_Table[City01], Cities_Table[[#This Row],[City]]) + COUNTIF(RouteInfo_Table[City02], Cities_Table[[#This Row],[City]]))</f>
        <v>1.75</v>
      </c>
      <c r="F6">
        <f>COUNTIF(Ticket_Table[City01],Cities_Table[[#This Row],[City]]) + COUNTIF(Ticket_Table[City02],Cities_Table[[#This Row],[City]])</f>
        <v>2</v>
      </c>
      <c r="G6">
        <f>COUNTIF(RouteInfo_Table[City01],Cities_Table[[#This Row],[City]]) + COUNTIF(RouteInfo_Table[City02],Cities_Table[[#This Row],[City]])</f>
        <v>1</v>
      </c>
      <c r="H6">
        <f>Cities_Table[[#This Row],[Ticket_Destination_Freq]]+Cities_Table[[#This Row],[Path_Num]]</f>
        <v>3</v>
      </c>
    </row>
    <row r="7" spans="1:8" x14ac:dyDescent="0.2">
      <c r="A7" t="s">
        <v>34</v>
      </c>
      <c r="B7" t="s">
        <v>103</v>
      </c>
      <c r="C7" s="9">
        <f>(SUMIF(RouteInfo_Table[City01], Cities_Table[[#This Row],[City]], RouteInfo_Table[Route_Length]) + SUMIF(RouteInfo_Table[City02], Cities_Table[[#This Row],[City]], RouteInfo_Table[Route_Length])) / (COUNTIF(RouteInfo_Table[City01], Cities_Table[[#This Row],[City]]) + COUNTIF(RouteInfo_Table[City02], Cities_Table[[#This Row],[City]]))</f>
        <v>4</v>
      </c>
      <c r="D7">
        <f>SUMIF(RouteInfo_Table[City01], Cities_Table[[#This Row],[City]], RouteInfo_Table[Route_Points]) + SUMIF(RouteInfo_Table[City02], Cities_Table[[#This Row],[City]], RouteInfo_Table[Route_Points])</f>
        <v>7</v>
      </c>
      <c r="E7" s="9">
        <f>(SUMIF(RouteInfo_Table[City01], Cities_Table[[#This Row],[City]], RouteInfo_Table[Efficiency]) + SUMIF(RouteInfo_Table[City02], Cities_Table[[#This Row],[City]], RouteInfo_Table[Efficiency])) / (COUNTIF(RouteInfo_Table[City01], Cities_Table[[#This Row],[City]]) + COUNTIF(RouteInfo_Table[City02], Cities_Table[[#This Row],[City]]))</f>
        <v>1.75</v>
      </c>
      <c r="F7">
        <f>COUNTIF(Ticket_Table[City01],Cities_Table[[#This Row],[City]]) + COUNTIF(Ticket_Table[City02],Cities_Table[[#This Row],[City]])</f>
        <v>1</v>
      </c>
      <c r="G7">
        <f>COUNTIF(RouteInfo_Table[City01],Cities_Table[[#This Row],[City]]) + COUNTIF(RouteInfo_Table[City02],Cities_Table[[#This Row],[City]])</f>
        <v>1</v>
      </c>
      <c r="H7">
        <f>Cities_Table[[#This Row],[Ticket_Destination_Freq]]+Cities_Table[[#This Row],[Path_Num]]</f>
        <v>2</v>
      </c>
    </row>
    <row r="8" spans="1:8" x14ac:dyDescent="0.2">
      <c r="A8" t="s">
        <v>16</v>
      </c>
      <c r="B8" t="s">
        <v>100</v>
      </c>
      <c r="C8" s="9">
        <f>(SUMIF(RouteInfo_Table[City01], Cities_Table[[#This Row],[City]], RouteInfo_Table[Route_Length]) + SUMIF(RouteInfo_Table[City02], Cities_Table[[#This Row],[City]], RouteInfo_Table[Route_Length])) / (COUNTIF(RouteInfo_Table[City01], Cities_Table[[#This Row],[City]]) + COUNTIF(RouteInfo_Table[City02], Cities_Table[[#This Row],[City]]))</f>
        <v>3.8333333333333335</v>
      </c>
      <c r="D8">
        <f>SUMIF(RouteInfo_Table[City01], Cities_Table[[#This Row],[City]], RouteInfo_Table[Route_Points]) + SUMIF(RouteInfo_Table[City02], Cities_Table[[#This Row],[City]], RouteInfo_Table[Route_Points])</f>
        <v>42</v>
      </c>
      <c r="E8" s="9">
        <f>(SUMIF(RouteInfo_Table[City01], Cities_Table[[#This Row],[City]], RouteInfo_Table[Efficiency]) + SUMIF(RouteInfo_Table[City02], Cities_Table[[#This Row],[City]], RouteInfo_Table[Efficiency])) / (COUNTIF(RouteInfo_Table[City01], Cities_Table[[#This Row],[City]]) + COUNTIF(RouteInfo_Table[City02], Cities_Table[[#This Row],[City]]))</f>
        <v>1.6805555555555554</v>
      </c>
      <c r="F8">
        <f>COUNTIF(Ticket_Table[City01],Cities_Table[[#This Row],[City]]) + COUNTIF(Ticket_Table[City02],Cities_Table[[#This Row],[City]])</f>
        <v>3</v>
      </c>
      <c r="G8">
        <f>COUNTIF(RouteInfo_Table[City01],Cities_Table[[#This Row],[City]]) + COUNTIF(RouteInfo_Table[City02],Cities_Table[[#This Row],[City]])</f>
        <v>6</v>
      </c>
      <c r="H8">
        <f>Cities_Table[[#This Row],[Ticket_Destination_Freq]]+Cities_Table[[#This Row],[Path_Num]]</f>
        <v>9</v>
      </c>
    </row>
    <row r="9" spans="1:8" x14ac:dyDescent="0.2">
      <c r="A9" t="s">
        <v>31</v>
      </c>
      <c r="B9" t="s">
        <v>100</v>
      </c>
      <c r="C9" s="9">
        <f>(SUMIF(RouteInfo_Table[City01], Cities_Table[[#This Row],[City]], RouteInfo_Table[Route_Length]) + SUMIF(RouteInfo_Table[City02], Cities_Table[[#This Row],[City]], RouteInfo_Table[Route_Length])) / (COUNTIF(RouteInfo_Table[City01], Cities_Table[[#This Row],[City]]) + COUNTIF(RouteInfo_Table[City02], Cities_Table[[#This Row],[City]]))</f>
        <v>3.6666666666666665</v>
      </c>
      <c r="D9">
        <f>SUMIF(RouteInfo_Table[City01], Cities_Table[[#This Row],[City]], RouteInfo_Table[Route_Points]) + SUMIF(RouteInfo_Table[City02], Cities_Table[[#This Row],[City]], RouteInfo_Table[Route_Points])</f>
        <v>18</v>
      </c>
      <c r="E9" s="9">
        <f>(SUMIF(RouteInfo_Table[City01], Cities_Table[[#This Row],[City]], RouteInfo_Table[Efficiency]) + SUMIF(RouteInfo_Table[City02], Cities_Table[[#This Row],[City]], RouteInfo_Table[Efficiency])) / (COUNTIF(RouteInfo_Table[City01], Cities_Table[[#This Row],[City]]) + COUNTIF(RouteInfo_Table[City02], Cities_Table[[#This Row],[City]]))</f>
        <v>1.6111111111111109</v>
      </c>
      <c r="F9">
        <f>COUNTIF(Ticket_Table[City01],Cities_Table[[#This Row],[City]]) + COUNTIF(Ticket_Table[City02],Cities_Table[[#This Row],[City]])</f>
        <v>1</v>
      </c>
      <c r="G9">
        <f>COUNTIF(RouteInfo_Table[City01],Cities_Table[[#This Row],[City]]) + COUNTIF(RouteInfo_Table[City02],Cities_Table[[#This Row],[City]])</f>
        <v>3</v>
      </c>
      <c r="H9">
        <f>Cities_Table[[#This Row],[Ticket_Destination_Freq]]+Cities_Table[[#This Row],[Path_Num]]</f>
        <v>4</v>
      </c>
    </row>
    <row r="10" spans="1:8" x14ac:dyDescent="0.2">
      <c r="A10" t="s">
        <v>14</v>
      </c>
      <c r="B10" t="s">
        <v>102</v>
      </c>
      <c r="C10" s="9">
        <f>(SUMIF(RouteInfo_Table[City01], Cities_Table[[#This Row],[City]], RouteInfo_Table[Route_Length]) + SUMIF(RouteInfo_Table[City02], Cities_Table[[#This Row],[City]], RouteInfo_Table[Route_Length])) / (COUNTIF(RouteInfo_Table[City01], Cities_Table[[#This Row],[City]]) + COUNTIF(RouteInfo_Table[City02], Cities_Table[[#This Row],[City]]))</f>
        <v>3.6</v>
      </c>
      <c r="D10">
        <f>SUMIF(RouteInfo_Table[City01], Cities_Table[[#This Row],[City]], RouteInfo_Table[Route_Points]) + SUMIF(RouteInfo_Table[City02], Cities_Table[[#This Row],[City]], RouteInfo_Table[Route_Points])</f>
        <v>30</v>
      </c>
      <c r="E10" s="9">
        <f>(SUMIF(RouteInfo_Table[City01], Cities_Table[[#This Row],[City]], RouteInfo_Table[Efficiency]) + SUMIF(RouteInfo_Table[City02], Cities_Table[[#This Row],[City]], RouteInfo_Table[Efficiency])) / (COUNTIF(RouteInfo_Table[City01], Cities_Table[[#This Row],[City]]) + COUNTIF(RouteInfo_Table[City02], Cities_Table[[#This Row],[City]]))</f>
        <v>1.6</v>
      </c>
      <c r="F10">
        <f>COUNTIF(Ticket_Table[City01],Cities_Table[[#This Row],[City]]) + COUNTIF(Ticket_Table[City02],Cities_Table[[#This Row],[City]])</f>
        <v>2</v>
      </c>
      <c r="G10">
        <f>COUNTIF(RouteInfo_Table[City01],Cities_Table[[#This Row],[City]]) + COUNTIF(RouteInfo_Table[City02],Cities_Table[[#This Row],[City]])</f>
        <v>5</v>
      </c>
      <c r="H10">
        <f>Cities_Table[[#This Row],[Ticket_Destination_Freq]]+Cities_Table[[#This Row],[Path_Num]]</f>
        <v>7</v>
      </c>
    </row>
    <row r="11" spans="1:8" x14ac:dyDescent="0.2">
      <c r="A11" t="s">
        <v>17</v>
      </c>
      <c r="B11" t="s">
        <v>102</v>
      </c>
      <c r="C11" s="9">
        <f>(SUMIF(RouteInfo_Table[City01], Cities_Table[[#This Row],[City]], RouteInfo_Table[Route_Length]) + SUMIF(RouteInfo_Table[City02], Cities_Table[[#This Row],[City]], RouteInfo_Table[Route_Length])) / (COUNTIF(RouteInfo_Table[City01], Cities_Table[[#This Row],[City]]) + COUNTIF(RouteInfo_Table[City02], Cities_Table[[#This Row],[City]]))</f>
        <v>3.2</v>
      </c>
      <c r="D11">
        <f>SUMIF(RouteInfo_Table[City01], Cities_Table[[#This Row],[City]], RouteInfo_Table[Route_Points]) + SUMIF(RouteInfo_Table[City02], Cities_Table[[#This Row],[City]], RouteInfo_Table[Route_Points])</f>
        <v>29</v>
      </c>
      <c r="E11" s="9">
        <f>(SUMIF(RouteInfo_Table[City01], Cities_Table[[#This Row],[City]], RouteInfo_Table[Efficiency]) + SUMIF(RouteInfo_Table[City02], Cities_Table[[#This Row],[City]], RouteInfo_Table[Efficiency])) / (COUNTIF(RouteInfo_Table[City01], Cities_Table[[#This Row],[City]]) + COUNTIF(RouteInfo_Table[City02], Cities_Table[[#This Row],[City]]))</f>
        <v>1.5166666666666666</v>
      </c>
      <c r="F11">
        <f>COUNTIF(Ticket_Table[City01],Cities_Table[[#This Row],[City]]) + COUNTIF(Ticket_Table[City02],Cities_Table[[#This Row],[City]])</f>
        <v>2</v>
      </c>
      <c r="G11">
        <f>COUNTIF(RouteInfo_Table[City01],Cities_Table[[#This Row],[City]]) + COUNTIF(RouteInfo_Table[City02],Cities_Table[[#This Row],[City]])</f>
        <v>5</v>
      </c>
      <c r="H11">
        <f>Cities_Table[[#This Row],[Ticket_Destination_Freq]]+Cities_Table[[#This Row],[Path_Num]]</f>
        <v>7</v>
      </c>
    </row>
    <row r="12" spans="1:8" x14ac:dyDescent="0.2">
      <c r="A12" t="s">
        <v>18</v>
      </c>
      <c r="B12" t="s">
        <v>103</v>
      </c>
      <c r="C12" s="9">
        <f>(SUMIF(RouteInfo_Table[City01], Cities_Table[[#This Row],[City]], RouteInfo_Table[Route_Length]) + SUMIF(RouteInfo_Table[City02], Cities_Table[[#This Row],[City]], RouteInfo_Table[Route_Length])) / (COUNTIF(RouteInfo_Table[City01], Cities_Table[[#This Row],[City]]) + COUNTIF(RouteInfo_Table[City02], Cities_Table[[#This Row],[City]]))</f>
        <v>3.4</v>
      </c>
      <c r="D12">
        <f>SUMIF(RouteInfo_Table[City01], Cities_Table[[#This Row],[City]], RouteInfo_Table[Route_Points]) + SUMIF(RouteInfo_Table[City02], Cities_Table[[#This Row],[City]], RouteInfo_Table[Route_Points])</f>
        <v>27</v>
      </c>
      <c r="E12" s="9">
        <f>(SUMIF(RouteInfo_Table[City01], Cities_Table[[#This Row],[City]], RouteInfo_Table[Efficiency]) + SUMIF(RouteInfo_Table[City02], Cities_Table[[#This Row],[City]], RouteInfo_Table[Efficiency])) / (COUNTIF(RouteInfo_Table[City01], Cities_Table[[#This Row],[City]]) + COUNTIF(RouteInfo_Table[City02], Cities_Table[[#This Row],[City]]))</f>
        <v>1.5166666666666666</v>
      </c>
      <c r="F12">
        <f>COUNTIF(Ticket_Table[City01],Cities_Table[[#This Row],[City]]) + COUNTIF(Ticket_Table[City02],Cities_Table[[#This Row],[City]])</f>
        <v>2</v>
      </c>
      <c r="G12">
        <f>COUNTIF(RouteInfo_Table[City01],Cities_Table[[#This Row],[City]]) + COUNTIF(RouteInfo_Table[City02],Cities_Table[[#This Row],[City]])</f>
        <v>5</v>
      </c>
      <c r="H12">
        <f>Cities_Table[[#This Row],[Ticket_Destination_Freq]]+Cities_Table[[#This Row],[Path_Num]]</f>
        <v>7</v>
      </c>
    </row>
    <row r="13" spans="1:8" x14ac:dyDescent="0.2">
      <c r="A13" t="s">
        <v>15</v>
      </c>
      <c r="B13" t="s">
        <v>104</v>
      </c>
      <c r="C13" s="9">
        <f>(SUMIF(RouteInfo_Table[City01], Cities_Table[[#This Row],[City]], RouteInfo_Table[Route_Length]) + SUMIF(RouteInfo_Table[City02], Cities_Table[[#This Row],[City]], RouteInfo_Table[Route_Length])) / (COUNTIF(RouteInfo_Table[City01], Cities_Table[[#This Row],[City]]) + COUNTIF(RouteInfo_Table[City02], Cities_Table[[#This Row],[City]]))</f>
        <v>3.4</v>
      </c>
      <c r="D13">
        <f>SUMIF(RouteInfo_Table[City01], Cities_Table[[#This Row],[City]], RouteInfo_Table[Route_Points]) + SUMIF(RouteInfo_Table[City02], Cities_Table[[#This Row],[City]], RouteInfo_Table[Route_Points])</f>
        <v>27</v>
      </c>
      <c r="E13" s="9">
        <f>(SUMIF(RouteInfo_Table[City01], Cities_Table[[#This Row],[City]], RouteInfo_Table[Efficiency]) + SUMIF(RouteInfo_Table[City02], Cities_Table[[#This Row],[City]], RouteInfo_Table[Efficiency])) / (COUNTIF(RouteInfo_Table[City01], Cities_Table[[#This Row],[City]]) + COUNTIF(RouteInfo_Table[City02], Cities_Table[[#This Row],[City]]))</f>
        <v>1.5166666666666666</v>
      </c>
      <c r="F13">
        <f>COUNTIF(Ticket_Table[City01],Cities_Table[[#This Row],[City]]) + COUNTIF(Ticket_Table[City02],Cities_Table[[#This Row],[City]])</f>
        <v>1</v>
      </c>
      <c r="G13">
        <f>COUNTIF(RouteInfo_Table[City01],Cities_Table[[#This Row],[City]]) + COUNTIF(RouteInfo_Table[City02],Cities_Table[[#This Row],[City]])</f>
        <v>5</v>
      </c>
      <c r="H13">
        <f>Cities_Table[[#This Row],[Ticket_Destination_Freq]]+Cities_Table[[#This Row],[Path_Num]]</f>
        <v>6</v>
      </c>
    </row>
    <row r="14" spans="1:8" x14ac:dyDescent="0.2">
      <c r="A14" t="s">
        <v>19</v>
      </c>
      <c r="B14" t="s">
        <v>100</v>
      </c>
      <c r="C14" s="9">
        <f>(SUMIF(RouteInfo_Table[City01], Cities_Table[[#This Row],[City]], RouteInfo_Table[Route_Length]) + SUMIF(RouteInfo_Table[City02], Cities_Table[[#This Row],[City]], RouteInfo_Table[Route_Length])) / (COUNTIF(RouteInfo_Table[City01], Cities_Table[[#This Row],[City]]) + COUNTIF(RouteInfo_Table[City02], Cities_Table[[#This Row],[City]]))</f>
        <v>3.4</v>
      </c>
      <c r="D14">
        <f>SUMIF(RouteInfo_Table[City01], Cities_Table[[#This Row],[City]], RouteInfo_Table[Route_Points]) + SUMIF(RouteInfo_Table[City02], Cities_Table[[#This Row],[City]], RouteInfo_Table[Route_Points])</f>
        <v>27</v>
      </c>
      <c r="E14" s="9">
        <f>(SUMIF(RouteInfo_Table[City01], Cities_Table[[#This Row],[City]], RouteInfo_Table[Efficiency]) + SUMIF(RouteInfo_Table[City02], Cities_Table[[#This Row],[City]], RouteInfo_Table[Efficiency])) / (COUNTIF(RouteInfo_Table[City01], Cities_Table[[#This Row],[City]]) + COUNTIF(RouteInfo_Table[City02], Cities_Table[[#This Row],[City]]))</f>
        <v>1.5166666666666666</v>
      </c>
      <c r="F14">
        <f>COUNTIF(Ticket_Table[City01],Cities_Table[[#This Row],[City]]) + COUNTIF(Ticket_Table[City02],Cities_Table[[#This Row],[City]])</f>
        <v>1</v>
      </c>
      <c r="G14">
        <f>COUNTIF(RouteInfo_Table[City01],Cities_Table[[#This Row],[City]]) + COUNTIF(RouteInfo_Table[City02],Cities_Table[[#This Row],[City]])</f>
        <v>5</v>
      </c>
      <c r="H14">
        <f>Cities_Table[[#This Row],[Ticket_Destination_Freq]]+Cities_Table[[#This Row],[Path_Num]]</f>
        <v>6</v>
      </c>
    </row>
    <row r="15" spans="1:8" x14ac:dyDescent="0.2">
      <c r="A15" t="s">
        <v>33</v>
      </c>
      <c r="B15" t="s">
        <v>100</v>
      </c>
      <c r="C15" s="9">
        <f>(SUMIF(RouteInfo_Table[City01], Cities_Table[[#This Row],[City]], RouteInfo_Table[Route_Length]) + SUMIF(RouteInfo_Table[City02], Cities_Table[[#This Row],[City]], RouteInfo_Table[Route_Length])) / (COUNTIF(RouteInfo_Table[City01], Cities_Table[[#This Row],[City]]) + COUNTIF(RouteInfo_Table[City02], Cities_Table[[#This Row],[City]]))</f>
        <v>3.3333333333333335</v>
      </c>
      <c r="D15">
        <f>SUMIF(RouteInfo_Table[City01], Cities_Table[[#This Row],[City]], RouteInfo_Table[Route_Points]) + SUMIF(RouteInfo_Table[City02], Cities_Table[[#This Row],[City]], RouteInfo_Table[Route_Points])</f>
        <v>16</v>
      </c>
      <c r="E15" s="9">
        <f>(SUMIF(RouteInfo_Table[City01], Cities_Table[[#This Row],[City]], RouteInfo_Table[Efficiency]) + SUMIF(RouteInfo_Table[City02], Cities_Table[[#This Row],[City]], RouteInfo_Table[Efficiency])) / (COUNTIF(RouteInfo_Table[City01], Cities_Table[[#This Row],[City]]) + COUNTIF(RouteInfo_Table[City02], Cities_Table[[#This Row],[City]]))</f>
        <v>1.5</v>
      </c>
      <c r="F15">
        <f>COUNTIF(Ticket_Table[City01],Cities_Table[[#This Row],[City]]) + COUNTIF(Ticket_Table[City02],Cities_Table[[#This Row],[City]])</f>
        <v>1</v>
      </c>
      <c r="G15">
        <f>COUNTIF(RouteInfo_Table[City01],Cities_Table[[#This Row],[City]]) + COUNTIF(RouteInfo_Table[City02],Cities_Table[[#This Row],[City]])</f>
        <v>3</v>
      </c>
      <c r="H15">
        <f>Cities_Table[[#This Row],[Ticket_Destination_Freq]]+Cities_Table[[#This Row],[Path_Num]]</f>
        <v>4</v>
      </c>
    </row>
    <row r="16" spans="1:8" x14ac:dyDescent="0.2">
      <c r="A16" t="s">
        <v>52</v>
      </c>
      <c r="B16" t="s">
        <v>100</v>
      </c>
      <c r="C16" s="9">
        <f>(SUMIF(RouteInfo_Table[City01], Cities_Table[[#This Row],[City]], RouteInfo_Table[Route_Length]) + SUMIF(RouteInfo_Table[City02], Cities_Table[[#This Row],[City]], RouteInfo_Table[Route_Length])) / (COUNTIF(RouteInfo_Table[City01], Cities_Table[[#This Row],[City]]) + COUNTIF(RouteInfo_Table[City02], Cities_Table[[#This Row],[City]]))</f>
        <v>3.3333333333333335</v>
      </c>
      <c r="D16">
        <f>SUMIF(RouteInfo_Table[City01], Cities_Table[[#This Row],[City]], RouteInfo_Table[Route_Points]) + SUMIF(RouteInfo_Table[City02], Cities_Table[[#This Row],[City]], RouteInfo_Table[Route_Points])</f>
        <v>16</v>
      </c>
      <c r="E16" s="9">
        <f>(SUMIF(RouteInfo_Table[City01], Cities_Table[[#This Row],[City]], RouteInfo_Table[Efficiency]) + SUMIF(RouteInfo_Table[City02], Cities_Table[[#This Row],[City]], RouteInfo_Table[Efficiency])) / (COUNTIF(RouteInfo_Table[City01], Cities_Table[[#This Row],[City]]) + COUNTIF(RouteInfo_Table[City02], Cities_Table[[#This Row],[City]]))</f>
        <v>1.5</v>
      </c>
      <c r="F16">
        <f>COUNTIF(Ticket_Table[City01],Cities_Table[[#This Row],[City]]) + COUNTIF(Ticket_Table[City02],Cities_Table[[#This Row],[City]])</f>
        <v>2</v>
      </c>
      <c r="G16">
        <f>COUNTIF(RouteInfo_Table[City01],Cities_Table[[#This Row],[City]]) + COUNTIF(RouteInfo_Table[City02],Cities_Table[[#This Row],[City]])</f>
        <v>3</v>
      </c>
      <c r="H16">
        <f>Cities_Table[[#This Row],[Ticket_Destination_Freq]]+Cities_Table[[#This Row],[Path_Num]]</f>
        <v>5</v>
      </c>
    </row>
    <row r="17" spans="1:8" x14ac:dyDescent="0.2">
      <c r="A17" t="s">
        <v>65</v>
      </c>
      <c r="B17" t="s">
        <v>103</v>
      </c>
      <c r="C17" s="9">
        <f>(SUMIF(RouteInfo_Table[City01], Cities_Table[[#This Row],[City]], RouteInfo_Table[Route_Length]) + SUMIF(RouteInfo_Table[City02], Cities_Table[[#This Row],[City]], RouteInfo_Table[Route_Length])) / (COUNTIF(RouteInfo_Table[City01], Cities_Table[[#This Row],[City]]) + COUNTIF(RouteInfo_Table[City02], Cities_Table[[#This Row],[City]]))</f>
        <v>3.3333333333333335</v>
      </c>
      <c r="D17">
        <f>SUMIF(RouteInfo_Table[City01], Cities_Table[[#This Row],[City]], RouteInfo_Table[Route_Points]) + SUMIF(RouteInfo_Table[City02], Cities_Table[[#This Row],[City]], RouteInfo_Table[Route_Points])</f>
        <v>15</v>
      </c>
      <c r="E17" s="9">
        <f>(SUMIF(RouteInfo_Table[City01], Cities_Table[[#This Row],[City]], RouteInfo_Table[Efficiency]) + SUMIF(RouteInfo_Table[City02], Cities_Table[[#This Row],[City]], RouteInfo_Table[Efficiency])) / (COUNTIF(RouteInfo_Table[City01], Cities_Table[[#This Row],[City]]) + COUNTIF(RouteInfo_Table[City02], Cities_Table[[#This Row],[City]]))</f>
        <v>1.4722222222222221</v>
      </c>
      <c r="F17">
        <f>COUNTIF(Ticket_Table[City01],Cities_Table[[#This Row],[City]]) + COUNTIF(Ticket_Table[City02],Cities_Table[[#This Row],[City]])</f>
        <v>2</v>
      </c>
      <c r="G17">
        <f>COUNTIF(RouteInfo_Table[City01],Cities_Table[[#This Row],[City]]) + COUNTIF(RouteInfo_Table[City02],Cities_Table[[#This Row],[City]])</f>
        <v>3</v>
      </c>
      <c r="H17">
        <f>Cities_Table[[#This Row],[Ticket_Destination_Freq]]+Cities_Table[[#This Row],[Path_Num]]</f>
        <v>5</v>
      </c>
    </row>
    <row r="18" spans="1:8" x14ac:dyDescent="0.2">
      <c r="A18" t="s">
        <v>40</v>
      </c>
      <c r="B18" t="s">
        <v>103</v>
      </c>
      <c r="C18" s="9">
        <f>(SUMIF(RouteInfo_Table[City01], Cities_Table[[#This Row],[City]], RouteInfo_Table[Route_Length]) + SUMIF(RouteInfo_Table[City02], Cities_Table[[#This Row],[City]], RouteInfo_Table[Route_Length])) / (COUNTIF(RouteInfo_Table[City01], Cities_Table[[#This Row],[City]]) + COUNTIF(RouteInfo_Table[City02], Cities_Table[[#This Row],[City]]))</f>
        <v>3.25</v>
      </c>
      <c r="D18">
        <f>SUMIF(RouteInfo_Table[City01], Cities_Table[[#This Row],[City]], RouteInfo_Table[Route_Points]) + SUMIF(RouteInfo_Table[City02], Cities_Table[[#This Row],[City]], RouteInfo_Table[Route_Points])</f>
        <v>23</v>
      </c>
      <c r="E18" s="9">
        <f>(SUMIF(RouteInfo_Table[City01], Cities_Table[[#This Row],[City]], RouteInfo_Table[Efficiency]) + SUMIF(RouteInfo_Table[City02], Cities_Table[[#This Row],[City]], RouteInfo_Table[Efficiency])) / (COUNTIF(RouteInfo_Table[City01], Cities_Table[[#This Row],[City]]) + COUNTIF(RouteInfo_Table[City02], Cities_Table[[#This Row],[City]]))</f>
        <v>1.4583333333333333</v>
      </c>
      <c r="F18">
        <f>COUNTIF(Ticket_Table[City01],Cities_Table[[#This Row],[City]]) + COUNTIF(Ticket_Table[City02],Cities_Table[[#This Row],[City]])</f>
        <v>2</v>
      </c>
      <c r="G18">
        <f>COUNTIF(RouteInfo_Table[City01],Cities_Table[[#This Row],[City]]) + COUNTIF(RouteInfo_Table[City02],Cities_Table[[#This Row],[City]])</f>
        <v>4</v>
      </c>
      <c r="H18">
        <f>Cities_Table[[#This Row],[Ticket_Destination_Freq]]+Cities_Table[[#This Row],[Path_Num]]</f>
        <v>6</v>
      </c>
    </row>
    <row r="19" spans="1:8" x14ac:dyDescent="0.2">
      <c r="A19" t="s">
        <v>22</v>
      </c>
      <c r="B19" t="s">
        <v>100</v>
      </c>
      <c r="C19" s="9">
        <f>(SUMIF(RouteInfo_Table[City01], Cities_Table[[#This Row],[City]], RouteInfo_Table[Route_Length]) + SUMIF(RouteInfo_Table[City02], Cities_Table[[#This Row],[City]], RouteInfo_Table[Route_Length])) / (COUNTIF(RouteInfo_Table[City01], Cities_Table[[#This Row],[City]]) + COUNTIF(RouteInfo_Table[City02], Cities_Table[[#This Row],[City]]))</f>
        <v>3.2</v>
      </c>
      <c r="D19">
        <f>SUMIF(RouteInfo_Table[City01], Cities_Table[[#This Row],[City]], RouteInfo_Table[Route_Points]) + SUMIF(RouteInfo_Table[City02], Cities_Table[[#This Row],[City]], RouteInfo_Table[Route_Points])</f>
        <v>24</v>
      </c>
      <c r="E19" s="9">
        <f>(SUMIF(RouteInfo_Table[City01], Cities_Table[[#This Row],[City]], RouteInfo_Table[Efficiency]) + SUMIF(RouteInfo_Table[City02], Cities_Table[[#This Row],[City]], RouteInfo_Table[Efficiency])) / (COUNTIF(RouteInfo_Table[City01], Cities_Table[[#This Row],[City]]) + COUNTIF(RouteInfo_Table[City02], Cities_Table[[#This Row],[City]]))</f>
        <v>1.4333333333333331</v>
      </c>
      <c r="F19">
        <f>COUNTIF(Ticket_Table[City01],Cities_Table[[#This Row],[City]]) + COUNTIF(Ticket_Table[City02],Cities_Table[[#This Row],[City]])</f>
        <v>4</v>
      </c>
      <c r="G19">
        <f>COUNTIF(RouteInfo_Table[City01],Cities_Table[[#This Row],[City]]) + COUNTIF(RouteInfo_Table[City02],Cities_Table[[#This Row],[City]])</f>
        <v>5</v>
      </c>
      <c r="H19">
        <f>Cities_Table[[#This Row],[Ticket_Destination_Freq]]+Cities_Table[[#This Row],[Path_Num]]</f>
        <v>9</v>
      </c>
    </row>
    <row r="20" spans="1:8" x14ac:dyDescent="0.2">
      <c r="A20" t="s">
        <v>21</v>
      </c>
      <c r="B20" t="s">
        <v>100</v>
      </c>
      <c r="C20" s="9">
        <f>(SUMIF(RouteInfo_Table[City01], Cities_Table[[#This Row],[City]], RouteInfo_Table[Route_Length]) + SUMIF(RouteInfo_Table[City02], Cities_Table[[#This Row],[City]], RouteInfo_Table[Route_Length])) / (COUNTIF(RouteInfo_Table[City01], Cities_Table[[#This Row],[City]]) + COUNTIF(RouteInfo_Table[City02], Cities_Table[[#This Row],[City]]))</f>
        <v>3.2</v>
      </c>
      <c r="D20">
        <f>SUMIF(RouteInfo_Table[City01], Cities_Table[[#This Row],[City]], RouteInfo_Table[Route_Points]) + SUMIF(RouteInfo_Table[City02], Cities_Table[[#This Row],[City]], RouteInfo_Table[Route_Points])</f>
        <v>24</v>
      </c>
      <c r="E20" s="9">
        <f>(SUMIF(RouteInfo_Table[City01], Cities_Table[[#This Row],[City]], RouteInfo_Table[Efficiency]) + SUMIF(RouteInfo_Table[City02], Cities_Table[[#This Row],[City]], RouteInfo_Table[Efficiency])) / (COUNTIF(RouteInfo_Table[City01], Cities_Table[[#This Row],[City]]) + COUNTIF(RouteInfo_Table[City02], Cities_Table[[#This Row],[City]]))</f>
        <v>1.4333333333333331</v>
      </c>
      <c r="F20">
        <f>COUNTIF(Ticket_Table[City01],Cities_Table[[#This Row],[City]]) + COUNTIF(Ticket_Table[City02],Cities_Table[[#This Row],[City]])</f>
        <v>2</v>
      </c>
      <c r="G20">
        <f>COUNTIF(RouteInfo_Table[City01],Cities_Table[[#This Row],[City]]) + COUNTIF(RouteInfo_Table[City02],Cities_Table[[#This Row],[City]])</f>
        <v>5</v>
      </c>
      <c r="H20">
        <f>Cities_Table[[#This Row],[Ticket_Destination_Freq]]+Cities_Table[[#This Row],[Path_Num]]</f>
        <v>7</v>
      </c>
    </row>
    <row r="21" spans="1:8" x14ac:dyDescent="0.2">
      <c r="A21" t="s">
        <v>29</v>
      </c>
      <c r="B21" t="s">
        <v>102</v>
      </c>
      <c r="C21"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1">
        <f>SUMIF(RouteInfo_Table[City01], Cities_Table[[#This Row],[City]], RouteInfo_Table[Route_Points]) + SUMIF(RouteInfo_Table[City02], Cities_Table[[#This Row],[City]], RouteInfo_Table[Route_Points])</f>
        <v>18</v>
      </c>
      <c r="E21" s="9">
        <f>(SUMIF(RouteInfo_Table[City01], Cities_Table[[#This Row],[City]], RouteInfo_Table[Efficiency]) + SUMIF(RouteInfo_Table[City02], Cities_Table[[#This Row],[City]], RouteInfo_Table[Efficiency])) / (COUNTIF(RouteInfo_Table[City01], Cities_Table[[#This Row],[City]]) + COUNTIF(RouteInfo_Table[City02], Cities_Table[[#This Row],[City]]))</f>
        <v>1.375</v>
      </c>
      <c r="F21">
        <f>COUNTIF(Ticket_Table[City01],Cities_Table[[#This Row],[City]]) + COUNTIF(Ticket_Table[City02],Cities_Table[[#This Row],[City]])</f>
        <v>2</v>
      </c>
      <c r="G21">
        <f>COUNTIF(RouteInfo_Table[City01],Cities_Table[[#This Row],[City]]) + COUNTIF(RouteInfo_Table[City02],Cities_Table[[#This Row],[City]])</f>
        <v>4</v>
      </c>
      <c r="H21">
        <f>Cities_Table[[#This Row],[Ticket_Destination_Freq]]+Cities_Table[[#This Row],[Path_Num]]</f>
        <v>6</v>
      </c>
    </row>
    <row r="22" spans="1:8" x14ac:dyDescent="0.2">
      <c r="A22" t="s">
        <v>50</v>
      </c>
      <c r="B22" t="s">
        <v>102</v>
      </c>
      <c r="C22"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2">
        <f>SUMIF(RouteInfo_Table[City01], Cities_Table[[#This Row],[City]], RouteInfo_Table[Route_Points]) + SUMIF(RouteInfo_Table[City02], Cities_Table[[#This Row],[City]], RouteInfo_Table[Route_Points])</f>
        <v>13</v>
      </c>
      <c r="E22" s="9">
        <f>(SUMIF(RouteInfo_Table[City01], Cities_Table[[#This Row],[City]], RouteInfo_Table[Efficiency]) + SUMIF(RouteInfo_Table[City02], Cities_Table[[#This Row],[City]], RouteInfo_Table[Efficiency])) / (COUNTIF(RouteInfo_Table[City01], Cities_Table[[#This Row],[City]]) + COUNTIF(RouteInfo_Table[City02], Cities_Table[[#This Row],[City]]))</f>
        <v>1.3611111111111109</v>
      </c>
      <c r="F22">
        <f>COUNTIF(Ticket_Table[City01],Cities_Table[[#This Row],[City]]) + COUNTIF(Ticket_Table[City02],Cities_Table[[#This Row],[City]])</f>
        <v>3</v>
      </c>
      <c r="G22">
        <f>COUNTIF(RouteInfo_Table[City01],Cities_Table[[#This Row],[City]]) + COUNTIF(RouteInfo_Table[City02],Cities_Table[[#This Row],[City]])</f>
        <v>3</v>
      </c>
      <c r="H22">
        <f>Cities_Table[[#This Row],[Ticket_Destination_Freq]]+Cities_Table[[#This Row],[Path_Num]]</f>
        <v>6</v>
      </c>
    </row>
    <row r="23" spans="1:8" x14ac:dyDescent="0.2">
      <c r="A23" t="s">
        <v>9</v>
      </c>
      <c r="B23" t="s">
        <v>101</v>
      </c>
      <c r="C23"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3">
        <f>SUMIF(RouteInfo_Table[City01], Cities_Table[[#This Row],[City]], RouteInfo_Table[Route_Points]) + SUMIF(RouteInfo_Table[City02], Cities_Table[[#This Row],[City]], RouteInfo_Table[Route_Points])</f>
        <v>13</v>
      </c>
      <c r="E23" s="9">
        <f>(SUMIF(RouteInfo_Table[City01], Cities_Table[[#This Row],[City]], RouteInfo_Table[Efficiency]) + SUMIF(RouteInfo_Table[City02], Cities_Table[[#This Row],[City]], RouteInfo_Table[Efficiency])) / (COUNTIF(RouteInfo_Table[City01], Cities_Table[[#This Row],[City]]) + COUNTIF(RouteInfo_Table[City02], Cities_Table[[#This Row],[City]]))</f>
        <v>1.3611111111111109</v>
      </c>
      <c r="F23">
        <f>COUNTIF(Ticket_Table[City01],Cities_Table[[#This Row],[City]]) + COUNTIF(Ticket_Table[City02],Cities_Table[[#This Row],[City]])</f>
        <v>3</v>
      </c>
      <c r="G23">
        <f>COUNTIF(RouteInfo_Table[City01],Cities_Table[[#This Row],[City]]) + COUNTIF(RouteInfo_Table[City02],Cities_Table[[#This Row],[City]])</f>
        <v>3</v>
      </c>
      <c r="H23">
        <f>Cities_Table[[#This Row],[Ticket_Destination_Freq]]+Cities_Table[[#This Row],[Path_Num]]</f>
        <v>6</v>
      </c>
    </row>
    <row r="24" spans="1:8" x14ac:dyDescent="0.2">
      <c r="A24" t="s">
        <v>49</v>
      </c>
      <c r="B24" t="s">
        <v>102</v>
      </c>
      <c r="C24"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4">
        <f>SUMIF(RouteInfo_Table[City01], Cities_Table[[#This Row],[City]], RouteInfo_Table[Route_Points]) + SUMIF(RouteInfo_Table[City02], Cities_Table[[#This Row],[City]], RouteInfo_Table[Route_Points])</f>
        <v>13</v>
      </c>
      <c r="E24" s="9">
        <f>(SUMIF(RouteInfo_Table[City01], Cities_Table[[#This Row],[City]], RouteInfo_Table[Efficiency]) + SUMIF(RouteInfo_Table[City02], Cities_Table[[#This Row],[City]], RouteInfo_Table[Efficiency])) / (COUNTIF(RouteInfo_Table[City01], Cities_Table[[#This Row],[City]]) + COUNTIF(RouteInfo_Table[City02], Cities_Table[[#This Row],[City]]))</f>
        <v>1.3611111111111109</v>
      </c>
      <c r="F24">
        <f>COUNTIF(Ticket_Table[City01],Cities_Table[[#This Row],[City]]) + COUNTIF(Ticket_Table[City02],Cities_Table[[#This Row],[City]])</f>
        <v>2</v>
      </c>
      <c r="G24">
        <f>COUNTIF(RouteInfo_Table[City01],Cities_Table[[#This Row],[City]]) + COUNTIF(RouteInfo_Table[City02],Cities_Table[[#This Row],[City]])</f>
        <v>3</v>
      </c>
      <c r="H24">
        <f>Cities_Table[[#This Row],[Ticket_Destination_Freq]]+Cities_Table[[#This Row],[Path_Num]]</f>
        <v>5</v>
      </c>
    </row>
    <row r="25" spans="1:8" x14ac:dyDescent="0.2">
      <c r="A25" t="s">
        <v>66</v>
      </c>
      <c r="B25" t="s">
        <v>99</v>
      </c>
      <c r="C25"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5">
        <f>SUMIF(RouteInfo_Table[City01], Cities_Table[[#This Row],[City]], RouteInfo_Table[Route_Points]) + SUMIF(RouteInfo_Table[City02], Cities_Table[[#This Row],[City]], RouteInfo_Table[Route_Points])</f>
        <v>13</v>
      </c>
      <c r="E25" s="9">
        <f>(SUMIF(RouteInfo_Table[City01], Cities_Table[[#This Row],[City]], RouteInfo_Table[Efficiency]) + SUMIF(RouteInfo_Table[City02], Cities_Table[[#This Row],[City]], RouteInfo_Table[Efficiency])) / (COUNTIF(RouteInfo_Table[City01], Cities_Table[[#This Row],[City]]) + COUNTIF(RouteInfo_Table[City02], Cities_Table[[#This Row],[City]]))</f>
        <v>1.3611111111111109</v>
      </c>
      <c r="F25">
        <f>COUNTIF(Ticket_Table[City01],Cities_Table[[#This Row],[City]]) + COUNTIF(Ticket_Table[City02],Cities_Table[[#This Row],[City]])</f>
        <v>2</v>
      </c>
      <c r="G25">
        <f>COUNTIF(RouteInfo_Table[City01],Cities_Table[[#This Row],[City]]) + COUNTIF(RouteInfo_Table[City02],Cities_Table[[#This Row],[City]])</f>
        <v>3</v>
      </c>
      <c r="H25">
        <f>Cities_Table[[#This Row],[Ticket_Destination_Freq]]+Cities_Table[[#This Row],[Path_Num]]</f>
        <v>5</v>
      </c>
    </row>
    <row r="26" spans="1:8" x14ac:dyDescent="0.2">
      <c r="A26" t="s">
        <v>11</v>
      </c>
      <c r="B26" t="s">
        <v>101</v>
      </c>
      <c r="C26" s="9">
        <f>(SUMIF(RouteInfo_Table[City01], Cities_Table[[#This Row],[City]], RouteInfo_Table[Route_Length]) + SUMIF(RouteInfo_Table[City02], Cities_Table[[#This Row],[City]], RouteInfo_Table[Route_Length])) / (COUNTIF(RouteInfo_Table[City01], Cities_Table[[#This Row],[City]]) + COUNTIF(RouteInfo_Table[City02], Cities_Table[[#This Row],[City]]))</f>
        <v>2.8571428571428572</v>
      </c>
      <c r="D26">
        <f>SUMIF(RouteInfo_Table[City01], Cities_Table[[#This Row],[City]], RouteInfo_Table[Route_Points]) + SUMIF(RouteInfo_Table[City02], Cities_Table[[#This Row],[City]], RouteInfo_Table[Route_Points])</f>
        <v>29</v>
      </c>
      <c r="E26" s="9">
        <f>(SUMIF(RouteInfo_Table[City01], Cities_Table[[#This Row],[City]], RouteInfo_Table[Efficiency]) + SUMIF(RouteInfo_Table[City02], Cities_Table[[#This Row],[City]], RouteInfo_Table[Efficiency])) / (COUNTIF(RouteInfo_Table[City01], Cities_Table[[#This Row],[City]]) + COUNTIF(RouteInfo_Table[City02], Cities_Table[[#This Row],[City]]))</f>
        <v>1.3571428571428572</v>
      </c>
      <c r="F26">
        <f>COUNTIF(Ticket_Table[City01],Cities_Table[[#This Row],[City]]) + COUNTIF(Ticket_Table[City02],Cities_Table[[#This Row],[City]])</f>
        <v>3</v>
      </c>
      <c r="G26">
        <f>COUNTIF(RouteInfo_Table[City01],Cities_Table[[#This Row],[City]]) + COUNTIF(RouteInfo_Table[City02],Cities_Table[[#This Row],[City]])</f>
        <v>7</v>
      </c>
      <c r="H26">
        <f>Cities_Table[[#This Row],[Ticket_Destination_Freq]]+Cities_Table[[#This Row],[Path_Num]]</f>
        <v>10</v>
      </c>
    </row>
    <row r="27" spans="1:8" x14ac:dyDescent="0.2">
      <c r="A27" t="s">
        <v>30</v>
      </c>
      <c r="B27" t="s">
        <v>102</v>
      </c>
      <c r="C27"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7">
        <f>SUMIF(RouteInfo_Table[City01], Cities_Table[[#This Row],[City]], RouteInfo_Table[Route_Points]) + SUMIF(RouteInfo_Table[City02], Cities_Table[[#This Row],[City]], RouteInfo_Table[Route_Points])</f>
        <v>17</v>
      </c>
      <c r="E27" s="9">
        <f>(SUMIF(RouteInfo_Table[City01], Cities_Table[[#This Row],[City]], RouteInfo_Table[Efficiency]) + SUMIF(RouteInfo_Table[City02], Cities_Table[[#This Row],[City]], RouteInfo_Table[Efficiency])) / (COUNTIF(RouteInfo_Table[City01], Cities_Table[[#This Row],[City]]) + COUNTIF(RouteInfo_Table[City02], Cities_Table[[#This Row],[City]]))</f>
        <v>1.3541666666666665</v>
      </c>
      <c r="F27">
        <f>COUNTIF(Ticket_Table[City01],Cities_Table[[#This Row],[City]]) + COUNTIF(Ticket_Table[City02],Cities_Table[[#This Row],[City]])</f>
        <v>1</v>
      </c>
      <c r="G27">
        <f>COUNTIF(RouteInfo_Table[City01],Cities_Table[[#This Row],[City]]) + COUNTIF(RouteInfo_Table[City02],Cities_Table[[#This Row],[City]])</f>
        <v>4</v>
      </c>
      <c r="H27">
        <f>Cities_Table[[#This Row],[Ticket_Destination_Freq]]+Cities_Table[[#This Row],[Path_Num]]</f>
        <v>5</v>
      </c>
    </row>
    <row r="28" spans="1:8" x14ac:dyDescent="0.2">
      <c r="A28" t="s">
        <v>45</v>
      </c>
      <c r="B28" t="s">
        <v>99</v>
      </c>
      <c r="C28" s="9">
        <f>(SUMIF(RouteInfo_Table[City01], Cities_Table[[#This Row],[City]], RouteInfo_Table[Route_Length]) + SUMIF(RouteInfo_Table[City02], Cities_Table[[#This Row],[City]], RouteInfo_Table[Route_Length])) / (COUNTIF(RouteInfo_Table[City01], Cities_Table[[#This Row],[City]]) + COUNTIF(RouteInfo_Table[City02], Cities_Table[[#This Row],[City]]))</f>
        <v>3</v>
      </c>
      <c r="D28">
        <f>SUMIF(RouteInfo_Table[City01], Cities_Table[[#This Row],[City]], RouteInfo_Table[Route_Points]) + SUMIF(RouteInfo_Table[City02], Cities_Table[[#This Row],[City]], RouteInfo_Table[Route_Points])</f>
        <v>8</v>
      </c>
      <c r="E28" s="9">
        <f>(SUMIF(RouteInfo_Table[City01], Cities_Table[[#This Row],[City]], RouteInfo_Table[Efficiency]) + SUMIF(RouteInfo_Table[City02], Cities_Table[[#This Row],[City]], RouteInfo_Table[Efficiency])) / (COUNTIF(RouteInfo_Table[City01], Cities_Table[[#This Row],[City]]) + COUNTIF(RouteInfo_Table[City02], Cities_Table[[#This Row],[City]]))</f>
        <v>1.3333333333333333</v>
      </c>
      <c r="F28">
        <f>COUNTIF(Ticket_Table[City01],Cities_Table[[#This Row],[City]]) + COUNTIF(Ticket_Table[City02],Cities_Table[[#This Row],[City]])</f>
        <v>2</v>
      </c>
      <c r="G28">
        <f>COUNTIF(RouteInfo_Table[City01],Cities_Table[[#This Row],[City]]) + COUNTIF(RouteInfo_Table[City02],Cities_Table[[#This Row],[City]])</f>
        <v>2</v>
      </c>
      <c r="H28">
        <f>Cities_Table[[#This Row],[Ticket_Destination_Freq]]+Cities_Table[[#This Row],[Path_Num]]</f>
        <v>4</v>
      </c>
    </row>
    <row r="29" spans="1:8" x14ac:dyDescent="0.2">
      <c r="A29" t="s">
        <v>35</v>
      </c>
      <c r="B29" t="s">
        <v>103</v>
      </c>
      <c r="C29" s="9">
        <f>(SUMIF(RouteInfo_Table[City01], Cities_Table[[#This Row],[City]], RouteInfo_Table[Route_Length]) + SUMIF(RouteInfo_Table[City02], Cities_Table[[#This Row],[City]], RouteInfo_Table[Route_Length])) / (COUNTIF(RouteInfo_Table[City01], Cities_Table[[#This Row],[City]]) + COUNTIF(RouteInfo_Table[City02], Cities_Table[[#This Row],[City]]))</f>
        <v>2.8</v>
      </c>
      <c r="D29">
        <f>SUMIF(RouteInfo_Table[City01], Cities_Table[[#This Row],[City]], RouteInfo_Table[Route_Points]) + SUMIF(RouteInfo_Table[City02], Cities_Table[[#This Row],[City]], RouteInfo_Table[Route_Points])</f>
        <v>19</v>
      </c>
      <c r="E29" s="9">
        <f>(SUMIF(RouteInfo_Table[City01], Cities_Table[[#This Row],[City]], RouteInfo_Table[Efficiency]) + SUMIF(RouteInfo_Table[City02], Cities_Table[[#This Row],[City]], RouteInfo_Table[Efficiency])) / (COUNTIF(RouteInfo_Table[City01], Cities_Table[[#This Row],[City]]) + COUNTIF(RouteInfo_Table[City02], Cities_Table[[#This Row],[City]]))</f>
        <v>1.2833333333333332</v>
      </c>
      <c r="F29">
        <f>COUNTIF(Ticket_Table[City01],Cities_Table[[#This Row],[City]]) + COUNTIF(Ticket_Table[City02],Cities_Table[[#This Row],[City]])</f>
        <v>2</v>
      </c>
      <c r="G29">
        <f>COUNTIF(RouteInfo_Table[City01],Cities_Table[[#This Row],[City]]) + COUNTIF(RouteInfo_Table[City02],Cities_Table[[#This Row],[City]])</f>
        <v>5</v>
      </c>
      <c r="H29">
        <f>Cities_Table[[#This Row],[Ticket_Destination_Freq]]+Cities_Table[[#This Row],[Path_Num]]</f>
        <v>7</v>
      </c>
    </row>
    <row r="30" spans="1:8" x14ac:dyDescent="0.2">
      <c r="A30" t="s">
        <v>25</v>
      </c>
      <c r="B30" t="s">
        <v>102</v>
      </c>
      <c r="C30" s="9">
        <f>(SUMIF(RouteInfo_Table[City01], Cities_Table[[#This Row],[City]], RouteInfo_Table[Route_Length]) + SUMIF(RouteInfo_Table[City02], Cities_Table[[#This Row],[City]], RouteInfo_Table[Route_Length])) / (COUNTIF(RouteInfo_Table[City01], Cities_Table[[#This Row],[City]]) + COUNTIF(RouteInfo_Table[City02], Cities_Table[[#This Row],[City]]))</f>
        <v>2.6</v>
      </c>
      <c r="D30">
        <f>SUMIF(RouteInfo_Table[City01], Cities_Table[[#This Row],[City]], RouteInfo_Table[Route_Points]) + SUMIF(RouteInfo_Table[City02], Cities_Table[[#This Row],[City]], RouteInfo_Table[Route_Points])</f>
        <v>18</v>
      </c>
      <c r="E30" s="9">
        <f>(SUMIF(RouteInfo_Table[City01], Cities_Table[[#This Row],[City]], RouteInfo_Table[Efficiency]) + SUMIF(RouteInfo_Table[City02], Cities_Table[[#This Row],[City]], RouteInfo_Table[Efficiency])) / (COUNTIF(RouteInfo_Table[City01], Cities_Table[[#This Row],[City]]) + COUNTIF(RouteInfo_Table[City02], Cities_Table[[#This Row],[City]]))</f>
        <v>1.2833333333333332</v>
      </c>
      <c r="F30">
        <f>COUNTIF(Ticket_Table[City01],Cities_Table[[#This Row],[City]]) + COUNTIF(Ticket_Table[City02],Cities_Table[[#This Row],[City]])</f>
        <v>3</v>
      </c>
      <c r="G30">
        <f>COUNTIF(RouteInfo_Table[City01],Cities_Table[[#This Row],[City]]) + COUNTIF(RouteInfo_Table[City02],Cities_Table[[#This Row],[City]])</f>
        <v>5</v>
      </c>
      <c r="H30">
        <f>Cities_Table[[#This Row],[Ticket_Destination_Freq]]+Cities_Table[[#This Row],[Path_Num]]</f>
        <v>8</v>
      </c>
    </row>
    <row r="31" spans="1:8" x14ac:dyDescent="0.2">
      <c r="A31" t="s">
        <v>27</v>
      </c>
      <c r="B31" t="s">
        <v>104</v>
      </c>
      <c r="C31" s="9">
        <f>(SUMIF(RouteInfo_Table[City01], Cities_Table[[#This Row],[City]], RouteInfo_Table[Route_Length]) + SUMIF(RouteInfo_Table[City02], Cities_Table[[#This Row],[City]], RouteInfo_Table[Route_Length])) / (COUNTIF(RouteInfo_Table[City01], Cities_Table[[#This Row],[City]]) + COUNTIF(RouteInfo_Table[City02], Cities_Table[[#This Row],[City]]))</f>
        <v>2.75</v>
      </c>
      <c r="D31">
        <f>SUMIF(RouteInfo_Table[City01], Cities_Table[[#This Row],[City]], RouteInfo_Table[Route_Points]) + SUMIF(RouteInfo_Table[City02], Cities_Table[[#This Row],[City]], RouteInfo_Table[Route_Points])</f>
        <v>14</v>
      </c>
      <c r="E31" s="9">
        <f>(SUMIF(RouteInfo_Table[City01], Cities_Table[[#This Row],[City]], RouteInfo_Table[Efficiency]) + SUMIF(RouteInfo_Table[City02], Cities_Table[[#This Row],[City]], RouteInfo_Table[Efficiency])) / (COUNTIF(RouteInfo_Table[City01], Cities_Table[[#This Row],[City]]) + COUNTIF(RouteInfo_Table[City02], Cities_Table[[#This Row],[City]]))</f>
        <v>1.25</v>
      </c>
      <c r="F31">
        <f>COUNTIF(Ticket_Table[City01],Cities_Table[[#This Row],[City]]) + COUNTIF(Ticket_Table[City02],Cities_Table[[#This Row],[City]])</f>
        <v>2</v>
      </c>
      <c r="G31">
        <f>COUNTIF(RouteInfo_Table[City01],Cities_Table[[#This Row],[City]]) + COUNTIF(RouteInfo_Table[City02],Cities_Table[[#This Row],[City]])</f>
        <v>4</v>
      </c>
      <c r="H31">
        <f>Cities_Table[[#This Row],[Ticket_Destination_Freq]]+Cities_Table[[#This Row],[Path_Num]]</f>
        <v>6</v>
      </c>
    </row>
    <row r="32" spans="1:8" x14ac:dyDescent="0.2">
      <c r="A32" t="s">
        <v>28</v>
      </c>
      <c r="B32" t="s">
        <v>104</v>
      </c>
      <c r="C32" s="9">
        <f>(SUMIF(RouteInfo_Table[City01], Cities_Table[[#This Row],[City]], RouteInfo_Table[Route_Length]) + SUMIF(RouteInfo_Table[City02], Cities_Table[[#This Row],[City]], RouteInfo_Table[Route_Length])) / (COUNTIF(RouteInfo_Table[City01], Cities_Table[[#This Row],[City]]) + COUNTIF(RouteInfo_Table[City02], Cities_Table[[#This Row],[City]]))</f>
        <v>2.6666666666666665</v>
      </c>
      <c r="D32">
        <f>SUMIF(RouteInfo_Table[City01], Cities_Table[[#This Row],[City]], RouteInfo_Table[Route_Points]) + SUMIF(RouteInfo_Table[City02], Cities_Table[[#This Row],[City]], RouteInfo_Table[Route_Points])</f>
        <v>11</v>
      </c>
      <c r="E32" s="9">
        <f>(SUMIF(RouteInfo_Table[City01], Cities_Table[[#This Row],[City]], RouteInfo_Table[Efficiency]) + SUMIF(RouteInfo_Table[City02], Cities_Table[[#This Row],[City]], RouteInfo_Table[Efficiency])) / (COUNTIF(RouteInfo_Table[City01], Cities_Table[[#This Row],[City]]) + COUNTIF(RouteInfo_Table[City02], Cities_Table[[#This Row],[City]]))</f>
        <v>1.25</v>
      </c>
      <c r="F32">
        <f>COUNTIF(Ticket_Table[City01],Cities_Table[[#This Row],[City]]) + COUNTIF(Ticket_Table[City02],Cities_Table[[#This Row],[City]])</f>
        <v>2</v>
      </c>
      <c r="G32">
        <f>COUNTIF(RouteInfo_Table[City01],Cities_Table[[#This Row],[City]]) + COUNTIF(RouteInfo_Table[City02],Cities_Table[[#This Row],[City]])</f>
        <v>3</v>
      </c>
      <c r="H32">
        <f>Cities_Table[[#This Row],[Ticket_Destination_Freq]]+Cities_Table[[#This Row],[Path_Num]]</f>
        <v>5</v>
      </c>
    </row>
    <row r="33" spans="1:8" x14ac:dyDescent="0.2">
      <c r="A33" t="s">
        <v>6</v>
      </c>
      <c r="B33" t="s">
        <v>101</v>
      </c>
      <c r="C33" s="9">
        <f>(SUMIF(RouteInfo_Table[City01], Cities_Table[[#This Row],[City]], RouteInfo_Table[Route_Length]) + SUMIF(RouteInfo_Table[City02], Cities_Table[[#This Row],[City]], RouteInfo_Table[Route_Length])) / (COUNTIF(RouteInfo_Table[City01], Cities_Table[[#This Row],[City]]) + COUNTIF(RouteInfo_Table[City02], Cities_Table[[#This Row],[City]]))</f>
        <v>2.6666666666666665</v>
      </c>
      <c r="D33">
        <f>SUMIF(RouteInfo_Table[City01], Cities_Table[[#This Row],[City]], RouteInfo_Table[Route_Points]) + SUMIF(RouteInfo_Table[City02], Cities_Table[[#This Row],[City]], RouteInfo_Table[Route_Points])</f>
        <v>11</v>
      </c>
      <c r="E33" s="9">
        <f>(SUMIF(RouteInfo_Table[City01], Cities_Table[[#This Row],[City]], RouteInfo_Table[Efficiency]) + SUMIF(RouteInfo_Table[City02], Cities_Table[[#This Row],[City]], RouteInfo_Table[Efficiency])) / (COUNTIF(RouteInfo_Table[City01], Cities_Table[[#This Row],[City]]) + COUNTIF(RouteInfo_Table[City02], Cities_Table[[#This Row],[City]]))</f>
        <v>1.25</v>
      </c>
      <c r="F33">
        <f>COUNTIF(Ticket_Table[City01],Cities_Table[[#This Row],[City]]) + COUNTIF(Ticket_Table[City02],Cities_Table[[#This Row],[City]])</f>
        <v>2</v>
      </c>
      <c r="G33">
        <f>COUNTIF(RouteInfo_Table[City01],Cities_Table[[#This Row],[City]]) + COUNTIF(RouteInfo_Table[City02],Cities_Table[[#This Row],[City]])</f>
        <v>3</v>
      </c>
      <c r="H33">
        <f>Cities_Table[[#This Row],[Ticket_Destination_Freq]]+Cities_Table[[#This Row],[Path_Num]]</f>
        <v>5</v>
      </c>
    </row>
    <row r="34" spans="1:8" x14ac:dyDescent="0.2">
      <c r="A34" t="s">
        <v>38</v>
      </c>
      <c r="B34" t="s">
        <v>103</v>
      </c>
      <c r="C34" s="9">
        <f>(SUMIF(RouteInfo_Table[City01], Cities_Table[[#This Row],[City]], RouteInfo_Table[Route_Length]) + SUMIF(RouteInfo_Table[City02], Cities_Table[[#This Row],[City]], RouteInfo_Table[Route_Length])) / (COUNTIF(RouteInfo_Table[City01], Cities_Table[[#This Row],[City]]) + COUNTIF(RouteInfo_Table[City02], Cities_Table[[#This Row],[City]]))</f>
        <v>2.6666666666666665</v>
      </c>
      <c r="D34">
        <f>SUMIF(RouteInfo_Table[City01], Cities_Table[[#This Row],[City]], RouteInfo_Table[Route_Points]) + SUMIF(RouteInfo_Table[City02], Cities_Table[[#This Row],[City]], RouteInfo_Table[Route_Points])</f>
        <v>11</v>
      </c>
      <c r="E34" s="9">
        <f>(SUMIF(RouteInfo_Table[City01], Cities_Table[[#This Row],[City]], RouteInfo_Table[Efficiency]) + SUMIF(RouteInfo_Table[City02], Cities_Table[[#This Row],[City]], RouteInfo_Table[Efficiency])) / (COUNTIF(RouteInfo_Table[City01], Cities_Table[[#This Row],[City]]) + COUNTIF(RouteInfo_Table[City02], Cities_Table[[#This Row],[City]]))</f>
        <v>1.25</v>
      </c>
      <c r="F34">
        <f>COUNTIF(Ticket_Table[City01],Cities_Table[[#This Row],[City]]) + COUNTIF(Ticket_Table[City02],Cities_Table[[#This Row],[City]])</f>
        <v>2</v>
      </c>
      <c r="G34">
        <f>COUNTIF(RouteInfo_Table[City01],Cities_Table[[#This Row],[City]]) + COUNTIF(RouteInfo_Table[City02],Cities_Table[[#This Row],[City]])</f>
        <v>3</v>
      </c>
      <c r="H34">
        <f>Cities_Table[[#This Row],[Ticket_Destination_Freq]]+Cities_Table[[#This Row],[Path_Num]]</f>
        <v>5</v>
      </c>
    </row>
    <row r="35" spans="1:8" x14ac:dyDescent="0.2">
      <c r="A35" t="s">
        <v>41</v>
      </c>
      <c r="B35" t="s">
        <v>103</v>
      </c>
      <c r="C35" s="9">
        <f>(SUMIF(RouteInfo_Table[City01], Cities_Table[[#This Row],[City]], RouteInfo_Table[Route_Length]) + SUMIF(RouteInfo_Table[City02], Cities_Table[[#This Row],[City]], RouteInfo_Table[Route_Length])) / (COUNTIF(RouteInfo_Table[City01], Cities_Table[[#This Row],[City]]) + COUNTIF(RouteInfo_Table[City02], Cities_Table[[#This Row],[City]]))</f>
        <v>2.6666666666666665</v>
      </c>
      <c r="D35">
        <f>SUMIF(RouteInfo_Table[City01], Cities_Table[[#This Row],[City]], RouteInfo_Table[Route_Points]) + SUMIF(RouteInfo_Table[City02], Cities_Table[[#This Row],[City]], RouteInfo_Table[Route_Points])</f>
        <v>10</v>
      </c>
      <c r="E35" s="9">
        <f>(SUMIF(RouteInfo_Table[City01], Cities_Table[[#This Row],[City]], RouteInfo_Table[Efficiency]) + SUMIF(RouteInfo_Table[City02], Cities_Table[[#This Row],[City]], RouteInfo_Table[Efficiency])) / (COUNTIF(RouteInfo_Table[City01], Cities_Table[[#This Row],[City]]) + COUNTIF(RouteInfo_Table[City02], Cities_Table[[#This Row],[City]]))</f>
        <v>1.2222222222222221</v>
      </c>
      <c r="F35">
        <f>COUNTIF(Ticket_Table[City01],Cities_Table[[#This Row],[City]]) + COUNTIF(Ticket_Table[City02],Cities_Table[[#This Row],[City]])</f>
        <v>2</v>
      </c>
      <c r="G35">
        <f>COUNTIF(RouteInfo_Table[City01],Cities_Table[[#This Row],[City]]) + COUNTIF(RouteInfo_Table[City02],Cities_Table[[#This Row],[City]])</f>
        <v>3</v>
      </c>
      <c r="H35">
        <f>Cities_Table[[#This Row],[Ticket_Destination_Freq]]+Cities_Table[[#This Row],[Path_Num]]</f>
        <v>5</v>
      </c>
    </row>
    <row r="36" spans="1:8" x14ac:dyDescent="0.2">
      <c r="A36" t="s">
        <v>20</v>
      </c>
      <c r="B36" t="s">
        <v>100</v>
      </c>
      <c r="C36" s="9">
        <f>(SUMIF(RouteInfo_Table[City01], Cities_Table[[#This Row],[City]], RouteInfo_Table[Route_Length]) + SUMIF(RouteInfo_Table[City02], Cities_Table[[#This Row],[City]], RouteInfo_Table[Route_Length])) / (COUNTIF(RouteInfo_Table[City01], Cities_Table[[#This Row],[City]]) + COUNTIF(RouteInfo_Table[City02], Cities_Table[[#This Row],[City]]))</f>
        <v>2.6666666666666665</v>
      </c>
      <c r="D36">
        <f>SUMIF(RouteInfo_Table[City01], Cities_Table[[#This Row],[City]], RouteInfo_Table[Route_Points]) + SUMIF(RouteInfo_Table[City02], Cities_Table[[#This Row],[City]], RouteInfo_Table[Route_Points])</f>
        <v>10</v>
      </c>
      <c r="E36" s="9">
        <f>(SUMIF(RouteInfo_Table[City01], Cities_Table[[#This Row],[City]], RouteInfo_Table[Efficiency]) + SUMIF(RouteInfo_Table[City02], Cities_Table[[#This Row],[City]], RouteInfo_Table[Efficiency])) / (COUNTIF(RouteInfo_Table[City01], Cities_Table[[#This Row],[City]]) + COUNTIF(RouteInfo_Table[City02], Cities_Table[[#This Row],[City]]))</f>
        <v>1.2222222222222221</v>
      </c>
      <c r="F36">
        <f>COUNTIF(Ticket_Table[City01],Cities_Table[[#This Row],[City]]) + COUNTIF(Ticket_Table[City02],Cities_Table[[#This Row],[City]])</f>
        <v>3</v>
      </c>
      <c r="G36">
        <f>COUNTIF(RouteInfo_Table[City01],Cities_Table[[#This Row],[City]]) + COUNTIF(RouteInfo_Table[City02],Cities_Table[[#This Row],[City]])</f>
        <v>3</v>
      </c>
      <c r="H36">
        <f>Cities_Table[[#This Row],[Ticket_Destination_Freq]]+Cities_Table[[#This Row],[Path_Num]]</f>
        <v>6</v>
      </c>
    </row>
    <row r="37" spans="1:8" x14ac:dyDescent="0.2">
      <c r="A37" t="s">
        <v>24</v>
      </c>
      <c r="B37" t="s">
        <v>99</v>
      </c>
      <c r="C37" s="9">
        <f>(SUMIF(RouteInfo_Table[City01], Cities_Table[[#This Row],[City]], RouteInfo_Table[Route_Length]) + SUMIF(RouteInfo_Table[City02], Cities_Table[[#This Row],[City]], RouteInfo_Table[Route_Length])) / (COUNTIF(RouteInfo_Table[City01], Cities_Table[[#This Row],[City]]) + COUNTIF(RouteInfo_Table[City02], Cities_Table[[#This Row],[City]]))</f>
        <v>2.5</v>
      </c>
      <c r="D37">
        <f>SUMIF(RouteInfo_Table[City01], Cities_Table[[#This Row],[City]], RouteInfo_Table[Route_Points]) + SUMIF(RouteInfo_Table[City02], Cities_Table[[#This Row],[City]], RouteInfo_Table[Route_Points])</f>
        <v>12</v>
      </c>
      <c r="E37" s="9">
        <f>(SUMIF(RouteInfo_Table[City01], Cities_Table[[#This Row],[City]], RouteInfo_Table[Efficiency]) + SUMIF(RouteInfo_Table[City02], Cities_Table[[#This Row],[City]], RouteInfo_Table[Efficiency])) / (COUNTIF(RouteInfo_Table[City01], Cities_Table[[#This Row],[City]]) + COUNTIF(RouteInfo_Table[City02], Cities_Table[[#This Row],[City]]))</f>
        <v>1.1666666666666665</v>
      </c>
      <c r="F37">
        <f>COUNTIF(Ticket_Table[City01],Cities_Table[[#This Row],[City]]) + COUNTIF(Ticket_Table[City02],Cities_Table[[#This Row],[City]])</f>
        <v>2</v>
      </c>
      <c r="G37">
        <f>COUNTIF(RouteInfo_Table[City01],Cities_Table[[#This Row],[City]]) + COUNTIF(RouteInfo_Table[City02],Cities_Table[[#This Row],[City]])</f>
        <v>4</v>
      </c>
      <c r="H37">
        <f>Cities_Table[[#This Row],[Ticket_Destination_Freq]]+Cities_Table[[#This Row],[Path_Num]]</f>
        <v>6</v>
      </c>
    </row>
    <row r="38" spans="1:8" x14ac:dyDescent="0.2">
      <c r="A38" t="s">
        <v>36</v>
      </c>
      <c r="B38" t="s">
        <v>103</v>
      </c>
      <c r="C38" s="9">
        <f>(SUMIF(RouteInfo_Table[City01], Cities_Table[[#This Row],[City]], RouteInfo_Table[Route_Length]) + SUMIF(RouteInfo_Table[City02], Cities_Table[[#This Row],[City]], RouteInfo_Table[Route_Length])) / (COUNTIF(RouteInfo_Table[City01], Cities_Table[[#This Row],[City]]) + COUNTIF(RouteInfo_Table[City02], Cities_Table[[#This Row],[City]]))</f>
        <v>2.5</v>
      </c>
      <c r="D38">
        <f>SUMIF(RouteInfo_Table[City01], Cities_Table[[#This Row],[City]], RouteInfo_Table[Route_Points]) + SUMIF(RouteInfo_Table[City02], Cities_Table[[#This Row],[City]], RouteInfo_Table[Route_Points])</f>
        <v>12</v>
      </c>
      <c r="E38" s="9">
        <f>(SUMIF(RouteInfo_Table[City01], Cities_Table[[#This Row],[City]], RouteInfo_Table[Efficiency]) + SUMIF(RouteInfo_Table[City02], Cities_Table[[#This Row],[City]], RouteInfo_Table[Efficiency])) / (COUNTIF(RouteInfo_Table[City01], Cities_Table[[#This Row],[City]]) + COUNTIF(RouteInfo_Table[City02], Cities_Table[[#This Row],[City]]))</f>
        <v>1.1666666666666665</v>
      </c>
      <c r="F38">
        <f>COUNTIF(Ticket_Table[City01],Cities_Table[[#This Row],[City]]) + COUNTIF(Ticket_Table[City02],Cities_Table[[#This Row],[City]])</f>
        <v>2</v>
      </c>
      <c r="G38">
        <f>COUNTIF(RouteInfo_Table[City01],Cities_Table[[#This Row],[City]]) + COUNTIF(RouteInfo_Table[City02],Cities_Table[[#This Row],[City]])</f>
        <v>4</v>
      </c>
      <c r="H38">
        <f>Cities_Table[[#This Row],[Ticket_Destination_Freq]]+Cities_Table[[#This Row],[Path_Num]]</f>
        <v>6</v>
      </c>
    </row>
    <row r="39" spans="1:8" x14ac:dyDescent="0.2">
      <c r="A39" t="s">
        <v>43</v>
      </c>
      <c r="B39" t="s">
        <v>104</v>
      </c>
      <c r="C39" s="9">
        <f>(SUMIF(RouteInfo_Table[City01], Cities_Table[[#This Row],[City]], RouteInfo_Table[Route_Length]) + SUMIF(RouteInfo_Table[City02], Cities_Table[[#This Row],[City]], RouteInfo_Table[Route_Length])) / (COUNTIF(RouteInfo_Table[City01], Cities_Table[[#This Row],[City]]) + COUNTIF(RouteInfo_Table[City02], Cities_Table[[#This Row],[City]]))</f>
        <v>2.5</v>
      </c>
      <c r="D39">
        <f>SUMIF(RouteInfo_Table[City01], Cities_Table[[#This Row],[City]], RouteInfo_Table[Route_Points]) + SUMIF(RouteInfo_Table[City02], Cities_Table[[#This Row],[City]], RouteInfo_Table[Route_Points])</f>
        <v>6</v>
      </c>
      <c r="E39" s="9">
        <f>(SUMIF(RouteInfo_Table[City01], Cities_Table[[#This Row],[City]], RouteInfo_Table[Efficiency]) + SUMIF(RouteInfo_Table[City02], Cities_Table[[#This Row],[City]], RouteInfo_Table[Efficiency])) / (COUNTIF(RouteInfo_Table[City01], Cities_Table[[#This Row],[City]]) + COUNTIF(RouteInfo_Table[City02], Cities_Table[[#This Row],[City]]))</f>
        <v>1.1666666666666665</v>
      </c>
      <c r="F39">
        <f>COUNTIF(Ticket_Table[City01],Cities_Table[[#This Row],[City]]) + COUNTIF(Ticket_Table[City02],Cities_Table[[#This Row],[City]])</f>
        <v>1</v>
      </c>
      <c r="G39">
        <f>COUNTIF(RouteInfo_Table[City01],Cities_Table[[#This Row],[City]]) + COUNTIF(RouteInfo_Table[City02],Cities_Table[[#This Row],[City]])</f>
        <v>2</v>
      </c>
      <c r="H39">
        <f>Cities_Table[[#This Row],[Ticket_Destination_Freq]]+Cities_Table[[#This Row],[Path_Num]]</f>
        <v>3</v>
      </c>
    </row>
    <row r="40" spans="1:8" x14ac:dyDescent="0.2">
      <c r="A40" t="s">
        <v>42</v>
      </c>
      <c r="B40" t="s">
        <v>104</v>
      </c>
      <c r="C40" s="9">
        <f>(SUMIF(RouteInfo_Table[City01], Cities_Table[[#This Row],[City]], RouteInfo_Table[Route_Length]) + SUMIF(RouteInfo_Table[City02], Cities_Table[[#This Row],[City]], RouteInfo_Table[Route_Length])) / (COUNTIF(RouteInfo_Table[City01], Cities_Table[[#This Row],[City]]) + COUNTIF(RouteInfo_Table[City02], Cities_Table[[#This Row],[City]]))</f>
        <v>2.5</v>
      </c>
      <c r="D40">
        <f>SUMIF(RouteInfo_Table[City01], Cities_Table[[#This Row],[City]], RouteInfo_Table[Route_Points]) + SUMIF(RouteInfo_Table[City02], Cities_Table[[#This Row],[City]], RouteInfo_Table[Route_Points])</f>
        <v>6</v>
      </c>
      <c r="E40" s="9">
        <f>(SUMIF(RouteInfo_Table[City01], Cities_Table[[#This Row],[City]], RouteInfo_Table[Efficiency]) + SUMIF(RouteInfo_Table[City02], Cities_Table[[#This Row],[City]], RouteInfo_Table[Efficiency])) / (COUNTIF(RouteInfo_Table[City01], Cities_Table[[#This Row],[City]]) + COUNTIF(RouteInfo_Table[City02], Cities_Table[[#This Row],[City]]))</f>
        <v>1.1666666666666665</v>
      </c>
      <c r="F40">
        <f>COUNTIF(Ticket_Table[City01],Cities_Table[[#This Row],[City]]) + COUNTIF(Ticket_Table[City02],Cities_Table[[#This Row],[City]])</f>
        <v>1</v>
      </c>
      <c r="G40">
        <f>COUNTIF(RouteInfo_Table[City01],Cities_Table[[#This Row],[City]]) + COUNTIF(RouteInfo_Table[City02],Cities_Table[[#This Row],[City]])</f>
        <v>2</v>
      </c>
      <c r="H40">
        <f>Cities_Table[[#This Row],[Ticket_Destination_Freq]]+Cities_Table[[#This Row],[Path_Num]]</f>
        <v>3</v>
      </c>
    </row>
    <row r="41" spans="1:8" x14ac:dyDescent="0.2">
      <c r="A41" t="s">
        <v>39</v>
      </c>
      <c r="B41" t="s">
        <v>103</v>
      </c>
      <c r="C41" s="9">
        <f>(SUMIF(RouteInfo_Table[City01], Cities_Table[[#This Row],[City]], RouteInfo_Table[Route_Length]) + SUMIF(RouteInfo_Table[City02], Cities_Table[[#This Row],[City]], RouteInfo_Table[Route_Length])) / (COUNTIF(RouteInfo_Table[City01], Cities_Table[[#This Row],[City]]) + COUNTIF(RouteInfo_Table[City02], Cities_Table[[#This Row],[City]]))</f>
        <v>2.3333333333333335</v>
      </c>
      <c r="D41">
        <f>SUMIF(RouteInfo_Table[City01], Cities_Table[[#This Row],[City]], RouteInfo_Table[Route_Points]) + SUMIF(RouteInfo_Table[City02], Cities_Table[[#This Row],[City]], RouteInfo_Table[Route_Points])</f>
        <v>8</v>
      </c>
      <c r="E41" s="9">
        <f>(SUMIF(RouteInfo_Table[City01], Cities_Table[[#This Row],[City]], RouteInfo_Table[Efficiency]) + SUMIF(RouteInfo_Table[City02], Cities_Table[[#This Row],[City]], RouteInfo_Table[Efficiency])) / (COUNTIF(RouteInfo_Table[City01], Cities_Table[[#This Row],[City]]) + COUNTIF(RouteInfo_Table[City02], Cities_Table[[#This Row],[City]]))</f>
        <v>1.1111111111111109</v>
      </c>
      <c r="F41">
        <f>COUNTIF(Ticket_Table[City01],Cities_Table[[#This Row],[City]]) + COUNTIF(Ticket_Table[City02],Cities_Table[[#This Row],[City]])</f>
        <v>1</v>
      </c>
      <c r="G41">
        <f>COUNTIF(RouteInfo_Table[City01],Cities_Table[[#This Row],[City]]) + COUNTIF(RouteInfo_Table[City02],Cities_Table[[#This Row],[City]])</f>
        <v>3</v>
      </c>
      <c r="H41">
        <f>Cities_Table[[#This Row],[Ticket_Destination_Freq]]+Cities_Table[[#This Row],[Path_Num]]</f>
        <v>4</v>
      </c>
    </row>
    <row r="42" spans="1:8" x14ac:dyDescent="0.2">
      <c r="A42" t="s">
        <v>12</v>
      </c>
      <c r="B42" t="s">
        <v>99</v>
      </c>
      <c r="C42" s="9">
        <f>(SUMIF(RouteInfo_Table[City01], Cities_Table[[#This Row],[City]], RouteInfo_Table[Route_Length]) + SUMIF(RouteInfo_Table[City02], Cities_Table[[#This Row],[City]], RouteInfo_Table[Route_Length])) / (COUNTIF(RouteInfo_Table[City01], Cities_Table[[#This Row],[City]]) + COUNTIF(RouteInfo_Table[City02], Cities_Table[[#This Row],[City]]))</f>
        <v>2.2857142857142856</v>
      </c>
      <c r="D42">
        <f>SUMIF(RouteInfo_Table[City01], Cities_Table[[#This Row],[City]], RouteInfo_Table[Route_Points]) + SUMIF(RouteInfo_Table[City02], Cities_Table[[#This Row],[City]], RouteInfo_Table[Route_Points])</f>
        <v>18</v>
      </c>
      <c r="E42" s="9">
        <f>(SUMIF(RouteInfo_Table[City01], Cities_Table[[#This Row],[City]], RouteInfo_Table[Efficiency]) + SUMIF(RouteInfo_Table[City02], Cities_Table[[#This Row],[City]], RouteInfo_Table[Efficiency])) / (COUNTIF(RouteInfo_Table[City01], Cities_Table[[#This Row],[City]]) + COUNTIF(RouteInfo_Table[City02], Cities_Table[[#This Row],[City]]))</f>
        <v>1.0952380952380951</v>
      </c>
      <c r="F42">
        <f>COUNTIF(Ticket_Table[City01],Cities_Table[[#This Row],[City]]) + COUNTIF(Ticket_Table[City02],Cities_Table[[#This Row],[City]])</f>
        <v>2</v>
      </c>
      <c r="G42">
        <f>COUNTIF(RouteInfo_Table[City01],Cities_Table[[#This Row],[City]]) + COUNTIF(RouteInfo_Table[City02],Cities_Table[[#This Row],[City]])</f>
        <v>7</v>
      </c>
      <c r="H42">
        <f>Cities_Table[[#This Row],[Ticket_Destination_Freq]]+Cities_Table[[#This Row],[Path_Num]]</f>
        <v>9</v>
      </c>
    </row>
    <row r="43" spans="1:8" x14ac:dyDescent="0.2">
      <c r="A43" t="s">
        <v>23</v>
      </c>
      <c r="B43" t="s">
        <v>99</v>
      </c>
      <c r="C43" s="9">
        <f>(SUMIF(RouteInfo_Table[City01], Cities_Table[[#This Row],[City]], RouteInfo_Table[Route_Length]) + SUMIF(RouteInfo_Table[City02], Cities_Table[[#This Row],[City]], RouteInfo_Table[Route_Length])) / (COUNTIF(RouteInfo_Table[City01], Cities_Table[[#This Row],[City]]) + COUNTIF(RouteInfo_Table[City02], Cities_Table[[#This Row],[City]]))</f>
        <v>2.25</v>
      </c>
      <c r="D43">
        <f>SUMIF(RouteInfo_Table[City01], Cities_Table[[#This Row],[City]], RouteInfo_Table[Route_Points]) + SUMIF(RouteInfo_Table[City02], Cities_Table[[#This Row],[City]], RouteInfo_Table[Route_Points])</f>
        <v>10</v>
      </c>
      <c r="E43" s="9">
        <f>(SUMIF(RouteInfo_Table[City01], Cities_Table[[#This Row],[City]], RouteInfo_Table[Efficiency]) + SUMIF(RouteInfo_Table[City02], Cities_Table[[#This Row],[City]], RouteInfo_Table[Efficiency])) / (COUNTIF(RouteInfo_Table[City01], Cities_Table[[#This Row],[City]]) + COUNTIF(RouteInfo_Table[City02], Cities_Table[[#This Row],[City]]))</f>
        <v>1.0833333333333333</v>
      </c>
      <c r="F43">
        <f>COUNTIF(Ticket_Table[City01],Cities_Table[[#This Row],[City]]) + COUNTIF(Ticket_Table[City02],Cities_Table[[#This Row],[City]])</f>
        <v>1</v>
      </c>
      <c r="G43">
        <f>COUNTIF(RouteInfo_Table[City01],Cities_Table[[#This Row],[City]]) + COUNTIF(RouteInfo_Table[City02],Cities_Table[[#This Row],[City]])</f>
        <v>4</v>
      </c>
      <c r="H43">
        <f>Cities_Table[[#This Row],[Ticket_Destination_Freq]]+Cities_Table[[#This Row],[Path_Num]]</f>
        <v>5</v>
      </c>
    </row>
    <row r="44" spans="1:8" x14ac:dyDescent="0.2">
      <c r="A44" t="s">
        <v>26</v>
      </c>
      <c r="B44" t="s">
        <v>102</v>
      </c>
      <c r="C44" s="9">
        <f>(SUMIF(RouteInfo_Table[City01], Cities_Table[[#This Row],[City]], RouteInfo_Table[Route_Length]) + SUMIF(RouteInfo_Table[City02], Cities_Table[[#This Row],[City]], RouteInfo_Table[Route_Length])) / (COUNTIF(RouteInfo_Table[City01], Cities_Table[[#This Row],[City]]) + COUNTIF(RouteInfo_Table[City02], Cities_Table[[#This Row],[City]]))</f>
        <v>2.25</v>
      </c>
      <c r="D44">
        <f>SUMIF(RouteInfo_Table[City01], Cities_Table[[#This Row],[City]], RouteInfo_Table[Route_Points]) + SUMIF(RouteInfo_Table[City02], Cities_Table[[#This Row],[City]], RouteInfo_Table[Route_Points])</f>
        <v>10</v>
      </c>
      <c r="E44" s="9">
        <f>(SUMIF(RouteInfo_Table[City01], Cities_Table[[#This Row],[City]], RouteInfo_Table[Efficiency]) + SUMIF(RouteInfo_Table[City02], Cities_Table[[#This Row],[City]], RouteInfo_Table[Efficiency])) / (COUNTIF(RouteInfo_Table[City01], Cities_Table[[#This Row],[City]]) + COUNTIF(RouteInfo_Table[City02], Cities_Table[[#This Row],[City]]))</f>
        <v>1.0833333333333333</v>
      </c>
      <c r="F44">
        <f>COUNTIF(Ticket_Table[City01],Cities_Table[[#This Row],[City]]) + COUNTIF(Ticket_Table[City02],Cities_Table[[#This Row],[City]])</f>
        <v>2</v>
      </c>
      <c r="G44">
        <f>COUNTIF(RouteInfo_Table[City01],Cities_Table[[#This Row],[City]]) + COUNTIF(RouteInfo_Table[City02],Cities_Table[[#This Row],[City]])</f>
        <v>4</v>
      </c>
      <c r="H44">
        <f>Cities_Table[[#This Row],[Ticket_Destination_Freq]]+Cities_Table[[#This Row],[Path_Num]]</f>
        <v>6</v>
      </c>
    </row>
    <row r="45" spans="1:8" x14ac:dyDescent="0.2">
      <c r="A45" t="s">
        <v>13</v>
      </c>
      <c r="B45" t="s">
        <v>102</v>
      </c>
      <c r="C45" s="9">
        <f>(SUMIF(RouteInfo_Table[City01], Cities_Table[[#This Row],[City]], RouteInfo_Table[Route_Length]) + SUMIF(RouteInfo_Table[City02], Cities_Table[[#This Row],[City]], RouteInfo_Table[Route_Length])) / (COUNTIF(RouteInfo_Table[City01], Cities_Table[[#This Row],[City]]) + COUNTIF(RouteInfo_Table[City02], Cities_Table[[#This Row],[City]]))</f>
        <v>2.25</v>
      </c>
      <c r="D45">
        <f>SUMIF(RouteInfo_Table[City01], Cities_Table[[#This Row],[City]], RouteInfo_Table[Route_Points]) + SUMIF(RouteInfo_Table[City02], Cities_Table[[#This Row],[City]], RouteInfo_Table[Route_Points])</f>
        <v>10</v>
      </c>
      <c r="E45" s="9">
        <f>(SUMIF(RouteInfo_Table[City01], Cities_Table[[#This Row],[City]], RouteInfo_Table[Efficiency]) + SUMIF(RouteInfo_Table[City02], Cities_Table[[#This Row],[City]], RouteInfo_Table[Efficiency])) / (COUNTIF(RouteInfo_Table[City01], Cities_Table[[#This Row],[City]]) + COUNTIF(RouteInfo_Table[City02], Cities_Table[[#This Row],[City]]))</f>
        <v>1.0833333333333333</v>
      </c>
      <c r="F45">
        <f>COUNTIF(Ticket_Table[City01],Cities_Table[[#This Row],[City]]) + COUNTIF(Ticket_Table[City02],Cities_Table[[#This Row],[City]])</f>
        <v>3</v>
      </c>
      <c r="G45">
        <f>COUNTIF(RouteInfo_Table[City01],Cities_Table[[#This Row],[City]]) + COUNTIF(RouteInfo_Table[City02],Cities_Table[[#This Row],[City]])</f>
        <v>4</v>
      </c>
      <c r="H45">
        <f>Cities_Table[[#This Row],[Ticket_Destination_Freq]]+Cities_Table[[#This Row],[Path_Num]]</f>
        <v>7</v>
      </c>
    </row>
    <row r="46" spans="1:8" x14ac:dyDescent="0.2">
      <c r="A46" t="s">
        <v>7</v>
      </c>
      <c r="B46" t="s">
        <v>101</v>
      </c>
      <c r="C46" s="9">
        <f>(SUMIF(RouteInfo_Table[City01], Cities_Table[[#This Row],[City]], RouteInfo_Table[Route_Length]) + SUMIF(RouteInfo_Table[City02], Cities_Table[[#This Row],[City]], RouteInfo_Table[Route_Length])) / (COUNTIF(RouteInfo_Table[City01], Cities_Table[[#This Row],[City]]) + COUNTIF(RouteInfo_Table[City02], Cities_Table[[#This Row],[City]]))</f>
        <v>2</v>
      </c>
      <c r="D46">
        <f>SUMIF(RouteInfo_Table[City01], Cities_Table[[#This Row],[City]], RouteInfo_Table[Route_Points]) + SUMIF(RouteInfo_Table[City02], Cities_Table[[#This Row],[City]], RouteInfo_Table[Route_Points])</f>
        <v>11</v>
      </c>
      <c r="E46" s="9">
        <f>(SUMIF(RouteInfo_Table[City01], Cities_Table[[#This Row],[City]], RouteInfo_Table[Efficiency]) + SUMIF(RouteInfo_Table[City02], Cities_Table[[#This Row],[City]], RouteInfo_Table[Efficiency])) / (COUNTIF(RouteInfo_Table[City01], Cities_Table[[#This Row],[City]]) + COUNTIF(RouteInfo_Table[City02], Cities_Table[[#This Row],[City]]))</f>
        <v>1.0666666666666667</v>
      </c>
      <c r="F46">
        <f>COUNTIF(Ticket_Table[City01],Cities_Table[[#This Row],[City]]) + COUNTIF(Ticket_Table[City02],Cities_Table[[#This Row],[City]])</f>
        <v>2</v>
      </c>
      <c r="G46">
        <f>COUNTIF(RouteInfo_Table[City01],Cities_Table[[#This Row],[City]]) + COUNTIF(RouteInfo_Table[City02],Cities_Table[[#This Row],[City]])</f>
        <v>5</v>
      </c>
      <c r="H46">
        <f>Cities_Table[[#This Row],[Ticket_Destination_Freq]]+Cities_Table[[#This Row],[Path_Num]]</f>
        <v>7</v>
      </c>
    </row>
    <row r="47" spans="1:8" x14ac:dyDescent="0.2">
      <c r="A47" t="s">
        <v>46</v>
      </c>
      <c r="B47" t="s">
        <v>102</v>
      </c>
      <c r="C47" s="9">
        <f>(SUMIF(RouteInfo_Table[City01], Cities_Table[[#This Row],[City]], RouteInfo_Table[Route_Length]) + SUMIF(RouteInfo_Table[City02], Cities_Table[[#This Row],[City]], RouteInfo_Table[Route_Length])) / (COUNTIF(RouteInfo_Table[City01], Cities_Table[[#This Row],[City]]) + COUNTIF(RouteInfo_Table[City02], Cities_Table[[#This Row],[City]]))</f>
        <v>2</v>
      </c>
      <c r="D47">
        <f>SUMIF(RouteInfo_Table[City01], Cities_Table[[#This Row],[City]], RouteInfo_Table[Route_Points]) + SUMIF(RouteInfo_Table[City02], Cities_Table[[#This Row],[City]], RouteInfo_Table[Route_Points])</f>
        <v>8</v>
      </c>
      <c r="E47" s="9">
        <f>(SUMIF(RouteInfo_Table[City01], Cities_Table[[#This Row],[City]], RouteInfo_Table[Efficiency]) + SUMIF(RouteInfo_Table[City02], Cities_Table[[#This Row],[City]], RouteInfo_Table[Efficiency])) / (COUNTIF(RouteInfo_Table[City01], Cities_Table[[#This Row],[City]]) + COUNTIF(RouteInfo_Table[City02], Cities_Table[[#This Row],[City]]))</f>
        <v>1</v>
      </c>
      <c r="F47">
        <f>COUNTIF(Ticket_Table[City01],Cities_Table[[#This Row],[City]]) + COUNTIF(Ticket_Table[City02],Cities_Table[[#This Row],[City]])</f>
        <v>2</v>
      </c>
      <c r="G47">
        <f>COUNTIF(RouteInfo_Table[City01],Cities_Table[[#This Row],[City]]) + COUNTIF(RouteInfo_Table[City02],Cities_Table[[#This Row],[City]])</f>
        <v>4</v>
      </c>
      <c r="H47">
        <f>Cities_Table[[#This Row],[Ticket_Destination_Freq]]+Cities_Table[[#This Row],[Path_Num]]</f>
        <v>6</v>
      </c>
    </row>
    <row r="48" spans="1:8" x14ac:dyDescent="0.2">
      <c r="A48" t="s">
        <v>10</v>
      </c>
      <c r="B48" t="s">
        <v>101</v>
      </c>
      <c r="C48" s="9">
        <f>(SUMIF(RouteInfo_Table[City01], Cities_Table[[#This Row],[City]], RouteInfo_Table[Route_Length]) + SUMIF(RouteInfo_Table[City02], Cities_Table[[#This Row],[City]], RouteInfo_Table[Route_Length])) / (COUNTIF(RouteInfo_Table[City01], Cities_Table[[#This Row],[City]]) + COUNTIF(RouteInfo_Table[City02], Cities_Table[[#This Row],[City]]))</f>
        <v>1.75</v>
      </c>
      <c r="D48">
        <f>SUMIF(RouteInfo_Table[City01], Cities_Table[[#This Row],[City]], RouteInfo_Table[Route_Points]) + SUMIF(RouteInfo_Table[City02], Cities_Table[[#This Row],[City]], RouteInfo_Table[Route_Points])</f>
        <v>7</v>
      </c>
      <c r="E48" s="9">
        <f>(SUMIF(RouteInfo_Table[City01], Cities_Table[[#This Row],[City]], RouteInfo_Table[Efficiency]) + SUMIF(RouteInfo_Table[City02], Cities_Table[[#This Row],[City]], RouteInfo_Table[Efficiency])) / (COUNTIF(RouteInfo_Table[City01], Cities_Table[[#This Row],[City]]) + COUNTIF(RouteInfo_Table[City02], Cities_Table[[#This Row],[City]]))</f>
        <v>1</v>
      </c>
      <c r="F48">
        <f>COUNTIF(Ticket_Table[City01],Cities_Table[[#This Row],[City]]) + COUNTIF(Ticket_Table[City02],Cities_Table[[#This Row],[City]])</f>
        <v>2</v>
      </c>
      <c r="G48">
        <f>COUNTIF(RouteInfo_Table[City01],Cities_Table[[#This Row],[City]]) + COUNTIF(RouteInfo_Table[City02],Cities_Table[[#This Row],[City]])</f>
        <v>4</v>
      </c>
      <c r="H48">
        <f>Cities_Table[[#This Row],[Ticket_Destination_Freq]]+Cities_Table[[#This Row],[Path_Num]]</f>
        <v>6</v>
      </c>
    </row>
    <row r="49" spans="1:8" x14ac:dyDescent="0.2">
      <c r="A49" t="s">
        <v>8</v>
      </c>
      <c r="B49" t="s">
        <v>101</v>
      </c>
      <c r="C49" s="9">
        <f>(SUMIF(RouteInfo_Table[City01], Cities_Table[[#This Row],[City]], RouteInfo_Table[Route_Length]) + SUMIF(RouteInfo_Table[City02], Cities_Table[[#This Row],[City]], RouteInfo_Table[Route_Length])) / (COUNTIF(RouteInfo_Table[City01], Cities_Table[[#This Row],[City]]) + COUNTIF(RouteInfo_Table[City02], Cities_Table[[#This Row],[City]]))</f>
        <v>1.75</v>
      </c>
      <c r="D49">
        <f>SUMIF(RouteInfo_Table[City01], Cities_Table[[#This Row],[City]], RouteInfo_Table[Route_Points]) + SUMIF(RouteInfo_Table[City02], Cities_Table[[#This Row],[City]], RouteInfo_Table[Route_Points])</f>
        <v>7</v>
      </c>
      <c r="E49" s="9">
        <f>(SUMIF(RouteInfo_Table[City01], Cities_Table[[#This Row],[City]], RouteInfo_Table[Efficiency]) + SUMIF(RouteInfo_Table[City02], Cities_Table[[#This Row],[City]], RouteInfo_Table[Efficiency])) / (COUNTIF(RouteInfo_Table[City01], Cities_Table[[#This Row],[City]]) + COUNTIF(RouteInfo_Table[City02], Cities_Table[[#This Row],[City]]))</f>
        <v>1</v>
      </c>
      <c r="F49">
        <f>COUNTIF(Ticket_Table[City01],Cities_Table[[#This Row],[City]]) + COUNTIF(Ticket_Table[City02],Cities_Table[[#This Row],[City]])</f>
        <v>1</v>
      </c>
      <c r="G49">
        <f>COUNTIF(RouteInfo_Table[City01],Cities_Table[[#This Row],[City]]) + COUNTIF(RouteInfo_Table[City02],Cities_Table[[#This Row],[City]])</f>
        <v>4</v>
      </c>
      <c r="H49">
        <f>Cities_Table[[#This Row],[Ticket_Destination_Freq]]+Cities_Table[[#This Row],[Path_Num]]</f>
        <v>5</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E1BB-0C38-1847-BC58-2DD94BEED718}">
  <sheetPr>
    <tabColor rgb="FFFFFF00"/>
  </sheetPr>
  <dimension ref="A1"/>
  <sheetViews>
    <sheetView topLeftCell="A7" workbookViewId="0">
      <selection activeCell="G5" sqref="G5"/>
    </sheetView>
  </sheetViews>
  <sheetFormatPr baseColWidth="10" defaultRowHeight="16"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8359-3180-CF43-8BAF-CBA47CD37B8E}">
  <sheetPr>
    <tabColor rgb="FFFFFF00"/>
  </sheetPr>
  <dimension ref="A2:G51"/>
  <sheetViews>
    <sheetView workbookViewId="0">
      <selection activeCell="I24" sqref="I24"/>
    </sheetView>
  </sheetViews>
  <sheetFormatPr baseColWidth="10" defaultRowHeight="16" x14ac:dyDescent="0.2"/>
  <cols>
    <col min="1" max="1" width="21" bestFit="1" customWidth="1"/>
    <col min="2" max="2" width="15.5" bestFit="1" customWidth="1"/>
    <col min="5" max="5" width="21" bestFit="1" customWidth="1"/>
    <col min="7" max="7" width="12" bestFit="1" customWidth="1"/>
    <col min="11" max="11" width="12.5" bestFit="1" customWidth="1"/>
    <col min="12" max="12" width="17.33203125" bestFit="1" customWidth="1"/>
    <col min="14" max="14" width="12.5" bestFit="1" customWidth="1"/>
    <col min="15" max="15" width="17.33203125" bestFit="1" customWidth="1"/>
    <col min="17" max="17" width="12.5" bestFit="1" customWidth="1"/>
    <col min="18" max="18" width="17.33203125" bestFit="1" customWidth="1"/>
    <col min="20" max="20" width="12.5" bestFit="1" customWidth="1"/>
    <col min="21" max="21" width="17.33203125" bestFit="1" customWidth="1"/>
    <col min="23" max="23" width="12.5" bestFit="1" customWidth="1"/>
    <col min="24" max="24" width="17.33203125" bestFit="1" customWidth="1"/>
  </cols>
  <sheetData>
    <row r="2" spans="1:7" ht="17" thickBot="1" x14ac:dyDescent="0.25"/>
    <row r="3" spans="1:7" x14ac:dyDescent="0.2">
      <c r="A3" s="25" t="s">
        <v>97</v>
      </c>
      <c r="B3" t="s">
        <v>156</v>
      </c>
      <c r="D3" s="14" t="s">
        <v>160</v>
      </c>
      <c r="E3" s="15" t="s">
        <v>97</v>
      </c>
      <c r="F3" s="15" t="s">
        <v>1</v>
      </c>
      <c r="G3" s="34" t="s">
        <v>64</v>
      </c>
    </row>
    <row r="4" spans="1:7" x14ac:dyDescent="0.2">
      <c r="A4" s="26" t="s">
        <v>140</v>
      </c>
      <c r="B4" s="27">
        <v>3.125</v>
      </c>
      <c r="D4" s="35">
        <v>1</v>
      </c>
      <c r="E4" s="13" t="s">
        <v>140</v>
      </c>
      <c r="F4" s="40">
        <v>3.125</v>
      </c>
      <c r="G4" s="36">
        <f>INDEX(Ticket_Table[#All], MATCH(Ticket_Chart_Scratch!$E4, Ticket_Table[Name], 0) + 1, MATCH(Ticket_Chart_Scratch!$G$3, Ticket_Table[#Headers], 0))</f>
        <v>8</v>
      </c>
    </row>
    <row r="5" spans="1:7" x14ac:dyDescent="0.2">
      <c r="A5" s="26" t="s">
        <v>141</v>
      </c>
      <c r="B5" s="27">
        <v>2.7</v>
      </c>
      <c r="D5" s="35">
        <v>2</v>
      </c>
      <c r="E5" s="13" t="s">
        <v>141</v>
      </c>
      <c r="F5" s="40">
        <v>2.7</v>
      </c>
      <c r="G5" s="36">
        <f>INDEX(Ticket_Table[#All], MATCH(Ticket_Chart_Scratch!$E5, Ticket_Table[Name], 0) + 1, MATCH(Ticket_Chart_Scratch!$G$3, Ticket_Table[#Headers], 0))</f>
        <v>20</v>
      </c>
    </row>
    <row r="6" spans="1:7" x14ac:dyDescent="0.2">
      <c r="A6" s="26" t="s">
        <v>144</v>
      </c>
      <c r="B6" s="27">
        <v>2.6</v>
      </c>
      <c r="D6" s="35">
        <v>3</v>
      </c>
      <c r="E6" s="13" t="s">
        <v>144</v>
      </c>
      <c r="F6" s="40">
        <v>2.6</v>
      </c>
      <c r="G6" s="36">
        <f>INDEX(Ticket_Table[#All], MATCH(Ticket_Chart_Scratch!$E6, Ticket_Table[Name], 0) + 1, MATCH(Ticket_Chart_Scratch!$G$3, Ticket_Table[#Headers], 0))</f>
        <v>10</v>
      </c>
    </row>
    <row r="7" spans="1:7" x14ac:dyDescent="0.2">
      <c r="A7" s="26" t="s">
        <v>128</v>
      </c>
      <c r="B7" s="27">
        <v>2.6</v>
      </c>
      <c r="D7" s="35">
        <v>4</v>
      </c>
      <c r="E7" s="13" t="s">
        <v>128</v>
      </c>
      <c r="F7" s="40">
        <v>2.6</v>
      </c>
      <c r="G7" s="36">
        <f>INDEX(Ticket_Table[#All], MATCH(Ticket_Chart_Scratch!$E7, Ticket_Table[Name], 0) + 1, MATCH(Ticket_Chart_Scratch!$G$3, Ticket_Table[#Headers], 0))</f>
        <v>10</v>
      </c>
    </row>
    <row r="8" spans="1:7" x14ac:dyDescent="0.2">
      <c r="A8" s="26" t="s">
        <v>120</v>
      </c>
      <c r="B8" s="27">
        <v>2.5714285714285716</v>
      </c>
      <c r="D8" s="35">
        <v>5</v>
      </c>
      <c r="E8" s="13" t="s">
        <v>120</v>
      </c>
      <c r="F8" s="40">
        <v>2.5714285714285716</v>
      </c>
      <c r="G8" s="36">
        <f>INDEX(Ticket_Table[#All], MATCH(Ticket_Chart_Scratch!$E8, Ticket_Table[Name], 0) + 1, MATCH(Ticket_Chart_Scratch!$G$3, Ticket_Table[#Headers], 0))</f>
        <v>7</v>
      </c>
    </row>
    <row r="9" spans="1:7" x14ac:dyDescent="0.2">
      <c r="A9" s="26" t="s">
        <v>131</v>
      </c>
      <c r="B9" s="27">
        <v>2.5238095238095237</v>
      </c>
      <c r="D9" s="35">
        <v>6</v>
      </c>
      <c r="E9" s="13" t="s">
        <v>131</v>
      </c>
      <c r="F9" s="40">
        <v>2.5238095238095237</v>
      </c>
      <c r="G9" s="36">
        <f>INDEX(Ticket_Table[#All], MATCH(Ticket_Chart_Scratch!$E9, Ticket_Table[Name], 0) + 1, MATCH(Ticket_Chart_Scratch!$G$3, Ticket_Table[#Headers], 0))</f>
        <v>21</v>
      </c>
    </row>
    <row r="10" spans="1:7" x14ac:dyDescent="0.2">
      <c r="A10" s="26" t="s">
        <v>137</v>
      </c>
      <c r="B10" s="27">
        <v>2.5</v>
      </c>
      <c r="D10" s="35">
        <v>7</v>
      </c>
      <c r="E10" s="13" t="s">
        <v>137</v>
      </c>
      <c r="F10" s="40">
        <v>2.5</v>
      </c>
      <c r="G10" s="36">
        <f>INDEX(Ticket_Table[#All], MATCH(Ticket_Chart_Scratch!$E10, Ticket_Table[Name], 0) + 1, MATCH(Ticket_Chart_Scratch!$G$3, Ticket_Table[#Headers], 0))</f>
        <v>8</v>
      </c>
    </row>
    <row r="11" spans="1:7" x14ac:dyDescent="0.2">
      <c r="A11" s="26" t="s">
        <v>121</v>
      </c>
      <c r="B11" s="27">
        <v>2.5</v>
      </c>
      <c r="D11" s="35">
        <v>8</v>
      </c>
      <c r="E11" s="13" t="s">
        <v>121</v>
      </c>
      <c r="F11" s="40">
        <v>2.5</v>
      </c>
      <c r="G11" s="36">
        <f>INDEX(Ticket_Table[#All], MATCH(Ticket_Chart_Scratch!$E11, Ticket_Table[Name], 0) + 1, MATCH(Ticket_Chart_Scratch!$G$3, Ticket_Table[#Headers], 0))</f>
        <v>20</v>
      </c>
    </row>
    <row r="12" spans="1:7" x14ac:dyDescent="0.2">
      <c r="A12" s="26" t="s">
        <v>117</v>
      </c>
      <c r="B12" s="27">
        <v>2.5</v>
      </c>
      <c r="D12" s="35">
        <v>9</v>
      </c>
      <c r="E12" s="13" t="s">
        <v>117</v>
      </c>
      <c r="F12" s="40">
        <v>2.5</v>
      </c>
      <c r="G12" s="36">
        <f>INDEX(Ticket_Table[#All], MATCH(Ticket_Chart_Scratch!$E12, Ticket_Table[Name], 0) + 1, MATCH(Ticket_Chart_Scratch!$G$3, Ticket_Table[#Headers], 0))</f>
        <v>8</v>
      </c>
    </row>
    <row r="13" spans="1:7" x14ac:dyDescent="0.2">
      <c r="A13" s="26" t="s">
        <v>134</v>
      </c>
      <c r="B13" s="27">
        <v>2.5</v>
      </c>
      <c r="D13" s="35">
        <v>10</v>
      </c>
      <c r="E13" s="13" t="s">
        <v>134</v>
      </c>
      <c r="F13" s="40">
        <v>2.5</v>
      </c>
      <c r="G13" s="36">
        <f>INDEX(Ticket_Table[#All], MATCH(Ticket_Chart_Scratch!$E13, Ticket_Table[Name], 0) + 1, MATCH(Ticket_Chart_Scratch!$G$3, Ticket_Table[#Headers], 0))</f>
        <v>20</v>
      </c>
    </row>
    <row r="14" spans="1:7" x14ac:dyDescent="0.2">
      <c r="A14" s="26" t="s">
        <v>132</v>
      </c>
      <c r="B14" s="27">
        <v>2.5</v>
      </c>
      <c r="D14" s="35">
        <v>11</v>
      </c>
      <c r="E14" s="13" t="s">
        <v>132</v>
      </c>
      <c r="F14" s="40">
        <v>2.5</v>
      </c>
      <c r="G14" s="36">
        <f>INDEX(Ticket_Table[#All], MATCH(Ticket_Chart_Scratch!$E14, Ticket_Table[Name], 0) + 1, MATCH(Ticket_Chart_Scratch!$G$3, Ticket_Table[#Headers], 0))</f>
        <v>6</v>
      </c>
    </row>
    <row r="15" spans="1:7" x14ac:dyDescent="0.2">
      <c r="A15" s="26" t="s">
        <v>130</v>
      </c>
      <c r="B15" s="27">
        <v>2.4615384615384617</v>
      </c>
      <c r="D15" s="35">
        <v>12</v>
      </c>
      <c r="E15" s="13" t="s">
        <v>130</v>
      </c>
      <c r="F15" s="40">
        <v>2.4615384615384617</v>
      </c>
      <c r="G15" s="36">
        <f>INDEX(Ticket_Table[#All], MATCH(Ticket_Chart_Scratch!$E15, Ticket_Table[Name], 0) + 1, MATCH(Ticket_Chart_Scratch!$G$3, Ticket_Table[#Headers], 0))</f>
        <v>13</v>
      </c>
    </row>
    <row r="16" spans="1:7" x14ac:dyDescent="0.2">
      <c r="A16" s="26" t="s">
        <v>123</v>
      </c>
      <c r="B16" s="27">
        <v>2.4444444444444446</v>
      </c>
      <c r="D16" s="35">
        <v>13</v>
      </c>
      <c r="E16" s="13" t="s">
        <v>123</v>
      </c>
      <c r="F16" s="40">
        <v>2.4444444444444446</v>
      </c>
      <c r="G16" s="36">
        <f>INDEX(Ticket_Table[#All], MATCH(Ticket_Chart_Scratch!$E16, Ticket_Table[Name], 0) + 1, MATCH(Ticket_Chart_Scratch!$G$3, Ticket_Table[#Headers], 0))</f>
        <v>9</v>
      </c>
    </row>
    <row r="17" spans="1:7" x14ac:dyDescent="0.2">
      <c r="A17" s="26" t="s">
        <v>110</v>
      </c>
      <c r="B17" s="27">
        <v>2.4285714285714284</v>
      </c>
      <c r="D17" s="35">
        <v>14</v>
      </c>
      <c r="E17" s="13" t="s">
        <v>110</v>
      </c>
      <c r="F17" s="40">
        <v>2.4285714285714284</v>
      </c>
      <c r="G17" s="36">
        <f>INDEX(Ticket_Table[#All], MATCH(Ticket_Chart_Scratch!$E17, Ticket_Table[Name], 0) + 1, MATCH(Ticket_Chart_Scratch!$G$3, Ticket_Table[#Headers], 0))</f>
        <v>7</v>
      </c>
    </row>
    <row r="18" spans="1:7" x14ac:dyDescent="0.2">
      <c r="A18" s="26" t="s">
        <v>127</v>
      </c>
      <c r="B18" s="27">
        <v>2.4285714285714284</v>
      </c>
      <c r="D18" s="35">
        <v>15</v>
      </c>
      <c r="E18" s="13" t="s">
        <v>127</v>
      </c>
      <c r="F18" s="40">
        <v>2.4285714285714284</v>
      </c>
      <c r="G18" s="36">
        <f>INDEX(Ticket_Table[#All], MATCH(Ticket_Chart_Scratch!$E18, Ticket_Table[Name], 0) + 1, MATCH(Ticket_Chart_Scratch!$G$3, Ticket_Table[#Headers], 0))</f>
        <v>7</v>
      </c>
    </row>
    <row r="19" spans="1:7" x14ac:dyDescent="0.2">
      <c r="A19" s="26" t="s">
        <v>111</v>
      </c>
      <c r="B19" s="27">
        <v>2.4166666666666665</v>
      </c>
      <c r="D19" s="35">
        <v>16</v>
      </c>
      <c r="E19" s="13" t="s">
        <v>111</v>
      </c>
      <c r="F19" s="40">
        <v>2.4166666666666665</v>
      </c>
      <c r="G19" s="36">
        <f>INDEX(Ticket_Table[#All], MATCH(Ticket_Chart_Scratch!$E19, Ticket_Table[Name], 0) + 1, MATCH(Ticket_Chart_Scratch!$G$3, Ticket_Table[#Headers], 0))</f>
        <v>12</v>
      </c>
    </row>
    <row r="20" spans="1:7" x14ac:dyDescent="0.2">
      <c r="A20" s="26" t="s">
        <v>118</v>
      </c>
      <c r="B20" s="27">
        <v>2.4166666666666665</v>
      </c>
      <c r="D20" s="35">
        <v>17</v>
      </c>
      <c r="E20" s="13" t="s">
        <v>118</v>
      </c>
      <c r="F20" s="40">
        <v>2.4166666666666665</v>
      </c>
      <c r="G20" s="36">
        <f>INDEX(Ticket_Table[#All], MATCH(Ticket_Chart_Scratch!$E20, Ticket_Table[Name], 0) + 1, MATCH(Ticket_Chart_Scratch!$G$3, Ticket_Table[#Headers], 0))</f>
        <v>12</v>
      </c>
    </row>
    <row r="21" spans="1:7" x14ac:dyDescent="0.2">
      <c r="A21" s="26" t="s">
        <v>126</v>
      </c>
      <c r="B21" s="27">
        <v>2.4</v>
      </c>
      <c r="D21" s="35">
        <v>18</v>
      </c>
      <c r="E21" s="13" t="s">
        <v>126</v>
      </c>
      <c r="F21" s="40">
        <v>2.4</v>
      </c>
      <c r="G21" s="36">
        <f>INDEX(Ticket_Table[#All], MATCH(Ticket_Chart_Scratch!$E21, Ticket_Table[Name], 0) + 1, MATCH(Ticket_Chart_Scratch!$G$3, Ticket_Table[#Headers], 0))</f>
        <v>21</v>
      </c>
    </row>
    <row r="22" spans="1:7" x14ac:dyDescent="0.2">
      <c r="A22" s="26" t="s">
        <v>125</v>
      </c>
      <c r="B22" s="27">
        <v>2.3809523809523809</v>
      </c>
      <c r="D22" s="35">
        <v>19</v>
      </c>
      <c r="E22" s="13" t="s">
        <v>125</v>
      </c>
      <c r="F22" s="40">
        <v>2.3809523809523809</v>
      </c>
      <c r="G22" s="36">
        <f>INDEX(Ticket_Table[#All], MATCH(Ticket_Chart_Scratch!$E22, Ticket_Table[Name], 0) + 1, MATCH(Ticket_Chart_Scratch!$G$3, Ticket_Table[#Headers], 0))</f>
        <v>21</v>
      </c>
    </row>
    <row r="23" spans="1:7" ht="17" thickBot="1" x14ac:dyDescent="0.25">
      <c r="A23" s="26" t="s">
        <v>116</v>
      </c>
      <c r="B23" s="27">
        <v>2.375</v>
      </c>
      <c r="D23" s="37">
        <v>20</v>
      </c>
      <c r="E23" s="38" t="s">
        <v>116</v>
      </c>
      <c r="F23" s="41">
        <v>2.375</v>
      </c>
      <c r="G23" s="39">
        <f>INDEX(Ticket_Table[#All], MATCH(Ticket_Chart_Scratch!$E23, Ticket_Table[Name], 0) + 1, MATCH(Ticket_Chart_Scratch!$G$3, Ticket_Table[#Headers], 0))</f>
        <v>8</v>
      </c>
    </row>
    <row r="24" spans="1:7" x14ac:dyDescent="0.2">
      <c r="A24" s="26" t="s">
        <v>133</v>
      </c>
      <c r="B24" s="27">
        <v>2.375</v>
      </c>
      <c r="D24">
        <v>21</v>
      </c>
      <c r="E24" t="s">
        <v>133</v>
      </c>
      <c r="F24">
        <v>2.375</v>
      </c>
      <c r="G24">
        <f>INDEX(Ticket_Table[#All], MATCH(Ticket_Chart_Scratch!$E24, Ticket_Table[Name], 0) + 1, MATCH(Ticket_Chart_Scratch!$G$3, Ticket_Table[#Headers], 0))</f>
        <v>8</v>
      </c>
    </row>
    <row r="25" spans="1:7" x14ac:dyDescent="0.2">
      <c r="A25" s="26" t="s">
        <v>145</v>
      </c>
      <c r="B25" s="27">
        <v>2.375</v>
      </c>
      <c r="D25">
        <v>22</v>
      </c>
      <c r="E25" t="s">
        <v>145</v>
      </c>
      <c r="F25">
        <v>2.375</v>
      </c>
      <c r="G25">
        <f>INDEX(Ticket_Table[#All], MATCH(Ticket_Chart_Scratch!$E25, Ticket_Table[Name], 0) + 1, MATCH(Ticket_Chart_Scratch!$G$3, Ticket_Table[#Headers], 0))</f>
        <v>8</v>
      </c>
    </row>
    <row r="26" spans="1:7" x14ac:dyDescent="0.2">
      <c r="A26" s="26" t="s">
        <v>147</v>
      </c>
      <c r="B26" s="27">
        <v>2.375</v>
      </c>
      <c r="D26">
        <v>23</v>
      </c>
      <c r="E26" t="s">
        <v>147</v>
      </c>
      <c r="F26">
        <v>2.375</v>
      </c>
      <c r="G26">
        <f>INDEX(Ticket_Table[#All], MATCH(Ticket_Chart_Scratch!$E26, Ticket_Table[Name], 0) + 1, MATCH(Ticket_Chart_Scratch!$G$3, Ticket_Table[#Headers], 0))</f>
        <v>8</v>
      </c>
    </row>
    <row r="27" spans="1:7" x14ac:dyDescent="0.2">
      <c r="A27" s="26" t="s">
        <v>148</v>
      </c>
      <c r="B27" s="27">
        <v>2.375</v>
      </c>
      <c r="D27">
        <v>24</v>
      </c>
      <c r="E27" t="s">
        <v>148</v>
      </c>
      <c r="F27">
        <v>2.375</v>
      </c>
      <c r="G27">
        <f>INDEX(Ticket_Table[#All], MATCH(Ticket_Chart_Scratch!$E27, Ticket_Table[Name], 0) + 1, MATCH(Ticket_Chart_Scratch!$G$3, Ticket_Table[#Headers], 0))</f>
        <v>8</v>
      </c>
    </row>
    <row r="28" spans="1:7" x14ac:dyDescent="0.2">
      <c r="A28" s="26" t="s">
        <v>115</v>
      </c>
      <c r="B28" s="27">
        <v>2.375</v>
      </c>
      <c r="D28">
        <v>25</v>
      </c>
      <c r="E28" t="s">
        <v>115</v>
      </c>
      <c r="F28">
        <v>2.375</v>
      </c>
      <c r="G28">
        <f>INDEX(Ticket_Table[#All], MATCH(Ticket_Chart_Scratch!$E28, Ticket_Table[Name], 0) + 1, MATCH(Ticket_Chart_Scratch!$G$3, Ticket_Table[#Headers], 0))</f>
        <v>8</v>
      </c>
    </row>
    <row r="29" spans="1:7" x14ac:dyDescent="0.2">
      <c r="A29" s="26" t="s">
        <v>138</v>
      </c>
      <c r="B29" s="27">
        <v>2.375</v>
      </c>
      <c r="D29">
        <v>26</v>
      </c>
      <c r="E29" t="s">
        <v>138</v>
      </c>
      <c r="F29">
        <v>2.375</v>
      </c>
      <c r="G29">
        <f>INDEX(Ticket_Table[#All], MATCH(Ticket_Chart_Scratch!$E29, Ticket_Table[Name], 0) + 1, MATCH(Ticket_Chart_Scratch!$G$3, Ticket_Table[#Headers], 0))</f>
        <v>8</v>
      </c>
    </row>
    <row r="30" spans="1:7" x14ac:dyDescent="0.2">
      <c r="A30" s="26" t="s">
        <v>114</v>
      </c>
      <c r="B30" s="27">
        <v>2.3636363636363638</v>
      </c>
      <c r="D30">
        <v>27</v>
      </c>
      <c r="E30" t="s">
        <v>114</v>
      </c>
      <c r="F30">
        <v>2.3636363636363638</v>
      </c>
      <c r="G30">
        <f>INDEX(Ticket_Table[#All], MATCH(Ticket_Chart_Scratch!$E30, Ticket_Table[Name], 0) + 1, MATCH(Ticket_Chart_Scratch!$G$3, Ticket_Table[#Headers], 0))</f>
        <v>11</v>
      </c>
    </row>
    <row r="31" spans="1:7" x14ac:dyDescent="0.2">
      <c r="A31" s="26" t="s">
        <v>152</v>
      </c>
      <c r="B31" s="27">
        <v>2.3333333333333335</v>
      </c>
      <c r="D31">
        <v>28</v>
      </c>
      <c r="E31" t="s">
        <v>152</v>
      </c>
      <c r="F31">
        <v>2.3333333333333335</v>
      </c>
      <c r="G31">
        <f>INDEX(Ticket_Table[#All], MATCH(Ticket_Chart_Scratch!$E31, Ticket_Table[Name], 0) + 1, MATCH(Ticket_Chart_Scratch!$G$3, Ticket_Table[#Headers], 0))</f>
        <v>6</v>
      </c>
    </row>
    <row r="32" spans="1:7" x14ac:dyDescent="0.2">
      <c r="A32" s="26" t="s">
        <v>150</v>
      </c>
      <c r="B32" s="27">
        <v>2.2727272727272729</v>
      </c>
      <c r="D32">
        <v>29</v>
      </c>
      <c r="E32" t="s">
        <v>150</v>
      </c>
      <c r="F32">
        <v>2.2727272727272729</v>
      </c>
      <c r="G32">
        <f>INDEX(Ticket_Table[#All], MATCH(Ticket_Chart_Scratch!$E32, Ticket_Table[Name], 0) + 1, MATCH(Ticket_Chart_Scratch!$G$3, Ticket_Table[#Headers], 0))</f>
        <v>11</v>
      </c>
    </row>
    <row r="33" spans="1:7" x14ac:dyDescent="0.2">
      <c r="A33" s="26" t="s">
        <v>142</v>
      </c>
      <c r="B33" s="27">
        <v>2.25</v>
      </c>
      <c r="D33">
        <v>30</v>
      </c>
      <c r="E33" t="s">
        <v>142</v>
      </c>
      <c r="F33">
        <v>2.25</v>
      </c>
      <c r="G33">
        <f>INDEX(Ticket_Table[#All], MATCH(Ticket_Chart_Scratch!$E33, Ticket_Table[Name], 0) + 1, MATCH(Ticket_Chart_Scratch!$G$3, Ticket_Table[#Headers], 0))</f>
        <v>8</v>
      </c>
    </row>
    <row r="34" spans="1:7" x14ac:dyDescent="0.2">
      <c r="A34" s="26" t="s">
        <v>122</v>
      </c>
      <c r="B34" s="27">
        <v>2.25</v>
      </c>
      <c r="D34">
        <v>31</v>
      </c>
      <c r="E34" t="s">
        <v>122</v>
      </c>
      <c r="F34">
        <v>2.25</v>
      </c>
      <c r="G34">
        <f>INDEX(Ticket_Table[#All], MATCH(Ticket_Chart_Scratch!$E34, Ticket_Table[Name], 0) + 1, MATCH(Ticket_Chart_Scratch!$G$3, Ticket_Table[#Headers], 0))</f>
        <v>8</v>
      </c>
    </row>
    <row r="35" spans="1:7" x14ac:dyDescent="0.2">
      <c r="A35" s="26" t="s">
        <v>136</v>
      </c>
      <c r="B35" s="27">
        <v>2.2222222222222223</v>
      </c>
      <c r="D35">
        <v>32</v>
      </c>
      <c r="E35" t="s">
        <v>136</v>
      </c>
      <c r="F35">
        <v>2.2222222222222223</v>
      </c>
      <c r="G35">
        <f>INDEX(Ticket_Table[#All], MATCH(Ticket_Chart_Scratch!$E35, Ticket_Table[Name], 0) + 1, MATCH(Ticket_Chart_Scratch!$G$3, Ticket_Table[#Headers], 0))</f>
        <v>10</v>
      </c>
    </row>
    <row r="36" spans="1:7" x14ac:dyDescent="0.2">
      <c r="A36" s="26" t="s">
        <v>149</v>
      </c>
      <c r="B36" s="27">
        <v>2.2000000000000002</v>
      </c>
      <c r="D36">
        <v>33</v>
      </c>
      <c r="E36" t="s">
        <v>149</v>
      </c>
      <c r="F36">
        <v>2.2000000000000002</v>
      </c>
      <c r="G36">
        <f>INDEX(Ticket_Table[#All], MATCH(Ticket_Chart_Scratch!$E36, Ticket_Table[Name], 0) + 1, MATCH(Ticket_Chart_Scratch!$G$3, Ticket_Table[#Headers], 0))</f>
        <v>5</v>
      </c>
    </row>
    <row r="37" spans="1:7" x14ac:dyDescent="0.2">
      <c r="A37" s="26" t="s">
        <v>113</v>
      </c>
      <c r="B37" s="27">
        <v>2.2000000000000002</v>
      </c>
      <c r="D37">
        <v>34</v>
      </c>
      <c r="E37" t="s">
        <v>113</v>
      </c>
      <c r="F37">
        <v>2.2000000000000002</v>
      </c>
      <c r="G37">
        <f>INDEX(Ticket_Table[#All], MATCH(Ticket_Chart_Scratch!$E37, Ticket_Table[Name], 0) + 1, MATCH(Ticket_Chart_Scratch!$G$3, Ticket_Table[#Headers], 0))</f>
        <v>5</v>
      </c>
    </row>
    <row r="38" spans="1:7" x14ac:dyDescent="0.2">
      <c r="A38" s="26" t="s">
        <v>151</v>
      </c>
      <c r="B38" s="27">
        <v>2.2000000000000002</v>
      </c>
      <c r="D38">
        <v>35</v>
      </c>
      <c r="E38" t="s">
        <v>151</v>
      </c>
      <c r="F38">
        <v>2.2000000000000002</v>
      </c>
      <c r="G38">
        <f>INDEX(Ticket_Table[#All], MATCH(Ticket_Chart_Scratch!$E38, Ticket_Table[Name], 0) + 1, MATCH(Ticket_Chart_Scratch!$G$3, Ticket_Table[#Headers], 0))</f>
        <v>10</v>
      </c>
    </row>
    <row r="39" spans="1:7" x14ac:dyDescent="0.2">
      <c r="A39" s="26" t="s">
        <v>146</v>
      </c>
      <c r="B39" s="27">
        <v>2.2000000000000002</v>
      </c>
      <c r="D39">
        <v>36</v>
      </c>
      <c r="E39" t="s">
        <v>146</v>
      </c>
      <c r="F39">
        <v>2.2000000000000002</v>
      </c>
      <c r="G39">
        <f>INDEX(Ticket_Table[#All], MATCH(Ticket_Chart_Scratch!$E39, Ticket_Table[Name], 0) + 1, MATCH(Ticket_Chart_Scratch!$G$3, Ticket_Table[#Headers], 0))</f>
        <v>5</v>
      </c>
    </row>
    <row r="40" spans="1:7" x14ac:dyDescent="0.2">
      <c r="A40" s="26" t="s">
        <v>124</v>
      </c>
      <c r="B40" s="27">
        <v>2.2000000000000002</v>
      </c>
      <c r="D40">
        <v>37</v>
      </c>
      <c r="E40" t="s">
        <v>124</v>
      </c>
      <c r="F40">
        <v>2.2000000000000002</v>
      </c>
      <c r="G40">
        <f>INDEX(Ticket_Table[#All], MATCH(Ticket_Chart_Scratch!$E40, Ticket_Table[Name], 0) + 1, MATCH(Ticket_Chart_Scratch!$G$3, Ticket_Table[#Headers], 0))</f>
        <v>5</v>
      </c>
    </row>
    <row r="41" spans="1:7" x14ac:dyDescent="0.2">
      <c r="A41" s="26" t="s">
        <v>112</v>
      </c>
      <c r="B41" s="27">
        <v>2.2000000000000002</v>
      </c>
      <c r="D41">
        <v>38</v>
      </c>
      <c r="E41" t="s">
        <v>112</v>
      </c>
      <c r="F41">
        <v>2.2000000000000002</v>
      </c>
      <c r="G41">
        <f>INDEX(Ticket_Table[#All], MATCH(Ticket_Chart_Scratch!$E41, Ticket_Table[Name], 0) + 1, MATCH(Ticket_Chart_Scratch!$G$3, Ticket_Table[#Headers], 0))</f>
        <v>10</v>
      </c>
    </row>
    <row r="42" spans="1:7" x14ac:dyDescent="0.2">
      <c r="A42" s="26" t="s">
        <v>129</v>
      </c>
      <c r="B42" s="27">
        <v>2.2000000000000002</v>
      </c>
      <c r="D42">
        <v>39</v>
      </c>
      <c r="E42" t="s">
        <v>129</v>
      </c>
      <c r="F42">
        <v>2.2000000000000002</v>
      </c>
      <c r="G42">
        <f>INDEX(Ticket_Table[#All], MATCH(Ticket_Chart_Scratch!$E42, Ticket_Table[Name], 0) + 1, MATCH(Ticket_Chart_Scratch!$G$3, Ticket_Table[#Headers], 0))</f>
        <v>5</v>
      </c>
    </row>
    <row r="43" spans="1:7" x14ac:dyDescent="0.2">
      <c r="A43" s="26" t="s">
        <v>155</v>
      </c>
      <c r="B43" s="27">
        <v>2.1666666666666665</v>
      </c>
      <c r="D43">
        <v>40</v>
      </c>
      <c r="E43" t="s">
        <v>155</v>
      </c>
      <c r="F43">
        <v>2.1666666666666665</v>
      </c>
      <c r="G43">
        <f>INDEX(Ticket_Table[#All], MATCH(Ticket_Chart_Scratch!$E43, Ticket_Table[Name], 0) + 1, MATCH(Ticket_Chart_Scratch!$G$3, Ticket_Table[#Headers], 0))</f>
        <v>6</v>
      </c>
    </row>
    <row r="44" spans="1:7" x14ac:dyDescent="0.2">
      <c r="A44" s="26" t="s">
        <v>143</v>
      </c>
      <c r="B44" s="27">
        <v>2.1428571428571428</v>
      </c>
      <c r="D44">
        <v>41</v>
      </c>
      <c r="E44" t="s">
        <v>143</v>
      </c>
      <c r="F44">
        <v>2.1428571428571428</v>
      </c>
      <c r="G44">
        <f>INDEX(Ticket_Table[#All], MATCH(Ticket_Chart_Scratch!$E44, Ticket_Table[Name], 0) + 1, MATCH(Ticket_Chart_Scratch!$G$3, Ticket_Table[#Headers], 0))</f>
        <v>7</v>
      </c>
    </row>
    <row r="45" spans="1:7" x14ac:dyDescent="0.2">
      <c r="A45" s="26" t="s">
        <v>135</v>
      </c>
      <c r="B45" s="27">
        <v>2.1428571428571428</v>
      </c>
      <c r="D45">
        <v>42</v>
      </c>
      <c r="E45" t="s">
        <v>135</v>
      </c>
      <c r="F45">
        <v>2.1428571428571428</v>
      </c>
      <c r="G45">
        <f>INDEX(Ticket_Table[#All], MATCH(Ticket_Chart_Scratch!$E45, Ticket_Table[Name], 0) + 1, MATCH(Ticket_Chart_Scratch!$G$3, Ticket_Table[#Headers], 0))</f>
        <v>7</v>
      </c>
    </row>
    <row r="46" spans="1:7" x14ac:dyDescent="0.2">
      <c r="A46" s="26" t="s">
        <v>119</v>
      </c>
      <c r="B46" s="27">
        <v>2.1111111111111112</v>
      </c>
      <c r="D46">
        <v>43</v>
      </c>
      <c r="E46" t="s">
        <v>119</v>
      </c>
      <c r="F46">
        <v>2.1111111111111112</v>
      </c>
      <c r="G46">
        <f>INDEX(Ticket_Table[#All], MATCH(Ticket_Chart_Scratch!$E46, Ticket_Table[Name], 0) + 1, MATCH(Ticket_Chart_Scratch!$G$3, Ticket_Table[#Headers], 0))</f>
        <v>9</v>
      </c>
    </row>
    <row r="47" spans="1:7" x14ac:dyDescent="0.2">
      <c r="A47" s="26" t="s">
        <v>154</v>
      </c>
      <c r="B47" s="27">
        <v>2</v>
      </c>
      <c r="D47">
        <v>44</v>
      </c>
      <c r="E47" t="s">
        <v>154</v>
      </c>
      <c r="F47">
        <v>2</v>
      </c>
      <c r="G47">
        <f>INDEX(Ticket_Table[#All], MATCH(Ticket_Chart_Scratch!$E47, Ticket_Table[Name], 0) + 1, MATCH(Ticket_Chart_Scratch!$G$3, Ticket_Table[#Headers], 0))</f>
        <v>6</v>
      </c>
    </row>
    <row r="48" spans="1:7" x14ac:dyDescent="0.2">
      <c r="A48" s="26" t="s">
        <v>139</v>
      </c>
      <c r="B48" s="27">
        <v>2</v>
      </c>
      <c r="D48">
        <v>45</v>
      </c>
      <c r="E48" t="s">
        <v>139</v>
      </c>
      <c r="F48">
        <v>2</v>
      </c>
      <c r="G48">
        <f>INDEX(Ticket_Table[#All], MATCH(Ticket_Chart_Scratch!$E48, Ticket_Table[Name], 0) + 1, MATCH(Ticket_Chart_Scratch!$G$3, Ticket_Table[#Headers], 0))</f>
        <v>8</v>
      </c>
    </row>
    <row r="49" spans="1:7" x14ac:dyDescent="0.2">
      <c r="A49" s="26" t="s">
        <v>153</v>
      </c>
      <c r="B49" s="27">
        <v>2</v>
      </c>
      <c r="D49">
        <v>46</v>
      </c>
      <c r="E49" t="s">
        <v>153</v>
      </c>
      <c r="F49">
        <v>2</v>
      </c>
      <c r="G49">
        <f>INDEX(Ticket_Table[#All], MATCH(Ticket_Chart_Scratch!$E49, Ticket_Table[Name], 0) + 1, MATCH(Ticket_Chart_Scratch!$G$3, Ticket_Table[#Headers], 0))</f>
        <v>6</v>
      </c>
    </row>
    <row r="50" spans="1:7" x14ac:dyDescent="0.2">
      <c r="A50" s="26" t="s">
        <v>98</v>
      </c>
      <c r="B50" s="27">
        <v>108.27806082806084</v>
      </c>
      <c r="E50" t="s">
        <v>157</v>
      </c>
      <c r="F50">
        <f>STDEV(F4:F49)</f>
        <v>0.20187250488846534</v>
      </c>
    </row>
    <row r="51" spans="1:7" x14ac:dyDescent="0.2">
      <c r="E51" t="s">
        <v>158</v>
      </c>
      <c r="F51">
        <f>AVERAGE(F4:F49)</f>
        <v>2.3538708875665399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A0091-315D-FB43-B3DF-DD6127F0E06C}">
  <sheetPr>
    <tabColor rgb="FFFFFF00"/>
  </sheetPr>
  <dimension ref="A1:A53"/>
  <sheetViews>
    <sheetView topLeftCell="A22" workbookViewId="0">
      <selection activeCell="A37" sqref="A37"/>
    </sheetView>
  </sheetViews>
  <sheetFormatPr baseColWidth="10" defaultRowHeight="16" x14ac:dyDescent="0.2"/>
  <sheetData>
    <row r="1" spans="1:1" x14ac:dyDescent="0.2">
      <c r="A1" t="s">
        <v>189</v>
      </c>
    </row>
    <row r="2" spans="1:1" x14ac:dyDescent="0.2">
      <c r="A2" t="s">
        <v>190</v>
      </c>
    </row>
    <row r="3" spans="1:1" x14ac:dyDescent="0.2">
      <c r="A3" t="s">
        <v>191</v>
      </c>
    </row>
    <row r="4" spans="1:1" x14ac:dyDescent="0.2">
      <c r="A4" t="s">
        <v>192</v>
      </c>
    </row>
    <row r="5" spans="1:1" x14ac:dyDescent="0.2">
      <c r="A5" t="s">
        <v>193</v>
      </c>
    </row>
    <row r="6" spans="1:1" x14ac:dyDescent="0.2">
      <c r="A6" t="s">
        <v>197</v>
      </c>
    </row>
    <row r="7" spans="1:1" x14ac:dyDescent="0.2">
      <c r="A7" t="s">
        <v>196</v>
      </c>
    </row>
    <row r="8" spans="1:1" x14ac:dyDescent="0.2">
      <c r="A8" t="s">
        <v>202</v>
      </c>
    </row>
    <row r="9" spans="1:1" x14ac:dyDescent="0.2">
      <c r="A9" t="s">
        <v>205</v>
      </c>
    </row>
    <row r="11" spans="1:1" x14ac:dyDescent="0.2">
      <c r="A11" t="s">
        <v>201</v>
      </c>
    </row>
    <row r="28" spans="1:1" x14ac:dyDescent="0.2">
      <c r="A28" t="s">
        <v>198</v>
      </c>
    </row>
    <row r="30" spans="1:1" x14ac:dyDescent="0.2">
      <c r="A30" t="s">
        <v>162</v>
      </c>
    </row>
    <row r="31" spans="1:1" x14ac:dyDescent="0.2">
      <c r="A31" t="s">
        <v>199</v>
      </c>
    </row>
    <row r="32" spans="1:1" x14ac:dyDescent="0.2">
      <c r="A32" t="s">
        <v>200</v>
      </c>
    </row>
    <row r="33" spans="1:1" x14ac:dyDescent="0.2">
      <c r="A33" t="s">
        <v>203</v>
      </c>
    </row>
    <row r="34" spans="1:1" x14ac:dyDescent="0.2">
      <c r="A34" t="s">
        <v>204</v>
      </c>
    </row>
    <row r="35" spans="1:1" x14ac:dyDescent="0.2">
      <c r="A35" t="s">
        <v>196</v>
      </c>
    </row>
    <row r="36" spans="1:1" x14ac:dyDescent="0.2">
      <c r="A36" t="s">
        <v>202</v>
      </c>
    </row>
    <row r="52" spans="1:1" x14ac:dyDescent="0.2">
      <c r="A52" t="s">
        <v>206</v>
      </c>
    </row>
    <row r="53" spans="1:1" x14ac:dyDescent="0.2">
      <c r="A53" t="s">
        <v>207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Route_Point_Conversion</vt:lpstr>
      <vt:lpstr>Draft</vt:lpstr>
      <vt:lpstr>Color_Info</vt:lpstr>
      <vt:lpstr>Ticket_Info</vt:lpstr>
      <vt:lpstr>Route_Info</vt:lpstr>
      <vt:lpstr>City_Info</vt:lpstr>
      <vt:lpstr>Quadrant_Scratch</vt:lpstr>
      <vt:lpstr>Ticket_Chart_Scratch</vt:lpstr>
      <vt:lpstr>Thought_Experiments_Scratch</vt:lpstr>
      <vt:lpstr>Strategy_Scratch</vt:lpstr>
      <vt:lpstr>Route_Info_Table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2019-10-02T19:25:19Z</dcterms:created>
  <dcterms:modified xsi:type="dcterms:W3CDTF">2019-10-08T19:58:10Z</dcterms:modified>
</cp:coreProperties>
</file>