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GitHub\Ru_HER\"/>
    </mc:Choice>
  </mc:AlternateContent>
  <xr:revisionPtr revIDLastSave="0" documentId="8_{CC4AA317-6803-4E67-B912-CF4BF77094DE}" xr6:coauthVersionLast="47" xr6:coauthVersionMax="47" xr10:uidLastSave="{00000000-0000-0000-0000-000000000000}"/>
  <bookViews>
    <workbookView xWindow="-120" yWindow="-120" windowWidth="29040" windowHeight="15720" tabRatio="756" xr2:uid="{00000000-000D-0000-FFFF-FFFF00000000}"/>
  </bookViews>
  <sheets>
    <sheet name="pourbaix pyridinic" sheetId="22" r:id="rId1"/>
    <sheet name="pourbaix pyrrolic" sheetId="21" r:id="rId2"/>
    <sheet name="pourbaix graphitic" sheetId="16" r:id="rId3"/>
    <sheet name="pourbaix graphene" sheetId="15" r:id="rId4"/>
    <sheet name="Fig 6C" sheetId="23" r:id="rId5"/>
    <sheet name="Fig 7a-d" sheetId="11" r:id="rId6"/>
  </sheets>
  <definedNames>
    <definedName name="solver_adj" localSheetId="3" hidden="1">'pourbaix graphene'!$I$14</definedName>
    <definedName name="solver_adj" localSheetId="2" hidden="1">'pourbaix graphitic'!$I$14</definedName>
    <definedName name="solver_adj" localSheetId="0" hidden="1">'pourbaix pyridinic'!$I$14</definedName>
    <definedName name="solver_adj" localSheetId="1" hidden="1">'pourbaix pyrrolic'!$I$14</definedName>
    <definedName name="solver_cvg" localSheetId="3" hidden="1">0.0001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3" hidden="1">2</definedName>
    <definedName name="solver_drv" localSheetId="2" hidden="1">2</definedName>
    <definedName name="solver_drv" localSheetId="0" hidden="1">2</definedName>
    <definedName name="solver_drv" localSheetId="1" hidden="1">2</definedName>
    <definedName name="solver_eng" localSheetId="3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3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3" hidden="1">2147483647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3" hidden="1">30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3" hidden="1">0.075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3" hidden="1">2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3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3" hidden="1">2147483647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3" hidden="1">1</definedName>
    <definedName name="solver_num" localSheetId="2" hidden="1">1</definedName>
    <definedName name="solver_num" localSheetId="0" hidden="1">1</definedName>
    <definedName name="solver_num" localSheetId="1" hidden="1">1</definedName>
    <definedName name="solver_nwt" localSheetId="3" hidden="1">1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3" hidden="1">'pourbaix graphene'!$J$18</definedName>
    <definedName name="solver_opt" localSheetId="2" hidden="1">'pourbaix graphitic'!$J$18</definedName>
    <definedName name="solver_opt" localSheetId="0" hidden="1">'pourbaix pyridinic'!$J$18</definedName>
    <definedName name="solver_opt" localSheetId="1" hidden="1">'pourbaix pyrrolic'!$J$18</definedName>
    <definedName name="solver_pre" localSheetId="3" hidden="1">0.000001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3" hidden="1">2</definedName>
    <definedName name="solver_rbv" localSheetId="2" hidden="1">2</definedName>
    <definedName name="solver_rbv" localSheetId="0" hidden="1">2</definedName>
    <definedName name="solver_rbv" localSheetId="1" hidden="1">2</definedName>
    <definedName name="solver_rlx" localSheetId="3" hidden="1">2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3" hidden="1">0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3" hidden="1">2</definedName>
    <definedName name="solver_scl" localSheetId="2" hidden="1">2</definedName>
    <definedName name="solver_scl" localSheetId="0" hidden="1">2</definedName>
    <definedName name="solver_scl" localSheetId="1" hidden="1">2</definedName>
    <definedName name="solver_sho" localSheetId="3" hidden="1">2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3" hidden="1">100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3" hidden="1">2147483647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3" hidden="1">0.01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3" hidden="1">3</definedName>
    <definedName name="solver_typ" localSheetId="2" hidden="1">3</definedName>
    <definedName name="solver_typ" localSheetId="0" hidden="1">3</definedName>
    <definedName name="solver_typ" localSheetId="1" hidden="1">3</definedName>
    <definedName name="solver_val" localSheetId="3" hidden="1">0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3" hidden="1">3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4" i="11" l="1"/>
  <c r="AC53" i="11"/>
  <c r="AC52" i="11"/>
  <c r="AC51" i="11"/>
  <c r="AC50" i="11"/>
  <c r="AC49" i="11"/>
  <c r="AC48" i="11"/>
  <c r="X54" i="11"/>
  <c r="X53" i="11"/>
  <c r="X52" i="11"/>
  <c r="X51" i="11"/>
  <c r="X50" i="11"/>
  <c r="X49" i="11"/>
  <c r="X48" i="11"/>
  <c r="Z42" i="11"/>
  <c r="Z41" i="11"/>
  <c r="Z40" i="11"/>
  <c r="Z39" i="11"/>
  <c r="Z38" i="11"/>
  <c r="Z37" i="11"/>
  <c r="Y36" i="11"/>
  <c r="Y35" i="11"/>
  <c r="Y34" i="11"/>
  <c r="Y33" i="11"/>
  <c r="B105" i="11"/>
  <c r="B104" i="11"/>
  <c r="B103" i="11"/>
  <c r="B102" i="11"/>
  <c r="B101" i="11"/>
  <c r="S62" i="11"/>
  <c r="S63" i="11"/>
  <c r="S64" i="11"/>
  <c r="S66" i="11"/>
  <c r="S67" i="11"/>
  <c r="S68" i="11"/>
  <c r="S69" i="11"/>
  <c r="S70" i="11"/>
  <c r="S72" i="11"/>
  <c r="S73" i="11"/>
  <c r="S74" i="11"/>
  <c r="S75" i="11"/>
  <c r="S77" i="11"/>
  <c r="S78" i="11"/>
  <c r="S79" i="11"/>
  <c r="S80" i="11"/>
  <c r="S61" i="11"/>
  <c r="AP45" i="15" l="1"/>
  <c r="AG30" i="22"/>
  <c r="G77" i="11"/>
  <c r="G76" i="11"/>
  <c r="G75" i="11"/>
  <c r="G74" i="11"/>
  <c r="G73" i="11"/>
  <c r="G72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71" i="11"/>
  <c r="AG30" i="21" l="1"/>
  <c r="M8" i="11" l="1"/>
  <c r="M7" i="11"/>
  <c r="M9" i="11" s="1"/>
  <c r="M6" i="11"/>
  <c r="J67" i="11" l="1"/>
  <c r="J68" i="11"/>
  <c r="J72" i="11"/>
  <c r="F72" i="11"/>
  <c r="AF68" i="21"/>
  <c r="AF69" i="21" s="1"/>
  <c r="AA56" i="11"/>
  <c r="AK70" i="22"/>
  <c r="AK71" i="22" s="1"/>
  <c r="J77" i="11"/>
  <c r="F77" i="11"/>
  <c r="J76" i="11"/>
  <c r="F76" i="11"/>
  <c r="J75" i="11"/>
  <c r="F75" i="11"/>
  <c r="J74" i="11"/>
  <c r="F74" i="11"/>
  <c r="J73" i="11"/>
  <c r="F73" i="11"/>
  <c r="AM50" i="22"/>
  <c r="AJ65" i="16"/>
  <c r="AJ66" i="16" s="1"/>
  <c r="AL70" i="22"/>
  <c r="AL71" i="22" s="1"/>
  <c r="AM53" i="22" s="1"/>
  <c r="AJ70" i="22"/>
  <c r="AJ71" i="22" s="1"/>
  <c r="AM51" i="22" s="1"/>
  <c r="AI70" i="22"/>
  <c r="AI71" i="22" s="1"/>
  <c r="AH70" i="22"/>
  <c r="AH71" i="22" s="1"/>
  <c r="AG70" i="22"/>
  <c r="AG71" i="22" s="1"/>
  <c r="AM49" i="22" s="1"/>
  <c r="AL63" i="22"/>
  <c r="AL64" i="22" s="1"/>
  <c r="AE52" i="22"/>
  <c r="AC52" i="22"/>
  <c r="AB52" i="22"/>
  <c r="AF52" i="22" s="1"/>
  <c r="AA52" i="22"/>
  <c r="Z52" i="22"/>
  <c r="AC51" i="22"/>
  <c r="AA51" i="22"/>
  <c r="AE51" i="22" s="1"/>
  <c r="Z51" i="22"/>
  <c r="AC50" i="22"/>
  <c r="AA50" i="22"/>
  <c r="AB50" i="22" s="1"/>
  <c r="AF50" i="22" s="1"/>
  <c r="Z50" i="22"/>
  <c r="AE50" i="22" s="1"/>
  <c r="AF49" i="22"/>
  <c r="AC49" i="22"/>
  <c r="AB49" i="22"/>
  <c r="AA49" i="22"/>
  <c r="AE49" i="22" s="1"/>
  <c r="Z49" i="22"/>
  <c r="AM47" i="22"/>
  <c r="AM46" i="22"/>
  <c r="AM45" i="22"/>
  <c r="AM44" i="22"/>
  <c r="AM43" i="22"/>
  <c r="AL40" i="22"/>
  <c r="AL39" i="22"/>
  <c r="AO38" i="22"/>
  <c r="AL38" i="22"/>
  <c r="AL37" i="22"/>
  <c r="AL36" i="22"/>
  <c r="B34" i="22"/>
  <c r="E34" i="22" s="1"/>
  <c r="Z33" i="22"/>
  <c r="E33" i="22"/>
  <c r="D33" i="22"/>
  <c r="C33" i="22"/>
  <c r="H20" i="22"/>
  <c r="R19" i="22"/>
  <c r="P17" i="22"/>
  <c r="P16" i="22"/>
  <c r="I16" i="22"/>
  <c r="P15" i="22"/>
  <c r="P14" i="22"/>
  <c r="I14" i="22"/>
  <c r="F17" i="22" s="1"/>
  <c r="E14" i="22"/>
  <c r="E15" i="22" s="1"/>
  <c r="D14" i="22"/>
  <c r="D15" i="22" s="1"/>
  <c r="C14" i="22"/>
  <c r="C15" i="22" s="1"/>
  <c r="P13" i="22"/>
  <c r="K13" i="22"/>
  <c r="L13" i="22" s="1"/>
  <c r="E11" i="22"/>
  <c r="AP9" i="22"/>
  <c r="AM9" i="22"/>
  <c r="J9" i="22"/>
  <c r="AW8" i="22"/>
  <c r="AZ8" i="22" s="1"/>
  <c r="AP8" i="22"/>
  <c r="AM8" i="22"/>
  <c r="AK8" i="22"/>
  <c r="W8" i="22"/>
  <c r="X8" i="22" s="1"/>
  <c r="Y8" i="22" s="1"/>
  <c r="Z8" i="22" s="1"/>
  <c r="AA8" i="22" s="1"/>
  <c r="AB8" i="22" s="1"/>
  <c r="AC8" i="22" s="1"/>
  <c r="AD8" i="22" s="1"/>
  <c r="AP7" i="22"/>
  <c r="AM7" i="22"/>
  <c r="AP6" i="22"/>
  <c r="AM6" i="22"/>
  <c r="O6" i="22"/>
  <c r="B2" i="22" s="1"/>
  <c r="D2" i="22" s="1"/>
  <c r="AW5" i="22"/>
  <c r="AO5" i="22"/>
  <c r="AN5" i="22"/>
  <c r="AK7" i="22" s="1"/>
  <c r="O5" i="22"/>
  <c r="AW3" i="22"/>
  <c r="L3" i="22"/>
  <c r="L4" i="22" s="1"/>
  <c r="H3" i="22"/>
  <c r="AJ2" i="22"/>
  <c r="AJ3" i="22" s="1"/>
  <c r="O2" i="22"/>
  <c r="L2" i="22"/>
  <c r="J61" i="11"/>
  <c r="F61" i="11"/>
  <c r="L97" i="11"/>
  <c r="J69" i="11"/>
  <c r="J62" i="11"/>
  <c r="J63" i="11"/>
  <c r="J66" i="11"/>
  <c r="F66" i="11"/>
  <c r="F71" i="11"/>
  <c r="J71" i="11"/>
  <c r="AE68" i="21"/>
  <c r="AE69" i="21" s="1"/>
  <c r="AK55" i="21" s="1"/>
  <c r="AD68" i="21"/>
  <c r="AD69" i="21" s="1"/>
  <c r="AK54" i="21" s="1"/>
  <c r="AC68" i="21"/>
  <c r="AC69" i="21" s="1"/>
  <c r="AK53" i="21" s="1"/>
  <c r="Q63" i="15"/>
  <c r="Q64" i="15" s="1"/>
  <c r="Q56" i="15"/>
  <c r="Q57" i="15" s="1"/>
  <c r="AJ70" i="16"/>
  <c r="AJ71" i="16" s="1"/>
  <c r="AK55" i="16" s="1"/>
  <c r="AI70" i="16"/>
  <c r="AI71" i="16" s="1"/>
  <c r="AH70" i="16"/>
  <c r="AH71" i="16" s="1"/>
  <c r="AK54" i="16" s="1"/>
  <c r="AG70" i="16"/>
  <c r="AG71" i="16" s="1"/>
  <c r="AK53" i="16" s="1"/>
  <c r="J70" i="11"/>
  <c r="F70" i="11"/>
  <c r="F69" i="11"/>
  <c r="F68" i="11"/>
  <c r="F67" i="11"/>
  <c r="J65" i="11"/>
  <c r="F65" i="11"/>
  <c r="J64" i="11"/>
  <c r="F64" i="11"/>
  <c r="F63" i="11"/>
  <c r="F62" i="11"/>
  <c r="J60" i="11"/>
  <c r="J59" i="11"/>
  <c r="J58" i="11"/>
  <c r="J57" i="11"/>
  <c r="F60" i="11"/>
  <c r="F59" i="11"/>
  <c r="F58" i="11"/>
  <c r="F57" i="11"/>
  <c r="O5" i="21"/>
  <c r="O6" i="21" s="1"/>
  <c r="B2" i="21" s="1"/>
  <c r="D2" i="21" s="1"/>
  <c r="H3" i="21"/>
  <c r="O2" i="21"/>
  <c r="L2" i="21"/>
  <c r="L3" i="21" s="1"/>
  <c r="L4" i="21" s="1"/>
  <c r="O5" i="16"/>
  <c r="O6" i="16" s="1"/>
  <c r="B2" i="16" s="1"/>
  <c r="D2" i="16" s="1"/>
  <c r="H3" i="16"/>
  <c r="O2" i="16"/>
  <c r="L2" i="16"/>
  <c r="L3" i="16" s="1"/>
  <c r="L4" i="16" s="1"/>
  <c r="O5" i="15"/>
  <c r="O6" i="15" s="1"/>
  <c r="B2" i="15" s="1"/>
  <c r="D2" i="15" s="1"/>
  <c r="H3" i="15"/>
  <c r="O2" i="15"/>
  <c r="L2" i="15"/>
  <c r="L3" i="15" s="1"/>
  <c r="L4" i="15" s="1"/>
  <c r="M57" i="15"/>
  <c r="P63" i="15"/>
  <c r="P64" i="15" s="1"/>
  <c r="AJ51" i="15" s="1"/>
  <c r="O63" i="15"/>
  <c r="O64" i="15" s="1"/>
  <c r="N63" i="15"/>
  <c r="N64" i="15" s="1"/>
  <c r="M63" i="15"/>
  <c r="M64" i="15" s="1"/>
  <c r="L63" i="15"/>
  <c r="L64" i="15" s="1"/>
  <c r="AL70" i="16"/>
  <c r="AL71" i="16" s="1"/>
  <c r="AK57" i="16" s="1"/>
  <c r="AK70" i="16"/>
  <c r="AK71" i="16" s="1"/>
  <c r="AK56" i="16" s="1"/>
  <c r="AL63" i="16"/>
  <c r="AL64" i="16" s="1"/>
  <c r="AG68" i="21"/>
  <c r="AG69" i="21" s="1"/>
  <c r="AK57" i="21" s="1"/>
  <c r="AH68" i="21"/>
  <c r="AH69" i="21" s="1"/>
  <c r="AK58" i="21" s="1"/>
  <c r="AH61" i="21"/>
  <c r="AH62" i="21" s="1"/>
  <c r="B34" i="21"/>
  <c r="B35" i="21" s="1"/>
  <c r="Z33" i="21"/>
  <c r="E33" i="21"/>
  <c r="D33" i="21"/>
  <c r="C33" i="21"/>
  <c r="H20" i="21"/>
  <c r="R19" i="21"/>
  <c r="P17" i="21"/>
  <c r="P16" i="21"/>
  <c r="I16" i="21"/>
  <c r="P15" i="21"/>
  <c r="C15" i="21"/>
  <c r="P14" i="21"/>
  <c r="I14" i="21"/>
  <c r="I20" i="21" s="1"/>
  <c r="E14" i="21"/>
  <c r="E15" i="21" s="1"/>
  <c r="D14" i="21"/>
  <c r="D15" i="21" s="1"/>
  <c r="C14" i="21"/>
  <c r="P13" i="21"/>
  <c r="K13" i="21"/>
  <c r="L13" i="21" s="1"/>
  <c r="E11" i="21"/>
  <c r="J9" i="21"/>
  <c r="W8" i="21"/>
  <c r="X8" i="21" s="1"/>
  <c r="Y8" i="21" s="1"/>
  <c r="Z8" i="21" s="1"/>
  <c r="AA8" i="21" s="1"/>
  <c r="AB8" i="21" s="1"/>
  <c r="AC8" i="21" s="1"/>
  <c r="AD8" i="21" s="1"/>
  <c r="AO8" i="22" l="1"/>
  <c r="AX8" i="22"/>
  <c r="AY8" i="22"/>
  <c r="AB51" i="22"/>
  <c r="AF51" i="22" s="1"/>
  <c r="AM52" i="22"/>
  <c r="I20" i="22"/>
  <c r="AD50" i="22" s="1"/>
  <c r="F18" i="22"/>
  <c r="B35" i="22"/>
  <c r="AN8" i="22"/>
  <c r="AM4" i="22"/>
  <c r="AN9" i="22"/>
  <c r="AN6" i="22"/>
  <c r="AN7" i="22"/>
  <c r="AW9" i="22"/>
  <c r="AW6" i="22"/>
  <c r="AZ5" i="22"/>
  <c r="AW7" i="22"/>
  <c r="AX5" i="22"/>
  <c r="AO7" i="22"/>
  <c r="AO4" i="22"/>
  <c r="AO9" i="22"/>
  <c r="AO6" i="22"/>
  <c r="AN2" i="22" s="1"/>
  <c r="AY5" i="22"/>
  <c r="B36" i="22"/>
  <c r="E35" i="22"/>
  <c r="Z35" i="22"/>
  <c r="Z34" i="22"/>
  <c r="C34" i="22"/>
  <c r="D34" i="22"/>
  <c r="F18" i="21"/>
  <c r="K33" i="21"/>
  <c r="F17" i="21"/>
  <c r="M33" i="21"/>
  <c r="E10" i="21"/>
  <c r="J20" i="21"/>
  <c r="K20" i="21" s="1"/>
  <c r="L10" i="21"/>
  <c r="R22" i="21" s="1"/>
  <c r="Z35" i="21"/>
  <c r="D35" i="21"/>
  <c r="L35" i="21" s="1"/>
  <c r="J35" i="21"/>
  <c r="B36" i="21"/>
  <c r="E35" i="21"/>
  <c r="C35" i="21"/>
  <c r="K35" i="21" s="1"/>
  <c r="L33" i="21"/>
  <c r="J33" i="21"/>
  <c r="D34" i="21"/>
  <c r="L34" i="21" s="1"/>
  <c r="E34" i="21"/>
  <c r="M34" i="21" s="1"/>
  <c r="C34" i="21"/>
  <c r="K34" i="21" s="1"/>
  <c r="J34" i="21"/>
  <c r="Z34" i="21"/>
  <c r="J35" i="22" l="1"/>
  <c r="AD51" i="22"/>
  <c r="M34" i="22"/>
  <c r="J33" i="22"/>
  <c r="L33" i="22"/>
  <c r="J20" i="22"/>
  <c r="K20" i="22" s="1"/>
  <c r="AD52" i="22"/>
  <c r="M33" i="22"/>
  <c r="K33" i="22"/>
  <c r="L34" i="22"/>
  <c r="L10" i="22"/>
  <c r="R22" i="22" s="1"/>
  <c r="J34" i="22"/>
  <c r="K34" i="22"/>
  <c r="E10" i="22"/>
  <c r="AD49" i="22"/>
  <c r="D35" i="22"/>
  <c r="L35" i="22" s="1"/>
  <c r="C35" i="22"/>
  <c r="K35" i="22" s="1"/>
  <c r="AZ6" i="22"/>
  <c r="AY6" i="22"/>
  <c r="AX6" i="22"/>
  <c r="C36" i="22"/>
  <c r="K36" i="22" s="1"/>
  <c r="Z36" i="22"/>
  <c r="B37" i="22"/>
  <c r="E36" i="22"/>
  <c r="M36" i="22" s="1"/>
  <c r="D36" i="22"/>
  <c r="L36" i="22" s="1"/>
  <c r="J36" i="22"/>
  <c r="AX9" i="22"/>
  <c r="AZ9" i="22"/>
  <c r="AY9" i="22"/>
  <c r="AY7" i="22"/>
  <c r="AX7" i="22"/>
  <c r="AZ7" i="22"/>
  <c r="AR7" i="22"/>
  <c r="AR2" i="22"/>
  <c r="AP2" i="22"/>
  <c r="E36" i="21"/>
  <c r="D36" i="21"/>
  <c r="C36" i="21"/>
  <c r="Z36" i="21"/>
  <c r="B37" i="21"/>
  <c r="AM47" i="16"/>
  <c r="AM46" i="16"/>
  <c r="AM45" i="16"/>
  <c r="AM44" i="16"/>
  <c r="AM43" i="16"/>
  <c r="J55" i="11"/>
  <c r="J54" i="11"/>
  <c r="J53" i="11"/>
  <c r="J52" i="11"/>
  <c r="F55" i="11"/>
  <c r="F54" i="11"/>
  <c r="F53" i="11"/>
  <c r="F52" i="11"/>
  <c r="Z50" i="16"/>
  <c r="Z49" i="16"/>
  <c r="Z52" i="16"/>
  <c r="Z51" i="16"/>
  <c r="O5" i="11"/>
  <c r="O6" i="11" s="1"/>
  <c r="B2" i="11" s="1"/>
  <c r="F46" i="11"/>
  <c r="F45" i="11"/>
  <c r="O2" i="11"/>
  <c r="D37" i="22" l="1"/>
  <c r="L37" i="22" s="1"/>
  <c r="C37" i="22"/>
  <c r="K37" i="22" s="1"/>
  <c r="B38" i="22"/>
  <c r="Z37" i="22"/>
  <c r="J37" i="22"/>
  <c r="E37" i="22"/>
  <c r="M37" i="22" s="1"/>
  <c r="J37" i="21"/>
  <c r="E37" i="21"/>
  <c r="M37" i="21" s="1"/>
  <c r="D37" i="21"/>
  <c r="L37" i="21" s="1"/>
  <c r="C37" i="21"/>
  <c r="K37" i="21" s="1"/>
  <c r="Z37" i="21"/>
  <c r="B38" i="21"/>
  <c r="E38" i="22" l="1"/>
  <c r="D38" i="22"/>
  <c r="C38" i="22"/>
  <c r="B39" i="22"/>
  <c r="B39" i="21"/>
  <c r="E38" i="21"/>
  <c r="C38" i="21"/>
  <c r="D38" i="21"/>
  <c r="L2" i="11"/>
  <c r="L3" i="11" s="1"/>
  <c r="L4" i="11" l="1"/>
  <c r="E39" i="22"/>
  <c r="M39" i="22" s="1"/>
  <c r="J39" i="22"/>
  <c r="B40" i="22"/>
  <c r="D39" i="22"/>
  <c r="L39" i="22" s="1"/>
  <c r="C39" i="22"/>
  <c r="K39" i="22" s="1"/>
  <c r="Z39" i="22"/>
  <c r="Z39" i="21"/>
  <c r="B40" i="21"/>
  <c r="D39" i="21"/>
  <c r="L39" i="21" s="1"/>
  <c r="E39" i="21"/>
  <c r="M39" i="21" s="1"/>
  <c r="C39" i="21"/>
  <c r="K39" i="21" s="1"/>
  <c r="J39" i="21"/>
  <c r="L5" i="11" l="1"/>
  <c r="D55" i="11"/>
  <c r="D46" i="11"/>
  <c r="D52" i="11"/>
  <c r="D45" i="11"/>
  <c r="D53" i="11"/>
  <c r="D54" i="11"/>
  <c r="B41" i="22"/>
  <c r="J40" i="22"/>
  <c r="Z40" i="22"/>
  <c r="E40" i="22"/>
  <c r="M40" i="22" s="1"/>
  <c r="D40" i="22"/>
  <c r="L40" i="22" s="1"/>
  <c r="C40" i="22"/>
  <c r="K40" i="22" s="1"/>
  <c r="C40" i="21"/>
  <c r="K40" i="21" s="1"/>
  <c r="J40" i="21"/>
  <c r="Z40" i="21"/>
  <c r="B41" i="21"/>
  <c r="E40" i="21"/>
  <c r="M40" i="21" s="1"/>
  <c r="D40" i="21"/>
  <c r="L40" i="21" s="1"/>
  <c r="D41" i="22" l="1"/>
  <c r="C41" i="22"/>
  <c r="E41" i="22"/>
  <c r="B42" i="22"/>
  <c r="E41" i="21"/>
  <c r="B42" i="21"/>
  <c r="D41" i="21"/>
  <c r="C41" i="21"/>
  <c r="D42" i="22" l="1"/>
  <c r="L42" i="22" s="1"/>
  <c r="J42" i="22"/>
  <c r="E42" i="22"/>
  <c r="M42" i="22" s="1"/>
  <c r="B43" i="22"/>
  <c r="Z42" i="22"/>
  <c r="C42" i="22"/>
  <c r="K42" i="22" s="1"/>
  <c r="D42" i="21"/>
  <c r="L42" i="21" s="1"/>
  <c r="B43" i="21"/>
  <c r="J43" i="21" s="1"/>
  <c r="C42" i="21"/>
  <c r="K42" i="21" s="1"/>
  <c r="Z42" i="21"/>
  <c r="J42" i="21"/>
  <c r="E42" i="21"/>
  <c r="M42" i="21" s="1"/>
  <c r="B44" i="22" l="1"/>
  <c r="C43" i="22"/>
  <c r="K43" i="22" s="1"/>
  <c r="Z43" i="22"/>
  <c r="J43" i="22"/>
  <c r="E43" i="22"/>
  <c r="M43" i="22" s="1"/>
  <c r="D43" i="22"/>
  <c r="L43" i="22" s="1"/>
  <c r="D43" i="21"/>
  <c r="L43" i="21" s="1"/>
  <c r="C43" i="21"/>
  <c r="K43" i="21" s="1"/>
  <c r="Z43" i="21"/>
  <c r="B44" i="21"/>
  <c r="E43" i="21"/>
  <c r="M43" i="21" s="1"/>
  <c r="Z44" i="21" l="1"/>
  <c r="J44" i="21"/>
  <c r="E44" i="22"/>
  <c r="B45" i="22"/>
  <c r="D44" i="22"/>
  <c r="L44" i="22" s="1"/>
  <c r="C44" i="22"/>
  <c r="K44" i="22" s="1"/>
  <c r="Z44" i="22"/>
  <c r="J44" i="22"/>
  <c r="B45" i="21"/>
  <c r="E44" i="21"/>
  <c r="M44" i="21" s="1"/>
  <c r="D44" i="21"/>
  <c r="L44" i="21" s="1"/>
  <c r="C44" i="21"/>
  <c r="K44" i="21" s="1"/>
  <c r="AL40" i="16"/>
  <c r="AL39" i="16"/>
  <c r="AO38" i="16"/>
  <c r="AL38" i="16"/>
  <c r="AL37" i="16"/>
  <c r="AL36" i="16"/>
  <c r="B34" i="16"/>
  <c r="C34" i="16" s="1"/>
  <c r="Z33" i="16"/>
  <c r="E33" i="16"/>
  <c r="D33" i="16"/>
  <c r="C33" i="16"/>
  <c r="AG30" i="16"/>
  <c r="H20" i="16"/>
  <c r="R19" i="16"/>
  <c r="P17" i="16"/>
  <c r="P16" i="16"/>
  <c r="I16" i="16"/>
  <c r="P15" i="16"/>
  <c r="P14" i="16"/>
  <c r="I14" i="16"/>
  <c r="F18" i="16" s="1"/>
  <c r="E14" i="16"/>
  <c r="E15" i="16" s="1"/>
  <c r="D14" i="16"/>
  <c r="D15" i="16" s="1"/>
  <c r="C14" i="16"/>
  <c r="C15" i="16" s="1"/>
  <c r="P13" i="16"/>
  <c r="K13" i="16"/>
  <c r="L13" i="16" s="1"/>
  <c r="E11" i="16"/>
  <c r="J9" i="16"/>
  <c r="W8" i="16"/>
  <c r="X8" i="16" s="1"/>
  <c r="Y8" i="16" s="1"/>
  <c r="Z8" i="16" s="1"/>
  <c r="AA8" i="16" s="1"/>
  <c r="AB8" i="16" s="1"/>
  <c r="AC8" i="16" s="1"/>
  <c r="AD8" i="16" s="1"/>
  <c r="E45" i="22" l="1"/>
  <c r="M45" i="22" s="1"/>
  <c r="D45" i="22"/>
  <c r="L45" i="22" s="1"/>
  <c r="Z45" i="22"/>
  <c r="J45" i="22"/>
  <c r="C45" i="22"/>
  <c r="K45" i="22" s="1"/>
  <c r="B46" i="22"/>
  <c r="C45" i="21"/>
  <c r="K45" i="21" s="1"/>
  <c r="J45" i="21"/>
  <c r="D45" i="21"/>
  <c r="L45" i="21" s="1"/>
  <c r="Z45" i="21"/>
  <c r="E45" i="21"/>
  <c r="M45" i="21" s="1"/>
  <c r="B46" i="21"/>
  <c r="I20" i="16"/>
  <c r="F17" i="16"/>
  <c r="Z34" i="16"/>
  <c r="D34" i="16"/>
  <c r="E34" i="16"/>
  <c r="B35" i="16"/>
  <c r="Z35" i="16" s="1"/>
  <c r="B47" i="22" l="1"/>
  <c r="J46" i="22"/>
  <c r="Z46" i="22"/>
  <c r="D46" i="22"/>
  <c r="L46" i="22" s="1"/>
  <c r="C46" i="22"/>
  <c r="K46" i="22" s="1"/>
  <c r="E46" i="22"/>
  <c r="M46" i="22" s="1"/>
  <c r="E46" i="21"/>
  <c r="M46" i="21" s="1"/>
  <c r="B47" i="21"/>
  <c r="D46" i="21"/>
  <c r="L46" i="21" s="1"/>
  <c r="C46" i="21"/>
  <c r="K46" i="21" s="1"/>
  <c r="J46" i="21"/>
  <c r="Z46" i="21"/>
  <c r="J35" i="16"/>
  <c r="M33" i="16"/>
  <c r="K33" i="16"/>
  <c r="K34" i="16"/>
  <c r="M34" i="16"/>
  <c r="L34" i="16"/>
  <c r="J34" i="16"/>
  <c r="J33" i="16"/>
  <c r="J20" i="16"/>
  <c r="K20" i="16" s="1"/>
  <c r="L33" i="16"/>
  <c r="E10" i="16"/>
  <c r="L10" i="16"/>
  <c r="R22" i="16" s="1"/>
  <c r="D35" i="16"/>
  <c r="L35" i="16" s="1"/>
  <c r="C35" i="16"/>
  <c r="K35" i="16" s="1"/>
  <c r="B36" i="16"/>
  <c r="Z36" i="16" s="1"/>
  <c r="E35" i="16"/>
  <c r="Z47" i="22" l="1"/>
  <c r="D47" i="22"/>
  <c r="L47" i="22" s="1"/>
  <c r="C47" i="22"/>
  <c r="K47" i="22" s="1"/>
  <c r="J47" i="22"/>
  <c r="E47" i="22"/>
  <c r="M47" i="22" s="1"/>
  <c r="J47" i="21"/>
  <c r="E47" i="21"/>
  <c r="M47" i="21" s="1"/>
  <c r="Z47" i="21"/>
  <c r="D47" i="21"/>
  <c r="L47" i="21" s="1"/>
  <c r="C47" i="21"/>
  <c r="K47" i="21" s="1"/>
  <c r="J36" i="16"/>
  <c r="E36" i="16"/>
  <c r="M36" i="16" s="1"/>
  <c r="D36" i="16"/>
  <c r="L36" i="16" s="1"/>
  <c r="C36" i="16"/>
  <c r="K36" i="16" s="1"/>
  <c r="B37" i="16"/>
  <c r="J37" i="16" s="1"/>
  <c r="E37" i="16" l="1"/>
  <c r="M37" i="16" s="1"/>
  <c r="D37" i="16"/>
  <c r="L37" i="16" s="1"/>
  <c r="C37" i="16"/>
  <c r="K37" i="16" s="1"/>
  <c r="Z37" i="16"/>
  <c r="B38" i="16"/>
  <c r="E38" i="16" l="1"/>
  <c r="D38" i="16"/>
  <c r="C38" i="16"/>
  <c r="B39" i="16"/>
  <c r="Z39" i="16" l="1"/>
  <c r="J39" i="16"/>
  <c r="C39" i="16"/>
  <c r="K39" i="16" s="1"/>
  <c r="B40" i="16"/>
  <c r="J40" i="16" s="1"/>
  <c r="E39" i="16"/>
  <c r="M39" i="16" s="1"/>
  <c r="D39" i="16"/>
  <c r="L39" i="16" s="1"/>
  <c r="E40" i="16" l="1"/>
  <c r="M40" i="16" s="1"/>
  <c r="C40" i="16"/>
  <c r="K40" i="16" s="1"/>
  <c r="Z40" i="16"/>
  <c r="B41" i="16"/>
  <c r="D40" i="16"/>
  <c r="L40" i="16" s="1"/>
  <c r="E41" i="16" l="1"/>
  <c r="D41" i="16"/>
  <c r="C41" i="16"/>
  <c r="B42" i="16"/>
  <c r="Z33" i="15"/>
  <c r="AL40" i="15"/>
  <c r="AL39" i="15"/>
  <c r="AL38" i="15"/>
  <c r="AL37" i="15"/>
  <c r="AL36" i="15"/>
  <c r="B34" i="15"/>
  <c r="C34" i="15" s="1"/>
  <c r="E33" i="15"/>
  <c r="D33" i="15"/>
  <c r="C33" i="15"/>
  <c r="AG30" i="15"/>
  <c r="H20" i="15"/>
  <c r="R19" i="15"/>
  <c r="P17" i="15"/>
  <c r="P16" i="15"/>
  <c r="I16" i="15"/>
  <c r="P15" i="15"/>
  <c r="P14" i="15"/>
  <c r="I14" i="15"/>
  <c r="I20" i="15" s="1"/>
  <c r="E14" i="15"/>
  <c r="E15" i="15" s="1"/>
  <c r="D14" i="15"/>
  <c r="D15" i="15" s="1"/>
  <c r="C14" i="15"/>
  <c r="C15" i="15" s="1"/>
  <c r="P13" i="15"/>
  <c r="K13" i="15"/>
  <c r="L13" i="15" s="1"/>
  <c r="E11" i="15"/>
  <c r="J9" i="15"/>
  <c r="W8" i="15"/>
  <c r="X8" i="15" s="1"/>
  <c r="Y8" i="15" s="1"/>
  <c r="Z8" i="15" s="1"/>
  <c r="AA8" i="15" s="1"/>
  <c r="AB8" i="15" s="1"/>
  <c r="AC8" i="15" s="1"/>
  <c r="AD8" i="15" s="1"/>
  <c r="Z42" i="16" l="1"/>
  <c r="J42" i="16"/>
  <c r="B43" i="16"/>
  <c r="J43" i="16" s="1"/>
  <c r="E42" i="16"/>
  <c r="M42" i="16" s="1"/>
  <c r="D42" i="16"/>
  <c r="L42" i="16" s="1"/>
  <c r="C42" i="16"/>
  <c r="K42" i="16" s="1"/>
  <c r="J33" i="15"/>
  <c r="K33" i="15"/>
  <c r="L33" i="15"/>
  <c r="M33" i="15"/>
  <c r="J34" i="15"/>
  <c r="K34" i="15"/>
  <c r="Z34" i="15"/>
  <c r="F18" i="15"/>
  <c r="F17" i="15"/>
  <c r="D34" i="15"/>
  <c r="L34" i="15" s="1"/>
  <c r="L10" i="15"/>
  <c r="R22" i="15" s="1"/>
  <c r="E10" i="15"/>
  <c r="J20" i="15"/>
  <c r="K20" i="15" s="1"/>
  <c r="E34" i="15"/>
  <c r="M34" i="15" s="1"/>
  <c r="B35" i="15"/>
  <c r="Z35" i="15" s="1"/>
  <c r="J35" i="15" l="1"/>
  <c r="C43" i="16"/>
  <c r="K43" i="16" s="1"/>
  <c r="Z43" i="16"/>
  <c r="B44" i="16"/>
  <c r="E43" i="16"/>
  <c r="M43" i="16" s="1"/>
  <c r="D43" i="16"/>
  <c r="L43" i="16" s="1"/>
  <c r="B36" i="15"/>
  <c r="E35" i="15"/>
  <c r="M35" i="15" s="1"/>
  <c r="D35" i="15"/>
  <c r="L35" i="15" s="1"/>
  <c r="C35" i="15"/>
  <c r="K35" i="15" s="1"/>
  <c r="B45" i="16" l="1"/>
  <c r="J45" i="16" s="1"/>
  <c r="Z44" i="16"/>
  <c r="J44" i="16"/>
  <c r="D45" i="16"/>
  <c r="L45" i="16" s="1"/>
  <c r="C45" i="16"/>
  <c r="K45" i="16" s="1"/>
  <c r="Z45" i="16"/>
  <c r="E45" i="16"/>
  <c r="M45" i="16" s="1"/>
  <c r="E44" i="16"/>
  <c r="D44" i="16"/>
  <c r="L44" i="16" s="1"/>
  <c r="C44" i="16"/>
  <c r="K44" i="16" s="1"/>
  <c r="B37" i="15"/>
  <c r="J37" i="15" s="1"/>
  <c r="C36" i="15"/>
  <c r="E36" i="15"/>
  <c r="D36" i="15"/>
  <c r="B46" i="16" l="1"/>
  <c r="Z37" i="15"/>
  <c r="E37" i="15"/>
  <c r="M37" i="15" s="1"/>
  <c r="C37" i="15"/>
  <c r="K37" i="15" s="1"/>
  <c r="D37" i="15"/>
  <c r="L37" i="15" s="1"/>
  <c r="B38" i="15"/>
  <c r="J46" i="16" l="1"/>
  <c r="B47" i="16"/>
  <c r="E46" i="16"/>
  <c r="M46" i="16" s="1"/>
  <c r="D46" i="16"/>
  <c r="L46" i="16" s="1"/>
  <c r="C46" i="16"/>
  <c r="K46" i="16" s="1"/>
  <c r="Z46" i="16"/>
  <c r="B39" i="15"/>
  <c r="E38" i="15"/>
  <c r="C38" i="15"/>
  <c r="D38" i="15"/>
  <c r="Z39" i="15" l="1"/>
  <c r="J39" i="15"/>
  <c r="C47" i="16"/>
  <c r="K47" i="16" s="1"/>
  <c r="E47" i="16"/>
  <c r="M47" i="16" s="1"/>
  <c r="D47" i="16"/>
  <c r="L47" i="16" s="1"/>
  <c r="J47" i="16"/>
  <c r="Z47" i="16"/>
  <c r="B40" i="15"/>
  <c r="J40" i="15" s="1"/>
  <c r="C39" i="15"/>
  <c r="K39" i="15" s="1"/>
  <c r="D39" i="15"/>
  <c r="L39" i="15" s="1"/>
  <c r="E39" i="15"/>
  <c r="M39" i="15" s="1"/>
  <c r="Z40" i="15" l="1"/>
  <c r="E40" i="15"/>
  <c r="M40" i="15" s="1"/>
  <c r="D40" i="15"/>
  <c r="L40" i="15" s="1"/>
  <c r="C40" i="15"/>
  <c r="K40" i="15" s="1"/>
  <c r="B41" i="15"/>
  <c r="B42" i="15" l="1"/>
  <c r="E41" i="15"/>
  <c r="D41" i="15"/>
  <c r="C41" i="15"/>
  <c r="Z42" i="15" l="1"/>
  <c r="J42" i="15"/>
  <c r="B43" i="15"/>
  <c r="E42" i="15"/>
  <c r="D42" i="15"/>
  <c r="L42" i="15" s="1"/>
  <c r="C42" i="15"/>
  <c r="K42" i="15" s="1"/>
  <c r="B44" i="15" l="1"/>
  <c r="J43" i="15"/>
  <c r="D43" i="15"/>
  <c r="L43" i="15" s="1"/>
  <c r="E43" i="15"/>
  <c r="M43" i="15" s="1"/>
  <c r="Z43" i="15"/>
  <c r="C43" i="15"/>
  <c r="K43" i="15" s="1"/>
  <c r="Z44" i="15" l="1"/>
  <c r="B45" i="15"/>
  <c r="J44" i="15"/>
  <c r="E44" i="15"/>
  <c r="D44" i="15"/>
  <c r="L44" i="15" s="1"/>
  <c r="C44" i="15"/>
  <c r="K44" i="15" s="1"/>
  <c r="B46" i="15"/>
  <c r="C45" i="15" l="1"/>
  <c r="K45" i="15" s="1"/>
  <c r="Z45" i="15"/>
  <c r="D45" i="15"/>
  <c r="L45" i="15" s="1"/>
  <c r="E45" i="15"/>
  <c r="M45" i="15" s="1"/>
  <c r="J45" i="15"/>
  <c r="Z46" i="15"/>
  <c r="J46" i="15"/>
  <c r="C46" i="15"/>
  <c r="K46" i="15" s="1"/>
  <c r="D46" i="15"/>
  <c r="L46" i="15" s="1"/>
  <c r="E46" i="15"/>
  <c r="M46" i="15" s="1"/>
  <c r="M21" i="11" l="1"/>
  <c r="M20" i="11"/>
  <c r="M19" i="11"/>
  <c r="M18" i="11"/>
  <c r="M17" i="11"/>
  <c r="M16" i="11"/>
  <c r="M15" i="11"/>
  <c r="M14" i="11"/>
  <c r="M25" i="11" l="1"/>
  <c r="M26" i="11"/>
  <c r="M27" i="11"/>
  <c r="M28" i="11"/>
  <c r="M29" i="11"/>
  <c r="M24" i="11"/>
  <c r="D2" i="11"/>
  <c r="H3" i="11"/>
  <c r="H72" i="11" l="1"/>
  <c r="I72" i="11" s="1"/>
  <c r="H61" i="11"/>
  <c r="I61" i="11" s="1"/>
  <c r="H62" i="11"/>
  <c r="I62" i="11" s="1"/>
  <c r="H76" i="11"/>
  <c r="I76" i="11" s="1"/>
  <c r="H68" i="11"/>
  <c r="I68" i="11" s="1"/>
  <c r="H73" i="11"/>
  <c r="I73" i="11" s="1"/>
  <c r="H70" i="11"/>
  <c r="I70" i="11" s="1"/>
  <c r="H57" i="11"/>
  <c r="I57" i="11" s="1"/>
  <c r="H66" i="11"/>
  <c r="I66" i="11" s="1"/>
  <c r="H60" i="11"/>
  <c r="I60" i="11" s="1"/>
  <c r="H71" i="11"/>
  <c r="I71" i="11" s="1"/>
  <c r="H65" i="11"/>
  <c r="I65" i="11" s="1"/>
  <c r="H58" i="11"/>
  <c r="I58" i="11" s="1"/>
  <c r="H59" i="11"/>
  <c r="I59" i="11" s="1"/>
  <c r="H63" i="11"/>
  <c r="I63" i="11" s="1"/>
  <c r="H64" i="11"/>
  <c r="I64" i="11" s="1"/>
  <c r="H74" i="11"/>
  <c r="I74" i="11" s="1"/>
  <c r="H75" i="11"/>
  <c r="I75" i="11" s="1"/>
  <c r="H77" i="11"/>
  <c r="I77" i="11" s="1"/>
  <c r="H67" i="11"/>
  <c r="I67" i="11" s="1"/>
  <c r="H69" i="11"/>
  <c r="I69" i="11" s="1"/>
  <c r="H52" i="11"/>
  <c r="I52" i="11" s="1"/>
  <c r="H53" i="11"/>
  <c r="I53" i="11" s="1"/>
  <c r="H54" i="11"/>
  <c r="I54" i="11" s="1"/>
  <c r="H55" i="11"/>
  <c r="I55" i="11" s="1"/>
  <c r="K46" i="11"/>
  <c r="L46" i="11" s="1"/>
  <c r="K45" i="11"/>
  <c r="L45" i="11" s="1"/>
  <c r="K34" i="11"/>
  <c r="L34" i="11" s="1"/>
  <c r="K35" i="11"/>
  <c r="L35" i="11" s="1"/>
  <c r="K36" i="11"/>
  <c r="L36" i="11" s="1"/>
  <c r="K41" i="11"/>
  <c r="L41" i="11" s="1"/>
  <c r="K39" i="11"/>
  <c r="L39" i="11" s="1"/>
  <c r="K40" i="11"/>
  <c r="L40" i="11" s="1"/>
  <c r="K24" i="11"/>
  <c r="L24" i="11" s="1"/>
  <c r="K38" i="11"/>
  <c r="L38" i="11" s="1"/>
  <c r="K37" i="11"/>
  <c r="L37" i="11" s="1"/>
  <c r="K17" i="11"/>
  <c r="L17" i="11" s="1"/>
  <c r="K14" i="11"/>
  <c r="L14" i="11" s="1"/>
  <c r="K25" i="11"/>
  <c r="L25" i="11" s="1"/>
  <c r="K28" i="11"/>
  <c r="L28" i="11" s="1"/>
  <c r="K21" i="11"/>
  <c r="L21" i="11" s="1"/>
  <c r="K26" i="11"/>
  <c r="L26" i="11" s="1"/>
  <c r="K19" i="11"/>
  <c r="L19" i="11" s="1"/>
  <c r="K18" i="11"/>
  <c r="L18" i="11" s="1"/>
  <c r="K16" i="11"/>
  <c r="L16" i="11" s="1"/>
  <c r="K29" i="11"/>
  <c r="L29" i="11" s="1"/>
  <c r="K20" i="11"/>
  <c r="L20" i="11" s="1"/>
  <c r="K27" i="11"/>
  <c r="L27" i="11" s="1"/>
  <c r="K15" i="11"/>
  <c r="L15" i="11" s="1"/>
  <c r="B8" i="11"/>
  <c r="K57" i="11" l="1"/>
  <c r="L57" i="11" s="1"/>
  <c r="K64" i="11"/>
  <c r="L64" i="11" s="1"/>
  <c r="I45" i="11"/>
  <c r="K52" i="11"/>
  <c r="L52" i="11" s="1"/>
  <c r="K59" i="11"/>
  <c r="L59" i="11" s="1"/>
  <c r="K62" i="11"/>
  <c r="L62" i="11" s="1"/>
  <c r="K54" i="11"/>
  <c r="L54" i="11" s="1"/>
  <c r="C49" i="11"/>
  <c r="M13" i="11"/>
  <c r="N38" i="15" l="1" a="1"/>
  <c r="P38" i="15" s="1"/>
  <c r="O38" i="15" l="1"/>
  <c r="N38" i="15"/>
  <c r="N41" i="15" l="1" a="1"/>
  <c r="P41" i="15" s="1"/>
  <c r="N41" i="15" l="1"/>
  <c r="O41" i="15"/>
  <c r="AO38" i="15" l="1"/>
  <c r="N47" i="16" l="1" a="1"/>
  <c r="P47" i="16" s="1"/>
  <c r="N47" i="16" l="1"/>
  <c r="O47" i="16"/>
  <c r="AA47" i="16" l="1"/>
  <c r="AE47" i="16" s="1"/>
  <c r="AD47" i="16"/>
  <c r="AC47" i="16"/>
  <c r="AB47" i="16" l="1"/>
  <c r="AF47" i="16" s="1"/>
  <c r="AG47" i="16" s="1"/>
  <c r="N35" i="16" l="1" a="1"/>
  <c r="N35" i="16" s="1"/>
  <c r="AC51" i="16" l="1"/>
  <c r="AC35" i="16"/>
  <c r="O35" i="16"/>
  <c r="P35" i="16"/>
  <c r="AA51" i="16" l="1"/>
  <c r="AD51" i="16"/>
  <c r="AA35" i="16"/>
  <c r="AD35" i="16"/>
  <c r="AE35" i="16" l="1"/>
  <c r="AB35" i="16"/>
  <c r="AF35" i="16" s="1"/>
  <c r="AE51" i="16"/>
  <c r="AB51" i="16"/>
  <c r="AF51" i="16" s="1"/>
  <c r="AG35" i="16" l="1"/>
  <c r="AC50" i="16" l="1"/>
  <c r="AD50" i="16" l="1"/>
  <c r="AA50" i="16"/>
  <c r="AE50" i="16" l="1"/>
  <c r="AB50" i="16"/>
  <c r="AF50" i="16" s="1"/>
  <c r="AA52" i="16" l="1"/>
  <c r="AE52" i="16" s="1"/>
  <c r="AC52" i="16" l="1"/>
  <c r="AB52" i="16"/>
  <c r="AF52" i="16" s="1"/>
  <c r="AD52" i="16"/>
  <c r="N36" i="16" l="1" a="1"/>
  <c r="O36" i="16" s="1"/>
  <c r="N36" i="16" l="1"/>
  <c r="P36" i="16"/>
  <c r="AC36" i="16" l="1"/>
  <c r="AD36" i="16"/>
  <c r="AA36" i="16"/>
  <c r="AE36" i="16" s="1"/>
  <c r="AB36" i="16" l="1"/>
  <c r="AF36" i="16" s="1"/>
  <c r="AG36" i="16" s="1"/>
  <c r="N37" i="16" a="1"/>
  <c r="P37" i="16" s="1"/>
  <c r="N39" i="16" a="1"/>
  <c r="O39" i="16" s="1"/>
  <c r="N40" i="16" a="1"/>
  <c r="N40" i="16" s="1"/>
  <c r="N42" i="16" a="1"/>
  <c r="N42" i="16" s="1"/>
  <c r="N45" i="16" a="1"/>
  <c r="N45" i="16" s="1"/>
  <c r="N46" i="16" a="1"/>
  <c r="O46" i="16" s="1"/>
  <c r="AC45" i="16" l="1"/>
  <c r="AC40" i="16"/>
  <c r="AC42" i="16"/>
  <c r="AC49" i="16"/>
  <c r="O37" i="16"/>
  <c r="P39" i="16"/>
  <c r="N37" i="16"/>
  <c r="O45" i="16"/>
  <c r="P40" i="16"/>
  <c r="P45" i="16"/>
  <c r="O40" i="16"/>
  <c r="N39" i="16"/>
  <c r="P46" i="16"/>
  <c r="P42" i="16"/>
  <c r="N46" i="16"/>
  <c r="AA46" i="16" s="1"/>
  <c r="AE46" i="16" s="1"/>
  <c r="O42" i="16"/>
  <c r="AD46" i="16" l="1"/>
  <c r="AC39" i="16"/>
  <c r="AC37" i="16"/>
  <c r="AD37" i="16"/>
  <c r="AA37" i="16"/>
  <c r="AE37" i="16" s="1"/>
  <c r="AA39" i="16"/>
  <c r="AE39" i="16" s="1"/>
  <c r="AD45" i="16"/>
  <c r="AA45" i="16"/>
  <c r="AD42" i="16"/>
  <c r="AA42" i="16"/>
  <c r="AD39" i="16"/>
  <c r="AA40" i="16"/>
  <c r="AD40" i="16"/>
  <c r="AB46" i="16"/>
  <c r="AF46" i="16" s="1"/>
  <c r="AC46" i="16"/>
  <c r="AD49" i="16"/>
  <c r="AA49" i="16"/>
  <c r="AE45" i="16" l="1"/>
  <c r="AB45" i="16"/>
  <c r="AF45" i="16" s="1"/>
  <c r="AE49" i="16"/>
  <c r="AB49" i="16"/>
  <c r="AF49" i="16" s="1"/>
  <c r="AG49" i="16" s="1"/>
  <c r="AB37" i="16"/>
  <c r="AF37" i="16" s="1"/>
  <c r="AE40" i="16"/>
  <c r="AB40" i="16"/>
  <c r="AF40" i="16" s="1"/>
  <c r="AB39" i="16"/>
  <c r="AF39" i="16" s="1"/>
  <c r="AG39" i="16" s="1"/>
  <c r="AG46" i="16"/>
  <c r="AH52" i="16"/>
  <c r="AE42" i="16"/>
  <c r="AB42" i="16"/>
  <c r="AF42" i="16" s="1"/>
  <c r="AG42" i="16" s="1"/>
  <c r="AG37" i="16" l="1"/>
  <c r="AG50" i="16"/>
  <c r="AG40" i="16"/>
  <c r="AH51" i="16"/>
  <c r="N33" i="16" l="1" a="1"/>
  <c r="O33" i="16" s="1"/>
  <c r="P33" i="16" l="1"/>
  <c r="N33" i="16"/>
  <c r="AA33" i="16" s="1"/>
  <c r="AE33" i="16" s="1"/>
  <c r="AC33" i="16" l="1"/>
  <c r="AB33" i="16"/>
  <c r="AF33" i="16" s="1"/>
  <c r="AG33" i="16" s="1"/>
  <c r="AD33" i="16"/>
  <c r="N42" i="15" l="1" a="1"/>
  <c r="O42" i="15" s="1"/>
  <c r="N37" i="15" a="1"/>
  <c r="P37" i="15" s="1"/>
  <c r="N33" i="15" a="1"/>
  <c r="N33" i="15" s="1"/>
  <c r="N40" i="15" a="1"/>
  <c r="O40" i="15" s="1"/>
  <c r="N43" i="15" a="1"/>
  <c r="P43" i="15" s="1"/>
  <c r="N34" i="15" a="1"/>
  <c r="O34" i="15" s="1"/>
  <c r="N46" i="15" a="1"/>
  <c r="O46" i="15" s="1"/>
  <c r="AC33" i="15" l="1"/>
  <c r="O43" i="15"/>
  <c r="N37" i="15"/>
  <c r="N34" i="15"/>
  <c r="AD34" i="15" s="1"/>
  <c r="N43" i="15"/>
  <c r="O37" i="15"/>
  <c r="P46" i="15"/>
  <c r="P40" i="15"/>
  <c r="N42" i="15"/>
  <c r="AD42" i="15" s="1"/>
  <c r="N46" i="15"/>
  <c r="N40" i="15"/>
  <c r="AD40" i="15" s="1"/>
  <c r="P42" i="15"/>
  <c r="O33" i="15"/>
  <c r="P34" i="15"/>
  <c r="P33" i="15"/>
  <c r="AA42" i="15" l="1"/>
  <c r="AE42" i="15" s="1"/>
  <c r="AA34" i="15"/>
  <c r="AE34" i="15" s="1"/>
  <c r="AC37" i="15"/>
  <c r="AC46" i="15"/>
  <c r="AC42" i="15"/>
  <c r="AA37" i="15"/>
  <c r="AE37" i="15" s="1"/>
  <c r="AD37" i="15"/>
  <c r="AA46" i="15"/>
  <c r="AE46" i="15" s="1"/>
  <c r="AD43" i="15"/>
  <c r="AA43" i="15"/>
  <c r="AE43" i="15" s="1"/>
  <c r="AA33" i="15"/>
  <c r="AD33" i="15"/>
  <c r="AC40" i="15"/>
  <c r="AA40" i="15"/>
  <c r="AE40" i="15" s="1"/>
  <c r="AC43" i="15"/>
  <c r="AC34" i="15"/>
  <c r="AD46" i="15"/>
  <c r="AB34" i="15" l="1"/>
  <c r="AF34" i="15" s="1"/>
  <c r="AG34" i="15" s="1"/>
  <c r="AB42" i="15"/>
  <c r="AF42" i="15" s="1"/>
  <c r="AG42" i="15" s="1"/>
  <c r="AE33" i="15"/>
  <c r="AB33" i="15"/>
  <c r="AF33" i="15" s="1"/>
  <c r="AG33" i="15" s="1"/>
  <c r="AB43" i="15"/>
  <c r="AF43" i="15" s="1"/>
  <c r="AG43" i="15" s="1"/>
  <c r="AB37" i="15"/>
  <c r="AF37" i="15" s="1"/>
  <c r="AG37" i="15" s="1"/>
  <c r="AB46" i="15"/>
  <c r="AF46" i="15" s="1"/>
  <c r="AG46" i="15" s="1"/>
  <c r="AB40" i="15"/>
  <c r="AF40" i="15" s="1"/>
  <c r="AG40" i="15" s="1"/>
  <c r="N35" i="21" l="1" a="1"/>
  <c r="P35" i="21" s="1"/>
  <c r="N34" i="21" a="1"/>
  <c r="N34" i="21" s="1"/>
  <c r="N37" i="21" a="1"/>
  <c r="N37" i="21" s="1"/>
  <c r="N47" i="21" a="1"/>
  <c r="O47" i="21" s="1"/>
  <c r="AC37" i="21" l="1"/>
  <c r="AC36" i="21"/>
  <c r="AC34" i="21"/>
  <c r="N47" i="21"/>
  <c r="P37" i="21"/>
  <c r="O37" i="21"/>
  <c r="N35" i="21"/>
  <c r="P34" i="21"/>
  <c r="O34" i="21"/>
  <c r="P47" i="21"/>
  <c r="O35" i="21"/>
  <c r="AC35" i="21" l="1"/>
  <c r="AD37" i="21"/>
  <c r="AA37" i="21"/>
  <c r="AC47" i="21"/>
  <c r="AD35" i="21"/>
  <c r="AA35" i="21"/>
  <c r="AE35" i="21" s="1"/>
  <c r="AD36" i="21"/>
  <c r="AA36" i="21"/>
  <c r="AD34" i="21"/>
  <c r="AA34" i="21"/>
  <c r="AD47" i="21"/>
  <c r="AA47" i="21"/>
  <c r="AE47" i="21" s="1"/>
  <c r="AB47" i="21" l="1"/>
  <c r="AF47" i="21" s="1"/>
  <c r="AE36" i="21"/>
  <c r="AB36" i="21"/>
  <c r="AF36" i="21" s="1"/>
  <c r="AE34" i="21"/>
  <c r="AB34" i="21"/>
  <c r="AF34" i="21" s="1"/>
  <c r="AG34" i="21" s="1"/>
  <c r="AE37" i="21"/>
  <c r="AB37" i="21"/>
  <c r="AF37" i="21" s="1"/>
  <c r="AG37" i="21" s="1"/>
  <c r="AB35" i="21"/>
  <c r="AF35" i="21" s="1"/>
  <c r="AG35" i="21" s="1"/>
  <c r="N40" i="21" a="1"/>
  <c r="P40" i="21" s="1"/>
  <c r="N43" i="21" a="1"/>
  <c r="N43" i="21" s="1"/>
  <c r="N39" i="21" a="1"/>
  <c r="O39" i="21" s="1"/>
  <c r="N42" i="21" a="1"/>
  <c r="O42" i="21" s="1"/>
  <c r="AC43" i="21" l="1"/>
  <c r="P43" i="21"/>
  <c r="O43" i="21"/>
  <c r="N39" i="21"/>
  <c r="AD39" i="21" s="1"/>
  <c r="P39" i="21"/>
  <c r="O40" i="21"/>
  <c r="N40" i="21"/>
  <c r="P42" i="21"/>
  <c r="N42" i="21"/>
  <c r="AA39" i="21" l="1"/>
  <c r="AE39" i="21" s="1"/>
  <c r="AD43" i="21"/>
  <c r="AA43" i="21"/>
  <c r="AC39" i="21"/>
  <c r="AC40" i="21"/>
  <c r="AD40" i="21"/>
  <c r="AA40" i="21"/>
  <c r="AE40" i="21" s="1"/>
  <c r="AC42" i="21"/>
  <c r="AD42" i="21"/>
  <c r="AA42" i="21"/>
  <c r="AE42" i="21" s="1"/>
  <c r="AB39" i="21" l="1"/>
  <c r="AF39" i="21" s="1"/>
  <c r="AG39" i="21" s="1"/>
  <c r="AE43" i="21"/>
  <c r="AB43" i="21"/>
  <c r="AF43" i="21" s="1"/>
  <c r="AG43" i="21" s="1"/>
  <c r="AB40" i="21"/>
  <c r="AF40" i="21" s="1"/>
  <c r="AB42" i="21"/>
  <c r="AF42" i="21" s="1"/>
  <c r="AG42" i="21" s="1"/>
  <c r="N46" i="21" a="1"/>
  <c r="N46" i="21" s="1"/>
  <c r="AC46" i="21" l="1"/>
  <c r="P46" i="21"/>
  <c r="O46" i="21"/>
  <c r="AD46" i="21" l="1"/>
  <c r="AA46" i="21"/>
  <c r="AE46" i="21" l="1"/>
  <c r="AB46" i="21"/>
  <c r="AF46" i="21" s="1"/>
  <c r="AG46" i="21" s="1"/>
  <c r="N45" i="21" l="1" a="1"/>
  <c r="O45" i="21" s="1"/>
  <c r="P45" i="21" l="1"/>
  <c r="N45" i="21"/>
  <c r="AC45" i="21" l="1"/>
  <c r="AD45" i="21"/>
  <c r="AA45" i="21"/>
  <c r="AE45" i="21" s="1"/>
  <c r="AB45" i="21" l="1"/>
  <c r="AF45" i="21" s="1"/>
  <c r="N34" i="16" a="1"/>
  <c r="O34" i="16" s="1"/>
  <c r="N34" i="16" l="1"/>
  <c r="AA34" i="16" s="1"/>
  <c r="AE34" i="16" s="1"/>
  <c r="P34" i="16"/>
  <c r="AC34" i="16" l="1"/>
  <c r="AB34" i="16"/>
  <c r="AF34" i="16" s="1"/>
  <c r="AG34" i="16" s="1"/>
  <c r="AD34" i="16"/>
  <c r="N33" i="21" l="1" a="1"/>
  <c r="P33" i="21" s="1"/>
  <c r="O33" i="21" l="1"/>
  <c r="N33" i="21"/>
  <c r="AA33" i="21" l="1"/>
  <c r="AE33" i="21" s="1"/>
  <c r="AD33" i="21"/>
  <c r="AC33" i="21"/>
  <c r="AB33" i="21" l="1"/>
  <c r="AF33" i="21" s="1"/>
  <c r="AG33" i="21" s="1"/>
  <c r="N39" i="15" l="1" a="1"/>
  <c r="P39" i="15" s="1"/>
  <c r="N45" i="15" a="1"/>
  <c r="P45" i="15" s="1"/>
  <c r="O39" i="15" l="1"/>
  <c r="N39" i="15"/>
  <c r="N45" i="15"/>
  <c r="O45" i="15"/>
  <c r="AA45" i="15" l="1"/>
  <c r="AE45" i="15" s="1"/>
  <c r="AD45" i="15"/>
  <c r="AC45" i="15"/>
  <c r="AC39" i="15"/>
  <c r="AA39" i="15"/>
  <c r="AE39" i="15" s="1"/>
  <c r="AD39" i="15"/>
  <c r="AB45" i="15" l="1"/>
  <c r="AF45" i="15" s="1"/>
  <c r="AG45" i="15" s="1"/>
  <c r="AB39" i="15"/>
  <c r="AF39" i="15" s="1"/>
  <c r="AG39" i="15" s="1"/>
  <c r="N43" i="16" l="1" a="1"/>
  <c r="O43" i="16" s="1"/>
  <c r="N43" i="16" l="1"/>
  <c r="P43" i="16"/>
  <c r="AC43" i="16" l="1"/>
  <c r="AA43" i="16"/>
  <c r="AE43" i="16" s="1"/>
  <c r="AD43" i="16"/>
  <c r="AB43" i="16" l="1"/>
  <c r="AF43" i="16" s="1"/>
  <c r="N44" i="16" l="1" a="1"/>
  <c r="P44" i="16" s="1"/>
  <c r="N44" i="16" l="1"/>
  <c r="O44" i="16"/>
  <c r="AD44" i="16" l="1"/>
  <c r="AA44" i="16"/>
  <c r="AE44" i="16" s="1"/>
  <c r="AC44" i="16"/>
  <c r="AB44" i="16" l="1"/>
  <c r="AF44" i="16" s="1"/>
  <c r="AG44" i="16" s="1"/>
  <c r="AH44" i="16" l="1"/>
  <c r="AH42" i="16"/>
  <c r="AH46" i="16"/>
  <c r="AH36" i="16"/>
  <c r="AH37" i="16"/>
  <c r="AH34" i="16"/>
  <c r="AH40" i="16"/>
  <c r="AH39" i="16"/>
  <c r="AH35" i="16"/>
  <c r="AO37" i="16" s="1"/>
  <c r="AH33" i="16"/>
  <c r="AO36" i="16" s="1"/>
  <c r="N35" i="15" a="1"/>
  <c r="P35" i="15" s="1"/>
  <c r="AI49" i="16" l="1"/>
  <c r="AO39" i="16"/>
  <c r="N35" i="15"/>
  <c r="O35" i="15"/>
  <c r="AD35" i="15" l="1"/>
  <c r="AA35" i="15"/>
  <c r="AE35" i="15" s="1"/>
  <c r="AC35" i="15"/>
  <c r="N44" i="15" a="1"/>
  <c r="N44" i="15" s="1"/>
  <c r="AB35" i="15" l="1"/>
  <c r="AF35" i="15" s="1"/>
  <c r="AG35" i="15" s="1"/>
  <c r="AC44" i="15"/>
  <c r="P44" i="15"/>
  <c r="O44" i="15"/>
  <c r="AD44" i="15" l="1"/>
  <c r="AA44" i="15"/>
  <c r="AE44" i="15" l="1"/>
  <c r="AB44" i="15"/>
  <c r="AF44" i="15" s="1"/>
  <c r="AG44" i="15" s="1"/>
  <c r="AH33" i="15" s="1"/>
  <c r="AH39" i="15" l="1"/>
  <c r="AH43" i="15"/>
  <c r="AH35" i="15"/>
  <c r="AO37" i="15" s="1"/>
  <c r="AH34" i="15"/>
  <c r="AH46" i="15"/>
  <c r="AH44" i="15"/>
  <c r="AH42" i="15"/>
  <c r="AH37" i="15"/>
  <c r="AO36" i="15"/>
  <c r="AH40" i="15"/>
  <c r="AO39" i="15" s="1"/>
  <c r="AH45" i="15"/>
  <c r="AI47" i="15" l="1"/>
  <c r="N44" i="21" a="1"/>
  <c r="N44" i="21" s="1"/>
  <c r="AC44" i="21" l="1"/>
  <c r="O44" i="21"/>
  <c r="P44" i="21"/>
  <c r="AA44" i="21" l="1"/>
  <c r="AD44" i="21"/>
  <c r="AE44" i="21" l="1"/>
  <c r="AB44" i="21"/>
  <c r="AF44" i="21" s="1"/>
  <c r="AG44" i="21" s="1"/>
  <c r="AH33" i="21" l="1"/>
  <c r="AH46" i="21"/>
  <c r="AH44" i="21"/>
  <c r="AH42" i="21"/>
  <c r="AH39" i="21"/>
  <c r="AH37" i="21"/>
  <c r="AH35" i="21"/>
  <c r="AH34" i="21"/>
  <c r="AH43" i="21"/>
  <c r="AI48" i="21" l="1"/>
  <c r="N36" i="22" a="1"/>
  <c r="P36" i="22" s="1"/>
  <c r="N39" i="22" a="1"/>
  <c r="P39" i="22" s="1"/>
  <c r="N40" i="22" a="1"/>
  <c r="O40" i="22" s="1"/>
  <c r="N42" i="22" a="1"/>
  <c r="N42" i="22" s="1"/>
  <c r="N46" i="22" a="1"/>
  <c r="N46" i="22" s="1"/>
  <c r="N43" i="22" a="1"/>
  <c r="N43" i="22" s="1"/>
  <c r="N47" i="22" a="1"/>
  <c r="N47" i="22" s="1"/>
  <c r="AC47" i="22" l="1"/>
  <c r="AC43" i="22"/>
  <c r="AC46" i="22"/>
  <c r="AC42" i="22"/>
  <c r="N39" i="22"/>
  <c r="P46" i="22"/>
  <c r="O47" i="22"/>
  <c r="O43" i="22"/>
  <c r="N40" i="22"/>
  <c r="AD40" i="22" s="1"/>
  <c r="P42" i="22"/>
  <c r="O36" i="22"/>
  <c r="O46" i="22"/>
  <c r="O39" i="22"/>
  <c r="P43" i="22"/>
  <c r="O42" i="22"/>
  <c r="N36" i="22"/>
  <c r="P40" i="22"/>
  <c r="P47" i="22"/>
  <c r="AA40" i="22" l="1"/>
  <c r="AE40" i="22" s="1"/>
  <c r="AC39" i="22"/>
  <c r="AC36" i="22"/>
  <c r="AD42" i="22"/>
  <c r="AA42" i="22"/>
  <c r="AA39" i="22"/>
  <c r="AE39" i="22" s="1"/>
  <c r="AD39" i="22"/>
  <c r="AC40" i="22"/>
  <c r="AA43" i="22"/>
  <c r="AD43" i="22"/>
  <c r="AA46" i="22"/>
  <c r="AD46" i="22"/>
  <c r="AA36" i="22"/>
  <c r="AE36" i="22" s="1"/>
  <c r="AD36" i="22"/>
  <c r="AA47" i="22"/>
  <c r="AD47" i="22"/>
  <c r="AB40" i="22" l="1"/>
  <c r="AF40" i="22" s="1"/>
  <c r="AH51" i="22" s="1"/>
  <c r="AE43" i="22"/>
  <c r="AB43" i="22"/>
  <c r="AF43" i="22" s="1"/>
  <c r="AE47" i="22"/>
  <c r="AB47" i="22"/>
  <c r="AF47" i="22" s="1"/>
  <c r="AE42" i="22"/>
  <c r="AB42" i="22"/>
  <c r="AF42" i="22" s="1"/>
  <c r="AG42" i="22" s="1"/>
  <c r="AB36" i="22"/>
  <c r="AF36" i="22" s="1"/>
  <c r="AB39" i="22"/>
  <c r="AF39" i="22" s="1"/>
  <c r="AG39" i="22" s="1"/>
  <c r="AE46" i="22"/>
  <c r="AB46" i="22"/>
  <c r="AF46" i="22" s="1"/>
  <c r="AH52" i="22" l="1"/>
  <c r="AG46" i="22"/>
  <c r="N35" i="22" a="1"/>
  <c r="O35" i="22" s="1"/>
  <c r="N37" i="22" a="1"/>
  <c r="O37" i="22" s="1"/>
  <c r="P37" i="22" l="1"/>
  <c r="N37" i="22"/>
  <c r="P35" i="22"/>
  <c r="N35" i="22"/>
  <c r="AA35" i="22" s="1"/>
  <c r="AE35" i="22" s="1"/>
  <c r="AC37" i="22" l="1"/>
  <c r="AA37" i="22"/>
  <c r="AE37" i="22" s="1"/>
  <c r="AD37" i="22"/>
  <c r="AB35" i="22"/>
  <c r="AF35" i="22" s="1"/>
  <c r="AC35" i="22"/>
  <c r="AD35" i="22"/>
  <c r="AB37" i="22" l="1"/>
  <c r="AF37" i="22" s="1"/>
  <c r="AG35" i="22"/>
  <c r="AG49" i="22"/>
  <c r="AG50" i="22" l="1"/>
  <c r="N44" i="22" a="1"/>
  <c r="P44" i="22" s="1"/>
  <c r="AO39" i="22"/>
  <c r="N44" i="22" l="1"/>
  <c r="O44" i="22"/>
  <c r="AA44" i="22" l="1"/>
  <c r="AE44" i="22" s="1"/>
  <c r="AD44" i="22"/>
  <c r="AC44" i="22"/>
  <c r="AB44" i="22" l="1"/>
  <c r="AF44" i="22" s="1"/>
  <c r="AG44" i="22" s="1"/>
  <c r="N34" i="22" l="1" a="1"/>
  <c r="O34" i="22" s="1"/>
  <c r="P34" i="22" l="1"/>
  <c r="N34" i="22"/>
  <c r="AC34" i="22" l="1"/>
  <c r="AD34" i="22"/>
  <c r="AA34" i="22"/>
  <c r="AE34" i="22" s="1"/>
  <c r="AB34" i="22" l="1"/>
  <c r="AF34" i="22" s="1"/>
  <c r="N45" i="22" a="1"/>
  <c r="O45" i="22" s="1"/>
  <c r="N45" i="22" l="1"/>
  <c r="P45" i="22"/>
  <c r="AC45" i="22" l="1"/>
  <c r="AA45" i="22"/>
  <c r="AE45" i="22" s="1"/>
  <c r="AD45" i="22"/>
  <c r="AB45" i="22" l="1"/>
  <c r="AF45" i="22" s="1"/>
  <c r="N33" i="22" a="1"/>
  <c r="O33" i="22" s="1"/>
  <c r="P33" i="22" l="1"/>
  <c r="N33" i="22"/>
  <c r="AC33" i="22" l="1"/>
  <c r="AD33" i="22"/>
  <c r="AA33" i="22"/>
  <c r="AE33" i="22" s="1"/>
  <c r="AB33" i="22" l="1"/>
  <c r="AF33" i="22" s="1"/>
  <c r="AG33" i="22" s="1"/>
  <c r="AH33" i="22" l="1"/>
  <c r="AH35" i="22"/>
  <c r="AH39" i="22"/>
  <c r="AH44" i="22"/>
  <c r="AH46" i="22"/>
  <c r="AH42" i="22"/>
  <c r="AI49" i="22" l="1"/>
  <c r="AO37" i="22"/>
  <c r="AO36" i="22"/>
</calcChain>
</file>

<file path=xl/sharedStrings.xml><?xml version="1.0" encoding="utf-8"?>
<sst xmlns="http://schemas.openxmlformats.org/spreadsheetml/2006/main" count="618" uniqueCount="199">
  <si>
    <t>H+</t>
  </si>
  <si>
    <t>H2(g)</t>
  </si>
  <si>
    <t>H2O(l)</t>
  </si>
  <si>
    <t>H2O calculated with electronic energy + solvation + vibrational contributions</t>
  </si>
  <si>
    <t>OH-</t>
  </si>
  <si>
    <t>free en (kcal/mol)</t>
  </si>
  <si>
    <t>grand pot (kcal/mol)</t>
  </si>
  <si>
    <t>H</t>
  </si>
  <si>
    <t>pH</t>
  </si>
  <si>
    <t>O</t>
  </si>
  <si>
    <t>-U vs. RHE</t>
  </si>
  <si>
    <t>e-</t>
  </si>
  <si>
    <t>Applied shift in electronic energy, positive means negative potential</t>
  </si>
  <si>
    <t># elec at ntrl</t>
  </si>
  <si>
    <t># elec at min</t>
  </si>
  <si>
    <t>G(Hartree)</t>
  </si>
  <si>
    <t>a</t>
  </si>
  <si>
    <t>b</t>
  </si>
  <si>
    <t>c</t>
  </si>
  <si>
    <t>Potential</t>
  </si>
  <si>
    <t>first derivative equals 0</t>
  </si>
  <si>
    <t>shifted to potential</t>
  </si>
  <si>
    <t>kcal/mol</t>
  </si>
  <si>
    <t>hartree</t>
  </si>
  <si>
    <t>graphene</t>
  </si>
  <si>
    <t>graphitic</t>
  </si>
  <si>
    <t>pyrollic</t>
  </si>
  <si>
    <t>pyridinic</t>
  </si>
  <si>
    <t>pyridinic-O</t>
  </si>
  <si>
    <t>H2</t>
  </si>
  <si>
    <t>H (hartree)</t>
  </si>
  <si>
    <t>free energy H kcal</t>
  </si>
  <si>
    <t>C</t>
  </si>
  <si>
    <t>N</t>
  </si>
  <si>
    <t>Cdiff</t>
  </si>
  <si>
    <t>charge</t>
  </si>
  <si>
    <t>Pt:</t>
  </si>
  <si>
    <t>PZC</t>
  </si>
  <si>
    <t>H2 Granc Canonical (Hartree)</t>
  </si>
  <si>
    <t>Binding</t>
  </si>
  <si>
    <t>RHE (hartree)</t>
  </si>
  <si>
    <t>HER volmer</t>
  </si>
  <si>
    <t>GCP</t>
  </si>
  <si>
    <t>F</t>
  </si>
  <si>
    <t>slope</t>
  </si>
  <si>
    <t>graphtiic</t>
  </si>
  <si>
    <t>pyrrolic</t>
  </si>
  <si>
    <t># of electrons</t>
  </si>
  <si>
    <t>area</t>
  </si>
  <si>
    <t>m^2</t>
  </si>
  <si>
    <t>cm^2</t>
  </si>
  <si>
    <t>charge of elecron</t>
  </si>
  <si>
    <t>C/e-</t>
  </si>
  <si>
    <t>planck's constant</t>
  </si>
  <si>
    <t>J s</t>
  </si>
  <si>
    <t>R/F</t>
  </si>
  <si>
    <t>Boltzmann's constant</t>
  </si>
  <si>
    <t>J/K</t>
  </si>
  <si>
    <t>kB/e-</t>
  </si>
  <si>
    <t>temperature</t>
  </si>
  <si>
    <t>Kelvin</t>
  </si>
  <si>
    <t>Over potential</t>
  </si>
  <si>
    <t>V</t>
  </si>
  <si>
    <t>BV Equation:</t>
  </si>
  <si>
    <t>kt/h(exp(-dGf/kT) - exp((-dGr - U)/kT))</t>
  </si>
  <si>
    <t>HOH</t>
  </si>
  <si>
    <t>HOOH</t>
  </si>
  <si>
    <t>dGf</t>
  </si>
  <si>
    <t>dGr - U</t>
  </si>
  <si>
    <t>Forward Barrier (eV)</t>
  </si>
  <si>
    <t>Current (mA/cm^2)</t>
  </si>
  <si>
    <t>Ln(current)</t>
  </si>
  <si>
    <t>Ru lattice</t>
  </si>
  <si>
    <t>m</t>
  </si>
  <si>
    <t>factor</t>
  </si>
  <si>
    <t>13 pH</t>
  </si>
  <si>
    <t>0 pH</t>
  </si>
  <si>
    <t>H2O in solution</t>
  </si>
  <si>
    <t>OH in solution</t>
  </si>
  <si>
    <t>diff</t>
  </si>
  <si>
    <t>U</t>
  </si>
  <si>
    <t>0.05 V</t>
  </si>
  <si>
    <t>0 V</t>
  </si>
  <si>
    <t>- 0.1V</t>
  </si>
  <si>
    <t>potential at full coverage</t>
  </si>
  <si>
    <t>ch1/graphi_Ru39_H1_1_sol.out:        F =    -3897.1201366305272131</t>
  </si>
  <si>
    <t>Hydrogen entropy</t>
  </si>
  <si>
    <t>J/molK</t>
  </si>
  <si>
    <t>eV/K</t>
  </si>
  <si>
    <t>eV at T</t>
  </si>
  <si>
    <t>concentration</t>
  </si>
  <si>
    <t>tafel</t>
  </si>
  <si>
    <t>H4</t>
  </si>
  <si>
    <t>H13</t>
  </si>
  <si>
    <t>ch0/graphi_Ru39_0_sol.out:        F =    -3896.6894119404528283</t>
  </si>
  <si>
    <t>ch0/graphi_Ru39_H10_0_sol.out:        F =    -3902.7472986096231580</t>
  </si>
  <si>
    <t>ch0/graphi_Ru39_H10_-2_0_sol.out:        F =    -3901.5355819528303982</t>
  </si>
  <si>
    <t>ch0/graphi_Ru39_H1_0_sol.out:        F =    -3897.2893974659459673</t>
  </si>
  <si>
    <t>ch0/graphi_Ru39_H12_0_sol.out:        F =    -3903.9382341917857957</t>
  </si>
  <si>
    <t>ch0/graphi_Ru39_H13_0_sol.out:        F =    -3904.5464573350900537</t>
  </si>
  <si>
    <t>ch0/graphi_Ru39_H13_-2_0_sol.out:        F =    -3903.3415917060610809</t>
  </si>
  <si>
    <t>ch0/graphi_Ru39_H14_0_sol.out:        F =    -3905.1027330056281244</t>
  </si>
  <si>
    <t>ch0/graphi_Ru39_H2_0_sol.out:        F =    -3897.9066688168772998</t>
  </si>
  <si>
    <t>ch0/graphi_Ru39_H3_0_sol.out:        F =    -3898.4998259916710595</t>
  </si>
  <si>
    <t>ch0/graphi_Ru39_H4_0_sol.out:        F =    -3899.1183312652938184</t>
  </si>
  <si>
    <t>ch0/graphi_Ru39_H4_-2_0_sol.out:        F =    -3897.9003290216296591</t>
  </si>
  <si>
    <t>ch0/graphi_Ru39_H6_0_sol.out:        F =    -3900.3312640841695611</t>
  </si>
  <si>
    <t>ch0/graphi_Ru39_H7_0_sol.out:        F =    -3900.9324700236293211</t>
  </si>
  <si>
    <t>ch0/graphi_Ru39_H7_-2_0_sol.out:        F =    -3899.7269147847714521</t>
  </si>
  <si>
    <t>ch0/graphi_Ru39_H9_0_sol.out:        F =    -3902.1395688372822406</t>
  </si>
  <si>
    <t>ch0/graphi_Ru39_sp0_0_sol.out:        F =    -3896.6806288891202712</t>
  </si>
  <si>
    <t>ch1/graphi_Ru39_H10_1_sol.out:        F =    -3902.5762214735200359</t>
  </si>
  <si>
    <t>ch1/graphi_Ru39_H1_1_sol.out:        F =    -3897.1201366339905690</t>
  </si>
  <si>
    <t>ch1/graphi_Ru39_H12_1_sol.out:        F =    -3903.7720142862062858</t>
  </si>
  <si>
    <t>ch1/graphi_Ru39_H13_1_sol.out:        F =    -3904.3794513283323795</t>
  </si>
  <si>
    <t>ch1/graphi_Ru39_H14_1_sol.out:        F =    -3904.9379819238770324</t>
  </si>
  <si>
    <t>ch1/graphi_Ru39_H2_1_sol.out:        F =    -3897.7355779849867758</t>
  </si>
  <si>
    <t>ch1/graphi_Ru39_H3_1_sol.out:        F =    -3898.3295296888777557</t>
  </si>
  <si>
    <t>ch1/graphi_Ru39_H4_1_sol.out:        F =    -3898.9469193963814178</t>
  </si>
  <si>
    <t>ch1/graphi_Ru39_H6_1_sol.out:        F =    -3900.1606285137618215</t>
  </si>
  <si>
    <t>ch1/graphi_Ru39_H7_1_sol.out:        F =    -3900.7623917076757607</t>
  </si>
  <si>
    <t>ch1/graphi_Ru39_H9_1_sol.out:        F =    -3901.9701491455543874</t>
  </si>
  <si>
    <t>ch1/graphi_Ru39_sp0_1_sol.out:        F =    -3896.5114274156940155</t>
  </si>
  <si>
    <t>ch2/graphi_Ru39_H10_2_sol.out:        F =    -3902.3694411047540598</t>
  </si>
  <si>
    <t>ch2/graphi_Ru39_H12_2_sol.out:        F =    -3903.5695136380982149</t>
  </si>
  <si>
    <t>ch2/graphi_Ru39_H1_2_sol.out:        F =    -3896.9211089470591105</t>
  </si>
  <si>
    <t>ch2/graphi_Ru39_H13_2_sol.out:        F =    -3904.1757761906706037</t>
  </si>
  <si>
    <t>ch2/graphi_Ru39_H14_2_sol.out:        F =    -3904.7365153510272648</t>
  </si>
  <si>
    <t>ch2/graphi_Ru39_H2_2_sol.out:        F =    -3897.5339166957883208</t>
  </si>
  <si>
    <t>ch2/graphi_Ru39_H3_2_sol.out:        F =    -3898.1281533637134089</t>
  </si>
  <si>
    <t>ch2/graphi_Ru39_H4_2_sol.out:        F =    -3898.7433487307439464</t>
  </si>
  <si>
    <t>ch2/graphi_Ru39_H6_2_sol.out:        F =    -3899.9562166602008801</t>
  </si>
  <si>
    <t>ch2/graphi_Ru39_H7_2_sol.out:        F =    -3900.5580685564364103</t>
  </si>
  <si>
    <t>ch2/graphi_Ru39_H9_2_sol.out:        F =    -3901.7655665539045913</t>
  </si>
  <si>
    <t>ch2/graphi_Ru39_sp0_2_sol.out:        F =    -3896.3129424093758644</t>
  </si>
  <si>
    <t>H6</t>
  </si>
  <si>
    <t>H9</t>
  </si>
  <si>
    <t>H11</t>
  </si>
  <si>
    <t>with 11 inserted</t>
  </si>
  <si>
    <t xml:space="preserve"> </t>
  </si>
  <si>
    <t>The original graphe_Ru39_H9 was found to be too high.  Found alternative by starting with graphe_Ru39_H10 and finding the best:  graphe_Ru39_H9_f.out</t>
  </si>
  <si>
    <t xml:space="preserve">from, graphe_Ru39_H9_f.out, found 5 alternates with 4 neighbors and </t>
  </si>
  <si>
    <t>saved in H9_stuff.txt</t>
  </si>
  <si>
    <t>Trying to find a lower H11:  graphi_Ru39_H11_f</t>
  </si>
  <si>
    <t>Trying to find a lower final graphi_Ru39_H13_-2a, graphi_Ru39_H13_-2b</t>
  </si>
  <si>
    <t>pyrr_Ru39_H9_f was found not to be lower than pyrr_Ru39_H9</t>
  </si>
  <si>
    <t>Tried to find better final state for pyrr_Ru39_H9_-2</t>
  </si>
  <si>
    <t>best candidates is pyrr_Ru39_H9_-2e</t>
  </si>
  <si>
    <t>found a lower H9:  H9_f</t>
  </si>
  <si>
    <t xml:space="preserve">trying to find lower H9_f_-2:  </t>
  </si>
  <si>
    <t>found lowest graphe_Ru39_H9_f_-2:  graphe_Ru39_H9_f_-2d</t>
  </si>
  <si>
    <t>found lowest graphi_Ru39_H9_f_-2:  graphi_Ru39_H9_f_-2c.out</t>
  </si>
  <si>
    <t>ch0/pyri_Ru39_0_sol.out:        F =    -3894.9865615656435693</t>
  </si>
  <si>
    <t>ch0/pyri_Ru39_H11_0_sol.out:        F =    -3901.6461239025202303</t>
  </si>
  <si>
    <t>ch0/pyri_Ru39_H13_0_sol.out:        F =    -3902.8452719331639855</t>
  </si>
  <si>
    <t>ch0/pyri_Ru39_H2_0_sol.out:        F =    -3896.2061990586753382</t>
  </si>
  <si>
    <t>ch0/pyri_Ru39_H9_0_sol.out:        F =    -3900.4401561965687506</t>
  </si>
  <si>
    <t>ch1/pyri_Ru39_1_sol.out:        F =    -3894.8109311305402116</t>
  </si>
  <si>
    <t>ch1/pyri_Ru39_H11_1_sol.out:        F =    -3901.4734455689481365</t>
  </si>
  <si>
    <t>ch1/pyri_Ru39_H13_1_sol.out:        F =    -3902.6729186560201015</t>
  </si>
  <si>
    <t>ch1/pyri_Ru39_H2_1_sol.out:        F =    -3896.0310232912420361</t>
  </si>
  <si>
    <t>ch1/pyri_Ru39_H9_1_sol.out:        F =    -3900.2662562136310953</t>
  </si>
  <si>
    <t>ch2/pyri_Ru39_2_sol.out:        F =    -3894.6054240168978140</t>
  </si>
  <si>
    <t>ch2/pyri_Ru39_H11_2_sol.out:        F =    -3901.2640023190433567</t>
  </si>
  <si>
    <t>ch2/pyri_Ru39_H13_2_sol.out:        F =    -3902.4631369697885930</t>
  </si>
  <si>
    <t>ch2/pyri_Ru39_H2_2_sol.out:        F =    -3895.8247992621195408</t>
  </si>
  <si>
    <t>ch2/pyri_Ru39_H9_2_sol.out:        F =    -3900.0564224712657051</t>
  </si>
  <si>
    <t>Trying to find a lower final graphi_Ru39_H13_-2f</t>
  </si>
  <si>
    <t>Trying to find a lower H11:  graphi_Ru39_H11_a to b</t>
  </si>
  <si>
    <t>9_alt</t>
  </si>
  <si>
    <t>2 and 6 already removed</t>
  </si>
  <si>
    <t>8 and 13 removed</t>
  </si>
  <si>
    <t xml:space="preserve">13:  12.7156194057   -5.3164933865  </t>
  </si>
  <si>
    <t>8:   13.4348600744    8.2384850181</t>
  </si>
  <si>
    <t>pyri_Ru39_H9a.in</t>
  </si>
  <si>
    <t>find lower H2   pyri_Ru39_H2f.in</t>
  </si>
  <si>
    <t>11_b lower</t>
  </si>
  <si>
    <t>remove 11 and 12</t>
  </si>
  <si>
    <t>remove 4, 6, 2, 10</t>
  </si>
  <si>
    <t>try to find lower H11_a_-2</t>
  </si>
  <si>
    <t>pyri_Ru39_H9a_-2d_0_s</t>
  </si>
  <si>
    <t>best final</t>
  </si>
  <si>
    <t>find lower H13_-2</t>
  </si>
  <si>
    <t>H10</t>
  </si>
  <si>
    <t>changed the bottom _sp</t>
  </si>
  <si>
    <t>tried to change base bottom:</t>
  </si>
  <si>
    <t>pyri_Ru39_H11_b_sp.in</t>
  </si>
  <si>
    <t>OH</t>
  </si>
  <si>
    <t>H2O</t>
  </si>
  <si>
    <t>ZPE</t>
  </si>
  <si>
    <t>ZPE H2 B3LYP</t>
  </si>
  <si>
    <t>TS</t>
  </si>
  <si>
    <t>ZPE-TS</t>
  </si>
  <si>
    <t>B2PLYP STO3G</t>
  </si>
  <si>
    <t>N-HGC (experiment)</t>
  </si>
  <si>
    <t>This number is +0.02 of current numbers</t>
  </si>
  <si>
    <t>there is a shift, so -0.08 = -0.1</t>
  </si>
  <si>
    <t>potential (V vs RHE)</t>
  </si>
  <si>
    <t># of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</si>
</sst>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"/>
    <numFmt numFmtId="165" formatCode="0.000000"/>
    <numFmt numFmtId="166" formatCode="0.0000E+00"/>
    <numFmt numFmtId="167" formatCode="[$$-409]#,##0.00;[Red]&quot;-&quot;[$$-409]#,##0.00"/>
    <numFmt numFmtId="168" formatCode="0.0000"/>
    <numFmt numFmtId="169" formatCode="0.000000E+00"/>
    <numFmt numFmtId="170" formatCode="0.00000000000000"/>
    <numFmt numFmtId="171" formatCode="0.00000000"/>
    <numFmt numFmtId="172" formatCode="0.0000000"/>
    <numFmt numFmtId="173" formatCode="0.00000000E+00"/>
    <numFmt numFmtId="174" formatCode="0.000"/>
    <numFmt numFmtId="175" formatCode="0.0000000000"/>
  </numFmts>
  <fonts count="14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sz val="11"/>
      <color rgb="FF000000"/>
      <name val="Menlo-Regula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FF0000"/>
      <name val="Liberation Sans"/>
    </font>
    <font>
      <sz val="11"/>
      <color theme="1"/>
      <name val="Calibri"/>
      <family val="2"/>
    </font>
    <font>
      <sz val="11"/>
      <color theme="1"/>
      <name val="Liberation Sans"/>
    </font>
    <font>
      <sz val="11"/>
      <color rgb="FF202124"/>
      <name val="Roboto"/>
    </font>
    <font>
      <sz val="14"/>
      <color rgb="FF000000"/>
      <name val="Times New Roman"/>
      <family val="1"/>
    </font>
    <font>
      <u/>
      <sz val="11"/>
      <color theme="10"/>
      <name val="Liberation Sans"/>
    </font>
    <font>
      <sz val="10"/>
      <color rgb="FF000000"/>
      <name val="Arial"/>
      <family val="2"/>
    </font>
    <font>
      <b/>
      <u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7" fontId="2" fillId="0" borderId="0" applyBorder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11" fontId="0" fillId="0" borderId="0" xfId="0" applyNumberFormat="1"/>
    <xf numFmtId="168" fontId="0" fillId="0" borderId="0" xfId="0" applyNumberFormat="1"/>
    <xf numFmtId="2" fontId="0" fillId="2" borderId="0" xfId="0" applyNumberFormat="1" applyFill="1"/>
    <xf numFmtId="169" fontId="0" fillId="0" borderId="0" xfId="0" applyNumberFormat="1"/>
    <xf numFmtId="11" fontId="3" fillId="0" borderId="0" xfId="0" applyNumberFormat="1" applyFont="1"/>
    <xf numFmtId="11" fontId="0" fillId="2" borderId="0" xfId="0" applyNumberFormat="1" applyFill="1"/>
    <xf numFmtId="0" fontId="5" fillId="0" borderId="0" xfId="0" applyFont="1"/>
    <xf numFmtId="170" fontId="0" fillId="0" borderId="0" xfId="0" applyNumberFormat="1"/>
    <xf numFmtId="171" fontId="0" fillId="0" borderId="0" xfId="0" applyNumberFormat="1"/>
    <xf numFmtId="0" fontId="6" fillId="0" borderId="0" xfId="0" applyFont="1"/>
    <xf numFmtId="0" fontId="0" fillId="3" borderId="0" xfId="0" applyFill="1"/>
    <xf numFmtId="11" fontId="0" fillId="3" borderId="0" xfId="0" applyNumberFormat="1" applyFill="1"/>
    <xf numFmtId="0" fontId="7" fillId="0" borderId="0" xfId="0" applyFont="1"/>
    <xf numFmtId="1" fontId="0" fillId="0" borderId="0" xfId="0" applyNumberFormat="1"/>
    <xf numFmtId="172" fontId="0" fillId="0" borderId="0" xfId="0" applyNumberFormat="1"/>
    <xf numFmtId="11" fontId="0" fillId="0" borderId="0" xfId="0" quotePrefix="1" applyNumberFormat="1"/>
    <xf numFmtId="0" fontId="8" fillId="0" borderId="0" xfId="0" applyFont="1"/>
    <xf numFmtId="0" fontId="6" fillId="2" borderId="0" xfId="0" applyFont="1" applyFill="1"/>
    <xf numFmtId="173" fontId="0" fillId="0" borderId="0" xfId="0" applyNumberFormat="1"/>
    <xf numFmtId="0" fontId="9" fillId="0" borderId="0" xfId="0" applyFont="1"/>
    <xf numFmtId="174" fontId="0" fillId="0" borderId="0" xfId="0" applyNumberFormat="1"/>
    <xf numFmtId="0" fontId="4" fillId="0" borderId="0" xfId="0" applyFont="1"/>
    <xf numFmtId="2" fontId="0" fillId="3" borderId="0" xfId="0" applyNumberFormat="1" applyFill="1"/>
    <xf numFmtId="175" fontId="0" fillId="0" borderId="0" xfId="0" applyNumberFormat="1"/>
    <xf numFmtId="2" fontId="6" fillId="0" borderId="0" xfId="0" applyNumberFormat="1" applyFont="1"/>
    <xf numFmtId="175" fontId="0" fillId="2" borderId="0" xfId="0" applyNumberFormat="1" applyFill="1"/>
    <xf numFmtId="165" fontId="0" fillId="2" borderId="0" xfId="0" applyNumberFormat="1" applyFill="1"/>
    <xf numFmtId="0" fontId="0" fillId="4" borderId="0" xfId="0" applyFill="1"/>
    <xf numFmtId="0" fontId="8" fillId="4" borderId="0" xfId="0" applyFont="1" applyFill="1"/>
    <xf numFmtId="0" fontId="10" fillId="0" borderId="0" xfId="0" applyFont="1"/>
    <xf numFmtId="2" fontId="11" fillId="0" borderId="0" xfId="5" applyNumberForma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pyridinic'!$A$41:$A$47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xVal>
          <c:yVal>
            <c:numRef>
              <c:f>'pourbaix pyridinic'!$AG$41:$AG$47</c:f>
              <c:numCache>
                <c:formatCode>0.00</c:formatCode>
                <c:ptCount val="7"/>
                <c:pt idx="1">
                  <c:v>-103564.65922955889</c:v>
                </c:pt>
                <c:pt idx="3">
                  <c:v>-103564.6611085755</c:v>
                </c:pt>
                <c:pt idx="5">
                  <c:v>-103564.63947267371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6-4C52-8570-84BE85EE1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79024"/>
        <c:axId val="544376144"/>
      </c:scatterChart>
      <c:valAx>
        <c:axId val="54437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6144"/>
        <c:crosses val="autoZero"/>
        <c:crossBetween val="midCat"/>
      </c:valAx>
      <c:valAx>
        <c:axId val="5443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0.05</a:t>
            </a:r>
            <a:r>
              <a:rPr lang="en-US" baseline="0"/>
              <a:t> 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pyridinic'!$AL$36:$AL$40</c:f>
              <c:numCache>
                <c:formatCode>0.00</c:formatCode>
                <c:ptCount val="5"/>
                <c:pt idx="0">
                  <c:v>0</c:v>
                </c:pt>
                <c:pt idx="1">
                  <c:v>22.222222222222221</c:v>
                </c:pt>
                <c:pt idx="2">
                  <c:v>55.555555555555557</c:v>
                </c:pt>
                <c:pt idx="3">
                  <c:v>77.777777777777786</c:v>
                </c:pt>
                <c:pt idx="4">
                  <c:v>100</c:v>
                </c:pt>
              </c:numCache>
            </c:numRef>
          </c:xVal>
          <c:yVal>
            <c:numRef>
              <c:f>'pourbaix pyridinic'!$AM$36:$AM$40</c:f>
              <c:numCache>
                <c:formatCode>General</c:formatCode>
                <c:ptCount val="5"/>
                <c:pt idx="0">
                  <c:v>0</c:v>
                </c:pt>
                <c:pt idx="1">
                  <c:v>7.7603696860023774E-2</c:v>
                </c:pt>
                <c:pt idx="2">
                  <c:v>0.17291141122404952</c:v>
                </c:pt>
                <c:pt idx="3">
                  <c:v>0.36234219565812964</c:v>
                </c:pt>
                <c:pt idx="4">
                  <c:v>0.62238058961520437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49-4227-AC3D-83A2417CB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66168"/>
        <c:axId val="554864248"/>
      </c:scatterChart>
      <c:valAx>
        <c:axId val="554866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Hydrogen Coverage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864248"/>
        <c:crosses val="autoZero"/>
        <c:crossBetween val="midCat"/>
      </c:valAx>
      <c:valAx>
        <c:axId val="55486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86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pyridinic'!$AM$43:$AM$47</c:f>
              <c:numCache>
                <c:formatCode>General</c:formatCode>
                <c:ptCount val="5"/>
                <c:pt idx="0">
                  <c:v>0.15384615384615385</c:v>
                </c:pt>
                <c:pt idx="1">
                  <c:v>0.30769230769230771</c:v>
                </c:pt>
                <c:pt idx="2">
                  <c:v>0.53846153846153844</c:v>
                </c:pt>
                <c:pt idx="3">
                  <c:v>1</c:v>
                </c:pt>
                <c:pt idx="4">
                  <c:v>1.0769230769230769</c:v>
                </c:pt>
              </c:numCache>
            </c:numRef>
          </c:xVal>
          <c:yVal>
            <c:numRef>
              <c:f>'pourbaix pyridinic'!$AN$43:$AN$47</c:f>
              <c:numCache>
                <c:formatCode>0.00</c:formatCode>
                <c:ptCount val="5"/>
                <c:pt idx="0">
                  <c:v>0.12721348079902572</c:v>
                </c:pt>
                <c:pt idx="1">
                  <c:v>-1.8871144944030565E-2</c:v>
                </c:pt>
                <c:pt idx="2">
                  <c:v>-7.957130918835012E-2</c:v>
                </c:pt>
                <c:pt idx="3">
                  <c:v>-0.11396395223386269</c:v>
                </c:pt>
                <c:pt idx="4">
                  <c:v>-1.1269065447185249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7-471D-8A66-5834596FD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122568"/>
        <c:axId val="716123208"/>
      </c:scatterChart>
      <c:valAx>
        <c:axId val="71612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Coverage</a:t>
                </a:r>
                <a:r>
                  <a:rPr lang="en-US" baseline="0"/>
                  <a:t> (concentration in 13 atom surface)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23208"/>
        <c:crosses val="autoZero"/>
        <c:crossBetween val="midCat"/>
      </c:valAx>
      <c:valAx>
        <c:axId val="71612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22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pyridinic'!$AL$43:$AL$47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14</c:v>
                </c:pt>
              </c:numCache>
            </c:numRef>
          </c:xVal>
          <c:yVal>
            <c:numRef>
              <c:f>'pourbaix pyridinic'!$AN$43:$AN$47</c:f>
              <c:numCache>
                <c:formatCode>0.00</c:formatCode>
                <c:ptCount val="5"/>
                <c:pt idx="0">
                  <c:v>0.12721348079902572</c:v>
                </c:pt>
                <c:pt idx="1">
                  <c:v>-1.8871144944030565E-2</c:v>
                </c:pt>
                <c:pt idx="2">
                  <c:v>-7.957130918835012E-2</c:v>
                </c:pt>
                <c:pt idx="3">
                  <c:v>-0.11396395223386269</c:v>
                </c:pt>
                <c:pt idx="4">
                  <c:v>-1.1269065447185249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F-4EFB-982B-C2BE777E4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142408"/>
        <c:axId val="716142728"/>
      </c:scatterChart>
      <c:valAx>
        <c:axId val="716142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42728"/>
        <c:crosses val="autoZero"/>
        <c:crossBetween val="midCat"/>
      </c:valAx>
      <c:valAx>
        <c:axId val="71614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V vs RHE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4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pyrrolic'!$A$41:$A$47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xVal>
          <c:yVal>
            <c:numRef>
              <c:f>'pourbaix pyrrolic'!$AG$41:$AG$47</c:f>
              <c:numCache>
                <c:formatCode>0.00</c:formatCode>
                <c:ptCount val="7"/>
                <c:pt idx="1">
                  <c:v>-103288.71249686148</c:v>
                </c:pt>
                <c:pt idx="2">
                  <c:v>-103288.58563633212</c:v>
                </c:pt>
                <c:pt idx="3">
                  <c:v>-103288.42092464046</c:v>
                </c:pt>
                <c:pt idx="5">
                  <c:v>-103288.03716676992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A-4DE6-B3EC-97A4CF75B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79024"/>
        <c:axId val="544376144"/>
      </c:scatterChart>
      <c:valAx>
        <c:axId val="54437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6144"/>
        <c:crosses val="autoZero"/>
        <c:crossBetween val="midCat"/>
      </c:valAx>
      <c:valAx>
        <c:axId val="5443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graphitic'!$A$41:$A$47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xVal>
          <c:yVal>
            <c:numRef>
              <c:f>'pourbaix graphitic'!$AG$41:$AG$47</c:f>
              <c:numCache>
                <c:formatCode>0.00</c:formatCode>
                <c:ptCount val="7"/>
                <c:pt idx="1">
                  <c:v>-103595.58959348674</c:v>
                </c:pt>
                <c:pt idx="3">
                  <c:v>-103595.51192329259</c:v>
                </c:pt>
                <c:pt idx="5">
                  <c:v>-103595.43061699823</c:v>
                </c:pt>
                <c:pt idx="6">
                  <c:v>-55553.458336647884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4-432E-91AE-424B7E56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79024"/>
        <c:axId val="544376144"/>
      </c:scatterChart>
      <c:valAx>
        <c:axId val="54437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6144"/>
        <c:crosses val="autoZero"/>
        <c:crossBetween val="midCat"/>
      </c:valAx>
      <c:valAx>
        <c:axId val="5443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graphitic'!$AL$43:$AL$47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14</c:v>
                </c:pt>
              </c:numCache>
            </c:numRef>
          </c:xVal>
          <c:yVal>
            <c:numRef>
              <c:f>'pourbaix graphitic'!$AN$43:$AN$47</c:f>
              <c:numCache>
                <c:formatCode>0.00</c:formatCode>
                <c:ptCount val="5"/>
                <c:pt idx="0">
                  <c:v>0.12721348079902572</c:v>
                </c:pt>
                <c:pt idx="1">
                  <c:v>-1.8871144944030565E-2</c:v>
                </c:pt>
                <c:pt idx="2">
                  <c:v>-7.957130918835012E-2</c:v>
                </c:pt>
                <c:pt idx="3">
                  <c:v>-0.11396395223386269</c:v>
                </c:pt>
                <c:pt idx="4">
                  <c:v>-1.1269065447185249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3-4BCC-9FA4-188B891A9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142408"/>
        <c:axId val="716142728"/>
      </c:scatterChart>
      <c:valAx>
        <c:axId val="716142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42728"/>
        <c:crosses val="autoZero"/>
        <c:crossBetween val="midCat"/>
      </c:valAx>
      <c:valAx>
        <c:axId val="71614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V vs RHE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4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graphene'!$A$41:$A$47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</c:numCache>
            </c:numRef>
          </c:xVal>
          <c:yVal>
            <c:numRef>
              <c:f>'pourbaix graphene'!$AG$41:$AG$47</c:f>
              <c:numCache>
                <c:formatCode>0.00</c:formatCode>
                <c:ptCount val="7"/>
                <c:pt idx="1">
                  <c:v>-103321.15305072004</c:v>
                </c:pt>
                <c:pt idx="2">
                  <c:v>-103321.12239165475</c:v>
                </c:pt>
                <c:pt idx="3">
                  <c:v>-103321.17216765133</c:v>
                </c:pt>
                <c:pt idx="4">
                  <c:v>-103321.11971038823</c:v>
                </c:pt>
                <c:pt idx="5">
                  <c:v>-103321.07558129051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C-4AE7-83C4-FA6B4B16D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79024"/>
        <c:axId val="544376144"/>
      </c:scatterChart>
      <c:valAx>
        <c:axId val="54437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6144"/>
        <c:crosses val="autoZero"/>
        <c:crossBetween val="midCat"/>
      </c:valAx>
      <c:valAx>
        <c:axId val="5443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0.05</a:t>
            </a:r>
            <a:r>
              <a:rPr lang="en-US" baseline="0"/>
              <a:t> 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'pourbaix graphene'!$AL$36:$AL$40</c:f>
              <c:numCache>
                <c:formatCode>0.00</c:formatCode>
                <c:ptCount val="5"/>
                <c:pt idx="0">
                  <c:v>0</c:v>
                </c:pt>
                <c:pt idx="1">
                  <c:v>22.222222222222221</c:v>
                </c:pt>
                <c:pt idx="2">
                  <c:v>55.555555555555557</c:v>
                </c:pt>
                <c:pt idx="3">
                  <c:v>77.777777777777786</c:v>
                </c:pt>
                <c:pt idx="4">
                  <c:v>100</c:v>
                </c:pt>
              </c:numCache>
            </c:numRef>
          </c:xVal>
          <c:yVal>
            <c:numRef>
              <c:f>'pourbaix graphene'!$AM$36:$AM$40</c:f>
              <c:numCache>
                <c:formatCode>General</c:formatCode>
                <c:ptCount val="5"/>
                <c:pt idx="0">
                  <c:v>0</c:v>
                </c:pt>
                <c:pt idx="1">
                  <c:v>7.7603696860023774E-2</c:v>
                </c:pt>
                <c:pt idx="2">
                  <c:v>0.17291141122404952</c:v>
                </c:pt>
                <c:pt idx="3">
                  <c:v>0.36234219565812964</c:v>
                </c:pt>
                <c:pt idx="4">
                  <c:v>0.62238058961520437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5-49D0-AE8F-5FBC84119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66168"/>
        <c:axId val="554864248"/>
      </c:scatterChart>
      <c:valAx>
        <c:axId val="554866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Hydrogen Coverage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864248"/>
        <c:crosses val="autoZero"/>
        <c:crossBetween val="midCat"/>
      </c:valAx>
      <c:valAx>
        <c:axId val="55486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86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58419546179279"/>
          <c:y val="5.1192544430694563E-2"/>
          <c:w val="0.82864052337358862"/>
          <c:h val="0.609470482016430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 6C'!$D$33</c:f>
              <c:strCache>
                <c:ptCount val="1"/>
                <c:pt idx="0">
                  <c:v>graphene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 6C'!$C$34:$C$39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6C'!$D$34:$D$39</c:f>
              <c:numCache>
                <c:formatCode>General</c:formatCode>
                <c:ptCount val="6"/>
                <c:pt idx="0">
                  <c:v>0.1346564021660015</c:v>
                </c:pt>
                <c:pt idx="1">
                  <c:v>0</c:v>
                </c:pt>
                <c:pt idx="2">
                  <c:v>7.1236576273804531E-2</c:v>
                </c:pt>
                <c:pt idx="3">
                  <c:v>0.28278056334238499</c:v>
                </c:pt>
                <c:pt idx="4">
                  <c:v>0.52139169423026033</c:v>
                </c:pt>
                <c:pt idx="5">
                  <c:v>0.87463813432259485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F-4836-A386-B36E98FA8F53}"/>
            </c:ext>
          </c:extLst>
        </c:ser>
        <c:ser>
          <c:idx val="1"/>
          <c:order val="1"/>
          <c:tx>
            <c:strRef>
              <c:f>'Fig 6C'!$E$33</c:f>
              <c:strCache>
                <c:ptCount val="1"/>
                <c:pt idx="0">
                  <c:v>pyrrolic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 6C'!$C$34:$C$39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6C'!$E$34:$E$39</c:f>
              <c:numCache>
                <c:formatCode>General</c:formatCode>
                <c:ptCount val="6"/>
                <c:pt idx="0">
                  <c:v>0</c:v>
                </c:pt>
                <c:pt idx="1">
                  <c:v>0.1006721517915139</c:v>
                </c:pt>
                <c:pt idx="2">
                  <c:v>0.39255473899538629</c:v>
                </c:pt>
                <c:pt idx="3">
                  <c:v>0.79954291072499473</c:v>
                </c:pt>
                <c:pt idx="4">
                  <c:v>1.1466596815153025</c:v>
                </c:pt>
                <c:pt idx="5">
                  <c:v>1.5851959580613766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F-4836-A386-B36E98FA8F53}"/>
            </c:ext>
          </c:extLst>
        </c:ser>
        <c:ser>
          <c:idx val="2"/>
          <c:order val="2"/>
          <c:tx>
            <c:strRef>
              <c:f>'Fig 6C'!$F$33</c:f>
              <c:strCache>
                <c:ptCount val="1"/>
                <c:pt idx="0">
                  <c:v>graphitic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 6C'!$C$34:$C$39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6C'!$F$34:$F$39</c:f>
              <c:numCache>
                <c:formatCode>General</c:formatCode>
                <c:ptCount val="6"/>
                <c:pt idx="0">
                  <c:v>0.13102758667082526</c:v>
                </c:pt>
                <c:pt idx="1">
                  <c:v>0</c:v>
                </c:pt>
                <c:pt idx="2">
                  <c:v>1.4977177401306108E-2</c:v>
                </c:pt>
                <c:pt idx="3">
                  <c:v>0.12913440044212621</c:v>
                </c:pt>
                <c:pt idx="4">
                  <c:v>0.42357435724872627</c:v>
                </c:pt>
                <c:pt idx="5">
                  <c:v>0.78975290834205225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4F-4836-A386-B36E98FA8F53}"/>
            </c:ext>
          </c:extLst>
        </c:ser>
        <c:ser>
          <c:idx val="3"/>
          <c:order val="3"/>
          <c:tx>
            <c:strRef>
              <c:f>'Fig 6C'!$G$33</c:f>
              <c:strCache>
                <c:ptCount val="1"/>
                <c:pt idx="0">
                  <c:v>pyridinic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'Fig 6C'!$C$34:$C$39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6C'!$G$34:$G$39</c:f>
              <c:numCache>
                <c:formatCode>General</c:formatCode>
                <c:ptCount val="6"/>
                <c:pt idx="0">
                  <c:v>0.22417940318700857</c:v>
                </c:pt>
                <c:pt idx="1">
                  <c:v>0</c:v>
                </c:pt>
                <c:pt idx="2">
                  <c:v>7.6222730946028605E-2</c:v>
                </c:pt>
                <c:pt idx="3">
                  <c:v>0.29954112773702946</c:v>
                </c:pt>
                <c:pt idx="4">
                  <c:v>0.58875041407009121</c:v>
                </c:pt>
                <c:pt idx="5">
                  <c:v>0.90532469451136421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4F-4836-A386-B36E98FA8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48328"/>
        <c:axId val="769849928"/>
      </c:scatterChart>
      <c:valAx>
        <c:axId val="769848328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49928"/>
        <c:crosses val="autoZero"/>
        <c:crossBetween val="midCat"/>
      </c:valAx>
      <c:valAx>
        <c:axId val="769849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48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23015480509732"/>
          <c:y val="0.20574916608046476"/>
          <c:w val="0.55529720361709289"/>
          <c:h val="0.17964918650298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6C'!$D$22</c:f>
              <c:strCache>
                <c:ptCount val="1"/>
                <c:pt idx="0">
                  <c:v>graphene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 6C'!$C$23:$C$28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6C'!$D$23:$D$28</c:f>
              <c:numCache>
                <c:formatCode>General</c:formatCode>
                <c:ptCount val="6"/>
                <c:pt idx="0">
                  <c:v>0.35854455619119108</c:v>
                </c:pt>
                <c:pt idx="1">
                  <c:v>0.12442711186304223</c:v>
                </c:pt>
                <c:pt idx="2">
                  <c:v>0</c:v>
                </c:pt>
                <c:pt idx="3">
                  <c:v>6.4756845487863757E-2</c:v>
                </c:pt>
                <c:pt idx="4">
                  <c:v>0.20421579931280576</c:v>
                </c:pt>
                <c:pt idx="5">
                  <c:v>0.45870415141689591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C-414F-BE10-E09F43289290}"/>
            </c:ext>
          </c:extLst>
        </c:ser>
        <c:ser>
          <c:idx val="1"/>
          <c:order val="1"/>
          <c:tx>
            <c:strRef>
              <c:f>'Fig 6C'!$E$22</c:f>
              <c:strCache>
                <c:ptCount val="1"/>
                <c:pt idx="0">
                  <c:v>pyrrolic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 6C'!$C$23:$C$28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6C'!$E$23:$E$28</c:f>
              <c:numCache>
                <c:formatCode>General</c:formatCode>
                <c:ptCount val="6"/>
                <c:pt idx="0">
                  <c:v>0</c:v>
                </c:pt>
                <c:pt idx="1">
                  <c:v>1.1646646162262186E-3</c:v>
                </c:pt>
                <c:pt idx="2">
                  <c:v>9.7495612673810683E-2</c:v>
                </c:pt>
                <c:pt idx="3">
                  <c:v>0.35694263153709471</c:v>
                </c:pt>
                <c:pt idx="4">
                  <c:v>0.60471049349871464</c:v>
                </c:pt>
                <c:pt idx="5">
                  <c:v>0.94414957068511285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C-414F-BE10-E09F43289290}"/>
            </c:ext>
          </c:extLst>
        </c:ser>
        <c:ser>
          <c:idx val="2"/>
          <c:order val="2"/>
          <c:tx>
            <c:strRef>
              <c:f>'Fig 6C'!$F$22</c:f>
              <c:strCache>
                <c:ptCount val="1"/>
                <c:pt idx="0">
                  <c:v>graphitic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 6C'!$C$23:$C$28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6C'!$F$23:$F$28</c:f>
              <c:numCache>
                <c:formatCode>General</c:formatCode>
                <c:ptCount val="6"/>
                <c:pt idx="0">
                  <c:v>0.44599312977516092</c:v>
                </c:pt>
                <c:pt idx="1">
                  <c:v>0.21630747310700826</c:v>
                </c:pt>
                <c:pt idx="2">
                  <c:v>3.5656083622598089E-2</c:v>
                </c:pt>
                <c:pt idx="3">
                  <c:v>0</c:v>
                </c:pt>
                <c:pt idx="4">
                  <c:v>0.19949175925168675</c:v>
                </c:pt>
                <c:pt idx="5">
                  <c:v>0.4675999518512981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C-414F-BE10-E09F43289290}"/>
            </c:ext>
          </c:extLst>
        </c:ser>
        <c:ser>
          <c:idx val="3"/>
          <c:order val="3"/>
          <c:tx>
            <c:strRef>
              <c:f>'Fig 6C'!$G$22</c:f>
              <c:strCache>
                <c:ptCount val="1"/>
                <c:pt idx="0">
                  <c:v>pyridinic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'Fig 6C'!$C$23:$C$28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6C'!$G$23:$G$28</c:f>
              <c:numCache>
                <c:formatCode>General</c:formatCode>
                <c:ptCount val="6"/>
                <c:pt idx="0">
                  <c:v>0.44183441849600058</c:v>
                </c:pt>
                <c:pt idx="1">
                  <c:v>0.12033694023557473</c:v>
                </c:pt>
                <c:pt idx="2">
                  <c:v>0</c:v>
                </c:pt>
                <c:pt idx="3">
                  <c:v>7.6457741379272193E-2</c:v>
                </c:pt>
                <c:pt idx="4">
                  <c:v>0.26856570587551687</c:v>
                </c:pt>
                <c:pt idx="5">
                  <c:v>0.48678332958661485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C-414F-BE10-E09F43289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857528"/>
        <c:axId val="635863288"/>
      </c:scatterChart>
      <c:valAx>
        <c:axId val="635857528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63288"/>
        <c:crosses val="autoZero"/>
        <c:crossBetween val="midCat"/>
      </c:valAx>
      <c:valAx>
        <c:axId val="63586328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5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6C'!$D$8</c:f>
              <c:strCache>
                <c:ptCount val="1"/>
                <c:pt idx="0">
                  <c:v>graphene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 6C'!$C$9:$C$14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6C'!$D$9:$D$14</c:f>
              <c:numCache>
                <c:formatCode>General</c:formatCode>
                <c:ptCount val="6"/>
                <c:pt idx="0">
                  <c:v>1.018988793817698</c:v>
                </c:pt>
                <c:pt idx="1">
                  <c:v>0.62587289226939902</c:v>
                </c:pt>
                <c:pt idx="2">
                  <c:v>0.1889697071746923</c:v>
                </c:pt>
                <c:pt idx="3">
                  <c:v>1.9116931289318018E-2</c:v>
                </c:pt>
                <c:pt idx="4">
                  <c:v>0</c:v>
                </c:pt>
                <c:pt idx="5">
                  <c:v>9.6586360814399086E-2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D-4956-A46E-6DEE750308B5}"/>
            </c:ext>
          </c:extLst>
        </c:ser>
        <c:ser>
          <c:idx val="1"/>
          <c:order val="1"/>
          <c:tx>
            <c:strRef>
              <c:f>'Fig 6C'!$E$8</c:f>
              <c:strCache>
                <c:ptCount val="1"/>
                <c:pt idx="0">
                  <c:v>pyrrolic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 6C'!$C$9:$C$14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6C'!$E$9:$E$14</c:f>
              <c:numCache>
                <c:formatCode>General</c:formatCode>
                <c:ptCount val="6"/>
                <c:pt idx="0">
                  <c:v>0.5266127398936078</c:v>
                </c:pt>
                <c:pt idx="1">
                  <c:v>0.32912058742658701</c:v>
                </c:pt>
                <c:pt idx="2">
                  <c:v>3.5325072109117173E-2</c:v>
                </c:pt>
                <c:pt idx="3">
                  <c:v>0</c:v>
                </c:pt>
                <c:pt idx="4">
                  <c:v>4.9195165105629712E-2</c:v>
                </c:pt>
                <c:pt idx="5">
                  <c:v>0.19057597975188401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BD-4956-A46E-6DEE750308B5}"/>
            </c:ext>
          </c:extLst>
        </c:ser>
        <c:ser>
          <c:idx val="2"/>
          <c:order val="2"/>
          <c:tx>
            <c:strRef>
              <c:f>'Fig 6C'!$F$8</c:f>
              <c:strCache>
                <c:ptCount val="1"/>
                <c:pt idx="0">
                  <c:v>graphitic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 6C'!$C$9:$C$14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6C'!$F$9:$F$14</c:f>
              <c:numCache>
                <c:formatCode>General</c:formatCode>
                <c:ptCount val="6"/>
                <c:pt idx="0">
                  <c:v>1.1555000318912789</c:v>
                </c:pt>
                <c:pt idx="1">
                  <c:v>0.76817836088594049</c:v>
                </c:pt>
                <c:pt idx="2">
                  <c:v>0.27511610546207521</c:v>
                </c:pt>
                <c:pt idx="3">
                  <c:v>0</c:v>
                </c:pt>
                <c:pt idx="4">
                  <c:v>4.7670194150414319E-2</c:v>
                </c:pt>
                <c:pt idx="5">
                  <c:v>0.15897648851387203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BD-4956-A46E-6DEE750308B5}"/>
            </c:ext>
          </c:extLst>
        </c:ser>
        <c:ser>
          <c:idx val="3"/>
          <c:order val="3"/>
          <c:tx>
            <c:strRef>
              <c:f>'Fig 6C'!$G$8</c:f>
              <c:strCache>
                <c:ptCount val="1"/>
                <c:pt idx="0">
                  <c:v>pyridinic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'Fig 6C'!$C$9:$C$14</c:f>
              <c:numCache>
                <c:formatCode>General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0.84615384615384615</c:v>
                </c:pt>
                <c:pt idx="5">
                  <c:v>1</c:v>
                </c:pt>
              </c:numCache>
            </c:numRef>
          </c:xVal>
          <c:yVal>
            <c:numRef>
              <c:f>'Fig 6C'!$G$9:$G$14</c:f>
              <c:numCache>
                <c:formatCode>General</c:formatCode>
                <c:ptCount val="6"/>
                <c:pt idx="0">
                  <c:v>1.2471651081577875</c:v>
                </c:pt>
                <c:pt idx="1">
                  <c:v>0.73137839639093727</c:v>
                </c:pt>
                <c:pt idx="2">
                  <c:v>0.21885577788634691</c:v>
                </c:pt>
                <c:pt idx="3">
                  <c:v>1.8790166068356484E-3</c:v>
                </c:pt>
                <c:pt idx="4">
                  <c:v>0</c:v>
                </c:pt>
                <c:pt idx="5">
                  <c:v>2.1635901794070378E-2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BD-4956-A46E-6DEE75030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41720"/>
        <c:axId val="715239160"/>
      </c:scatterChart>
      <c:valAx>
        <c:axId val="715241720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39160"/>
        <c:crosses val="autoZero"/>
        <c:crossBetween val="midCat"/>
      </c:valAx>
      <c:valAx>
        <c:axId val="715239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Energy (eV) 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4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2279939339748E-2"/>
          <c:y val="0.15027600107758701"/>
          <c:w val="0.6531103632576184"/>
          <c:h val="0.823696615973809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 7a-d'!$U$60</c:f>
              <c:strCache>
                <c:ptCount val="1"/>
                <c:pt idx="0">
                  <c:v>graphene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 7a-d'!$T$61:$T$88</c:f>
              <c:numCache>
                <c:formatCode>General</c:formatCode>
                <c:ptCount val="28"/>
                <c:pt idx="0">
                  <c:v>9.632918399677913E-2</c:v>
                </c:pt>
                <c:pt idx="1">
                  <c:v>2.6115297776819067E-2</c:v>
                </c:pt>
                <c:pt idx="2">
                  <c:v>-8.0948674822475322E-3</c:v>
                </c:pt>
                <c:pt idx="3">
                  <c:v>-0.12512940888176777</c:v>
                </c:pt>
                <c:pt idx="5">
                  <c:v>2.8377859706281938E-2</c:v>
                </c:pt>
                <c:pt idx="6">
                  <c:v>4.8425335864486461E-3</c:v>
                </c:pt>
                <c:pt idx="7">
                  <c:v>-5.8676664935427739E-2</c:v>
                </c:pt>
                <c:pt idx="8">
                  <c:v>-7.6570862963814115E-2</c:v>
                </c:pt>
                <c:pt idx="9">
                  <c:v>-0.1147538937051234</c:v>
                </c:pt>
                <c:pt idx="11">
                  <c:v>9.799999999999999E-2</c:v>
                </c:pt>
                <c:pt idx="12">
                  <c:v>1.1805211249148465E-2</c:v>
                </c:pt>
                <c:pt idx="13">
                  <c:v>-4.2070289628675928E-2</c:v>
                </c:pt>
                <c:pt idx="14">
                  <c:v>-9.0351868102003519E-2</c:v>
                </c:pt>
                <c:pt idx="16">
                  <c:v>0.16502096030023164</c:v>
                </c:pt>
                <c:pt idx="17">
                  <c:v>3.0623884807076198E-2</c:v>
                </c:pt>
                <c:pt idx="18">
                  <c:v>-2.6037745878136509E-2</c:v>
                </c:pt>
                <c:pt idx="19">
                  <c:v>-9.8999009104421984E-2</c:v>
                </c:pt>
                <c:pt idx="21">
                  <c:v>0</c:v>
                </c:pt>
                <c:pt idx="22">
                  <c:v>-5.0000000000000001E-3</c:v>
                </c:pt>
                <c:pt idx="23">
                  <c:v>-0.01</c:v>
                </c:pt>
                <c:pt idx="24">
                  <c:v>-1.4999999999999999E-2</c:v>
                </c:pt>
                <c:pt idx="25">
                  <c:v>-0.02</c:v>
                </c:pt>
                <c:pt idx="26">
                  <c:v>-2.5000000000000001E-2</c:v>
                </c:pt>
                <c:pt idx="27">
                  <c:v>-3.0000000000000002E-2</c:v>
                </c:pt>
              </c:numCache>
            </c:numRef>
          </c:xVal>
          <c:yVal>
            <c:numRef>
              <c:f>'Fig 7a-d'!$U$61:$U$88</c:f>
              <c:numCache>
                <c:formatCode>General</c:formatCode>
                <c:ptCount val="28"/>
                <c:pt idx="11">
                  <c:v>-2.2454935565178743E-5</c:v>
                </c:pt>
                <c:pt idx="12">
                  <c:v>-1.3251875862426701E-3</c:v>
                </c:pt>
                <c:pt idx="13">
                  <c:v>-0.32666567565462878</c:v>
                </c:pt>
                <c:pt idx="14">
                  <c:v>-5.8023324629779465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5-490D-8385-3C662061730D}"/>
            </c:ext>
          </c:extLst>
        </c:ser>
        <c:ser>
          <c:idx val="1"/>
          <c:order val="1"/>
          <c:tx>
            <c:strRef>
              <c:f>'Fig 7a-d'!$V$60</c:f>
              <c:strCache>
                <c:ptCount val="1"/>
                <c:pt idx="0">
                  <c:v>pyrrolic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 7a-d'!$T$61:$T$88</c:f>
              <c:numCache>
                <c:formatCode>General</c:formatCode>
                <c:ptCount val="28"/>
                <c:pt idx="0">
                  <c:v>9.632918399677913E-2</c:v>
                </c:pt>
                <c:pt idx="1">
                  <c:v>2.6115297776819067E-2</c:v>
                </c:pt>
                <c:pt idx="2">
                  <c:v>-8.0948674822475322E-3</c:v>
                </c:pt>
                <c:pt idx="3">
                  <c:v>-0.12512940888176777</c:v>
                </c:pt>
                <c:pt idx="5">
                  <c:v>2.8377859706281938E-2</c:v>
                </c:pt>
                <c:pt idx="6">
                  <c:v>4.8425335864486461E-3</c:v>
                </c:pt>
                <c:pt idx="7">
                  <c:v>-5.8676664935427739E-2</c:v>
                </c:pt>
                <c:pt idx="8">
                  <c:v>-7.6570862963814115E-2</c:v>
                </c:pt>
                <c:pt idx="9">
                  <c:v>-0.1147538937051234</c:v>
                </c:pt>
                <c:pt idx="11">
                  <c:v>9.799999999999999E-2</c:v>
                </c:pt>
                <c:pt idx="12">
                  <c:v>1.1805211249148465E-2</c:v>
                </c:pt>
                <c:pt idx="13">
                  <c:v>-4.2070289628675928E-2</c:v>
                </c:pt>
                <c:pt idx="14">
                  <c:v>-9.0351868102003519E-2</c:v>
                </c:pt>
                <c:pt idx="16">
                  <c:v>0.16502096030023164</c:v>
                </c:pt>
                <c:pt idx="17">
                  <c:v>3.0623884807076198E-2</c:v>
                </c:pt>
                <c:pt idx="18">
                  <c:v>-2.6037745878136509E-2</c:v>
                </c:pt>
                <c:pt idx="19">
                  <c:v>-9.8999009104421984E-2</c:v>
                </c:pt>
                <c:pt idx="21">
                  <c:v>0</c:v>
                </c:pt>
                <c:pt idx="22">
                  <c:v>-5.0000000000000001E-3</c:v>
                </c:pt>
                <c:pt idx="23">
                  <c:v>-0.01</c:v>
                </c:pt>
                <c:pt idx="24">
                  <c:v>-1.4999999999999999E-2</c:v>
                </c:pt>
                <c:pt idx="25">
                  <c:v>-0.02</c:v>
                </c:pt>
                <c:pt idx="26">
                  <c:v>-2.5000000000000001E-2</c:v>
                </c:pt>
                <c:pt idx="27">
                  <c:v>-3.0000000000000002E-2</c:v>
                </c:pt>
              </c:numCache>
            </c:numRef>
          </c:xVal>
          <c:yVal>
            <c:numRef>
              <c:f>'Fig 7a-d'!$V$61:$V$88</c:f>
              <c:numCache>
                <c:formatCode>General</c:formatCode>
                <c:ptCount val="28"/>
                <c:pt idx="5">
                  <c:v>-4.8265385254482431E-3</c:v>
                </c:pt>
                <c:pt idx="6">
                  <c:v>-0.18367862396889811</c:v>
                </c:pt>
                <c:pt idx="7">
                  <c:v>-32.082104812903268</c:v>
                </c:pt>
                <c:pt idx="8">
                  <c:v>-95.075976013242609</c:v>
                </c:pt>
                <c:pt idx="9">
                  <c:v>-333.22765880173125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5-490D-8385-3C662061730D}"/>
            </c:ext>
          </c:extLst>
        </c:ser>
        <c:ser>
          <c:idx val="2"/>
          <c:order val="2"/>
          <c:tx>
            <c:strRef>
              <c:f>'Fig 7a-d'!$W$60</c:f>
              <c:strCache>
                <c:ptCount val="1"/>
                <c:pt idx="0">
                  <c:v>graphitic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 7a-d'!$T$61:$T$88</c:f>
              <c:numCache>
                <c:formatCode>General</c:formatCode>
                <c:ptCount val="28"/>
                <c:pt idx="0">
                  <c:v>9.632918399677913E-2</c:v>
                </c:pt>
                <c:pt idx="1">
                  <c:v>2.6115297776819067E-2</c:v>
                </c:pt>
                <c:pt idx="2">
                  <c:v>-8.0948674822475322E-3</c:v>
                </c:pt>
                <c:pt idx="3">
                  <c:v>-0.12512940888176777</c:v>
                </c:pt>
                <c:pt idx="5">
                  <c:v>2.8377859706281938E-2</c:v>
                </c:pt>
                <c:pt idx="6">
                  <c:v>4.8425335864486461E-3</c:v>
                </c:pt>
                <c:pt idx="7">
                  <c:v>-5.8676664935427739E-2</c:v>
                </c:pt>
                <c:pt idx="8">
                  <c:v>-7.6570862963814115E-2</c:v>
                </c:pt>
                <c:pt idx="9">
                  <c:v>-0.1147538937051234</c:v>
                </c:pt>
                <c:pt idx="11">
                  <c:v>9.799999999999999E-2</c:v>
                </c:pt>
                <c:pt idx="12">
                  <c:v>1.1805211249148465E-2</c:v>
                </c:pt>
                <c:pt idx="13">
                  <c:v>-4.2070289628675928E-2</c:v>
                </c:pt>
                <c:pt idx="14">
                  <c:v>-9.0351868102003519E-2</c:v>
                </c:pt>
                <c:pt idx="16">
                  <c:v>0.16502096030023164</c:v>
                </c:pt>
                <c:pt idx="17">
                  <c:v>3.0623884807076198E-2</c:v>
                </c:pt>
                <c:pt idx="18">
                  <c:v>-2.6037745878136509E-2</c:v>
                </c:pt>
                <c:pt idx="19">
                  <c:v>-9.8999009104421984E-2</c:v>
                </c:pt>
                <c:pt idx="21">
                  <c:v>0</c:v>
                </c:pt>
                <c:pt idx="22">
                  <c:v>-5.0000000000000001E-3</c:v>
                </c:pt>
                <c:pt idx="23">
                  <c:v>-0.01</c:v>
                </c:pt>
                <c:pt idx="24">
                  <c:v>-1.4999999999999999E-2</c:v>
                </c:pt>
                <c:pt idx="25">
                  <c:v>-0.02</c:v>
                </c:pt>
                <c:pt idx="26">
                  <c:v>-2.5000000000000001E-2</c:v>
                </c:pt>
                <c:pt idx="27">
                  <c:v>-3.0000000000000002E-2</c:v>
                </c:pt>
              </c:numCache>
            </c:numRef>
          </c:xVal>
          <c:yVal>
            <c:numRef>
              <c:f>'Fig 7a-d'!$W$61:$W$88</c:f>
              <c:numCache>
                <c:formatCode>General</c:formatCode>
                <c:ptCount val="28"/>
                <c:pt idx="0">
                  <c:v>-2.2372211864739642E-5</c:v>
                </c:pt>
                <c:pt idx="1">
                  <c:v>-1.518114881192357E-2</c:v>
                </c:pt>
                <c:pt idx="2">
                  <c:v>-3.4951132629851629</c:v>
                </c:pt>
                <c:pt idx="3">
                  <c:v>-7.2411149862517359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C5-490D-8385-3C662061730D}"/>
            </c:ext>
          </c:extLst>
        </c:ser>
        <c:ser>
          <c:idx val="3"/>
          <c:order val="3"/>
          <c:tx>
            <c:strRef>
              <c:f>'Fig 7a-d'!$X$60</c:f>
              <c:strCache>
                <c:ptCount val="1"/>
                <c:pt idx="0">
                  <c:v>pyridinic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7"/>
            <c:marker>
              <c:symbol val="diamond"/>
              <c:size val="6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E77-49BF-9F7F-539C58EF0690}"/>
              </c:ext>
            </c:extLst>
          </c:dPt>
          <c:xVal>
            <c:numRef>
              <c:f>'Fig 7a-d'!$T$61:$T$88</c:f>
              <c:numCache>
                <c:formatCode>General</c:formatCode>
                <c:ptCount val="28"/>
                <c:pt idx="0">
                  <c:v>9.632918399677913E-2</c:v>
                </c:pt>
                <c:pt idx="1">
                  <c:v>2.6115297776819067E-2</c:v>
                </c:pt>
                <c:pt idx="2">
                  <c:v>-8.0948674822475322E-3</c:v>
                </c:pt>
                <c:pt idx="3">
                  <c:v>-0.12512940888176777</c:v>
                </c:pt>
                <c:pt idx="5">
                  <c:v>2.8377859706281938E-2</c:v>
                </c:pt>
                <c:pt idx="6">
                  <c:v>4.8425335864486461E-3</c:v>
                </c:pt>
                <c:pt idx="7">
                  <c:v>-5.8676664935427739E-2</c:v>
                </c:pt>
                <c:pt idx="8">
                  <c:v>-7.6570862963814115E-2</c:v>
                </c:pt>
                <c:pt idx="9">
                  <c:v>-0.1147538937051234</c:v>
                </c:pt>
                <c:pt idx="11">
                  <c:v>9.799999999999999E-2</c:v>
                </c:pt>
                <c:pt idx="12">
                  <c:v>1.1805211249148465E-2</c:v>
                </c:pt>
                <c:pt idx="13">
                  <c:v>-4.2070289628675928E-2</c:v>
                </c:pt>
                <c:pt idx="14">
                  <c:v>-9.0351868102003519E-2</c:v>
                </c:pt>
                <c:pt idx="16">
                  <c:v>0.16502096030023164</c:v>
                </c:pt>
                <c:pt idx="17">
                  <c:v>3.0623884807076198E-2</c:v>
                </c:pt>
                <c:pt idx="18">
                  <c:v>-2.6037745878136509E-2</c:v>
                </c:pt>
                <c:pt idx="19">
                  <c:v>-9.8999009104421984E-2</c:v>
                </c:pt>
                <c:pt idx="21">
                  <c:v>0</c:v>
                </c:pt>
                <c:pt idx="22">
                  <c:v>-5.0000000000000001E-3</c:v>
                </c:pt>
                <c:pt idx="23">
                  <c:v>-0.01</c:v>
                </c:pt>
                <c:pt idx="24">
                  <c:v>-1.4999999999999999E-2</c:v>
                </c:pt>
                <c:pt idx="25">
                  <c:v>-0.02</c:v>
                </c:pt>
                <c:pt idx="26">
                  <c:v>-2.5000000000000001E-2</c:v>
                </c:pt>
                <c:pt idx="27">
                  <c:v>-3.0000000000000002E-2</c:v>
                </c:pt>
              </c:numCache>
            </c:numRef>
          </c:xVal>
          <c:yVal>
            <c:numRef>
              <c:f>'Fig 7a-d'!$X$61:$X$88</c:f>
              <c:numCache>
                <c:formatCode>General</c:formatCode>
                <c:ptCount val="28"/>
                <c:pt idx="16" formatCode="0.00E+00">
                  <c:v>-8.6306457790648924E-8</c:v>
                </c:pt>
                <c:pt idx="17" formatCode="0.00E+00">
                  <c:v>-0.88155234638270552</c:v>
                </c:pt>
                <c:pt idx="18" formatCode="0.00E+00">
                  <c:v>-1.4662845201090615</c:v>
                </c:pt>
                <c:pt idx="19" formatCode="0.00E+00">
                  <c:v>-6.5526222253076298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7-49BF-9F7F-539C58EF0690}"/>
            </c:ext>
          </c:extLst>
        </c:ser>
        <c:ser>
          <c:idx val="4"/>
          <c:order val="4"/>
          <c:tx>
            <c:strRef>
              <c:f>'Fig 7a-d'!$Y$60</c:f>
              <c:strCache>
                <c:ptCount val="1"/>
                <c:pt idx="0">
                  <c:v>N-HGC (experiment)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'Fig 7a-d'!$T$61:$T$88</c:f>
              <c:numCache>
                <c:formatCode>General</c:formatCode>
                <c:ptCount val="28"/>
                <c:pt idx="0">
                  <c:v>9.632918399677913E-2</c:v>
                </c:pt>
                <c:pt idx="1">
                  <c:v>2.6115297776819067E-2</c:v>
                </c:pt>
                <c:pt idx="2">
                  <c:v>-8.0948674822475322E-3</c:v>
                </c:pt>
                <c:pt idx="3">
                  <c:v>-0.12512940888176777</c:v>
                </c:pt>
                <c:pt idx="5">
                  <c:v>2.8377859706281938E-2</c:v>
                </c:pt>
                <c:pt idx="6">
                  <c:v>4.8425335864486461E-3</c:v>
                </c:pt>
                <c:pt idx="7">
                  <c:v>-5.8676664935427739E-2</c:v>
                </c:pt>
                <c:pt idx="8">
                  <c:v>-7.6570862963814115E-2</c:v>
                </c:pt>
                <c:pt idx="9">
                  <c:v>-0.1147538937051234</c:v>
                </c:pt>
                <c:pt idx="11">
                  <c:v>9.799999999999999E-2</c:v>
                </c:pt>
                <c:pt idx="12">
                  <c:v>1.1805211249148465E-2</c:v>
                </c:pt>
                <c:pt idx="13">
                  <c:v>-4.2070289628675928E-2</c:v>
                </c:pt>
                <c:pt idx="14">
                  <c:v>-9.0351868102003519E-2</c:v>
                </c:pt>
                <c:pt idx="16">
                  <c:v>0.16502096030023164</c:v>
                </c:pt>
                <c:pt idx="17">
                  <c:v>3.0623884807076198E-2</c:v>
                </c:pt>
                <c:pt idx="18">
                  <c:v>-2.6037745878136509E-2</c:v>
                </c:pt>
                <c:pt idx="19">
                  <c:v>-9.8999009104421984E-2</c:v>
                </c:pt>
                <c:pt idx="21">
                  <c:v>0</c:v>
                </c:pt>
                <c:pt idx="22">
                  <c:v>-5.0000000000000001E-3</c:v>
                </c:pt>
                <c:pt idx="23">
                  <c:v>-0.01</c:v>
                </c:pt>
                <c:pt idx="24">
                  <c:v>-1.4999999999999999E-2</c:v>
                </c:pt>
                <c:pt idx="25">
                  <c:v>-0.02</c:v>
                </c:pt>
                <c:pt idx="26">
                  <c:v>-2.5000000000000001E-2</c:v>
                </c:pt>
                <c:pt idx="27">
                  <c:v>-3.0000000000000002E-2</c:v>
                </c:pt>
              </c:numCache>
            </c:numRef>
          </c:xVal>
          <c:yVal>
            <c:numRef>
              <c:f>'Fig 7a-d'!$Y$61:$Y$88</c:f>
              <c:numCache>
                <c:formatCode>General</c:formatCode>
                <c:ptCount val="28"/>
                <c:pt idx="21" formatCode="0.00E+00">
                  <c:v>-1.3561666666666667</c:v>
                </c:pt>
                <c:pt idx="22" formatCode="0.00E+00">
                  <c:v>-3.6377960389583337</c:v>
                </c:pt>
                <c:pt idx="23" formatCode="0.00E+00">
                  <c:v>-7.3745696233333335</c:v>
                </c:pt>
                <c:pt idx="24" formatCode="0.00E+00">
                  <c:v>-12.946924822291669</c:v>
                </c:pt>
                <c:pt idx="25" formatCode="0.00E+00">
                  <c:v>-20.803757973333337</c:v>
                </c:pt>
                <c:pt idx="26" formatCode="0.00E+00">
                  <c:v>-31.469299348958334</c:v>
                </c:pt>
                <c:pt idx="27" formatCode="0.00E+00">
                  <c:v>-45.549988156666679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CB-4FD7-A64F-FFE85ACB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88024"/>
        <c:axId val="634588984"/>
      </c:scatterChart>
      <c:valAx>
        <c:axId val="634588024"/>
        <c:scaling>
          <c:orientation val="minMax"/>
          <c:max val="0.15000000000000002"/>
          <c:min val="-0.1500000000000000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Potential (V vs. RHE)</a:t>
                </a:r>
              </a:p>
            </c:rich>
          </c:tx>
          <c:layout>
            <c:manualLayout>
              <c:xMode val="edge"/>
              <c:yMode val="edge"/>
              <c:x val="0.28178948173578611"/>
              <c:y val="5.128911196830521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88984"/>
        <c:crosses val="autoZero"/>
        <c:crossBetween val="midCat"/>
      </c:valAx>
      <c:valAx>
        <c:axId val="634588984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j (mA/cm</a:t>
                </a:r>
                <a:r>
                  <a:rPr lang="en-US" sz="1500">
                    <a:latin typeface="Calibri" panose="020F0502020204030204" pitchFamily="34" charset="0"/>
                    <a:cs typeface="Calibri" panose="020F0502020204030204" pitchFamily="34" charset="0"/>
                  </a:rPr>
                  <a:t>²</a:t>
                </a:r>
                <a:r>
                  <a:rPr lang="en-US" sz="15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88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871449219542698"/>
          <c:y val="0.23821697435588141"/>
          <c:w val="0.40401326087633976"/>
          <c:h val="0.50949381021782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9115652111989"/>
          <c:y val="4.1162606438633093E-2"/>
          <c:w val="0.51435210872687132"/>
          <c:h val="0.808076474642272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 7a-d'!$M$69</c:f>
              <c:strCache>
                <c:ptCount val="1"/>
                <c:pt idx="0">
                  <c:v>graphene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'Fig 7a-d'!$L$70:$L$74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cat>
          <c:val>
            <c:numRef>
              <c:f>'Fig 7a-d'!$M$70:$M$74</c:f>
              <c:numCache>
                <c:formatCode>General</c:formatCode>
                <c:ptCount val="5"/>
                <c:pt idx="0">
                  <c:v>1.0059894093326318</c:v>
                </c:pt>
                <c:pt idx="1">
                  <c:v>0.9289029566468695</c:v>
                </c:pt>
                <c:pt idx="2">
                  <c:v>0.79689082536346068</c:v>
                </c:pt>
                <c:pt idx="3">
                  <c:v>0.72763878596519016</c:v>
                </c:pt>
                <c:pt idx="4">
                  <c:v>0.65460016549035449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A-458E-BA3A-33B1E834B56E}"/>
            </c:ext>
          </c:extLst>
        </c:ser>
        <c:ser>
          <c:idx val="1"/>
          <c:order val="1"/>
          <c:tx>
            <c:strRef>
              <c:f>'Fig 7a-d'!$N$69</c:f>
              <c:strCache>
                <c:ptCount val="1"/>
                <c:pt idx="0">
                  <c:v>pyrrolic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 7a-d'!$L$70:$L$74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cat>
          <c:val>
            <c:numRef>
              <c:f>'Fig 7a-d'!$N$70:$N$74</c:f>
              <c:numCache>
                <c:formatCode>General</c:formatCode>
                <c:ptCount val="5"/>
                <c:pt idx="0">
                  <c:v>0.86703097195780965</c:v>
                </c:pt>
                <c:pt idx="1">
                  <c:v>0.861179668237254</c:v>
                </c:pt>
                <c:pt idx="2">
                  <c:v>0.67819918794624645</c:v>
                </c:pt>
                <c:pt idx="3">
                  <c:v>0.622830392501727</c:v>
                </c:pt>
                <c:pt idx="4">
                  <c:v>0.52515880004060711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A-458E-BA3A-33B1E834B56E}"/>
            </c:ext>
          </c:extLst>
        </c:ser>
        <c:ser>
          <c:idx val="2"/>
          <c:order val="2"/>
          <c:tx>
            <c:strRef>
              <c:f>'Fig 7a-d'!$O$69</c:f>
              <c:strCache>
                <c:ptCount val="1"/>
                <c:pt idx="0">
                  <c:v>graphitic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'Fig 7a-d'!$L$70:$L$74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cat>
          <c:val>
            <c:numRef>
              <c:f>'Fig 7a-d'!$O$70:$O$74</c:f>
              <c:numCache>
                <c:formatCode>General</c:formatCode>
                <c:ptCount val="5"/>
                <c:pt idx="0">
                  <c:v>1.0060849085245889</c:v>
                </c:pt>
                <c:pt idx="1">
                  <c:v>0.86580675816361585</c:v>
                </c:pt>
                <c:pt idx="2">
                  <c:v>0.73556231922770043</c:v>
                </c:pt>
                <c:pt idx="3">
                  <c:v>0.72190707983749125</c:v>
                </c:pt>
                <c:pt idx="4">
                  <c:v>0.45830105586786773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4A-458E-BA3A-33B1E834B56E}"/>
            </c:ext>
          </c:extLst>
        </c:ser>
        <c:ser>
          <c:idx val="3"/>
          <c:order val="3"/>
          <c:tx>
            <c:strRef>
              <c:f>'Fig 7a-d'!$P$69</c:f>
              <c:strCache>
                <c:ptCount val="1"/>
                <c:pt idx="0">
                  <c:v>pyridinic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'Fig 7a-d'!$L$70:$L$74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</c:numCache>
            </c:numRef>
          </c:cat>
          <c:val>
            <c:numRef>
              <c:f>'Fig 7a-d'!$P$70:$P$74</c:f>
              <c:numCache>
                <c:formatCode>General</c:formatCode>
                <c:ptCount val="5"/>
                <c:pt idx="0">
                  <c:v>1.1498896327414867</c:v>
                </c:pt>
                <c:pt idx="1">
                  <c:v>0.76071208359638953</c:v>
                </c:pt>
                <c:pt idx="2">
                  <c:v>0.73298172757475066</c:v>
                </c:pt>
                <c:pt idx="3">
                  <c:v>0.72298172757475065</c:v>
                </c:pt>
                <c:pt idx="4">
                  <c:v>0.54663477925345316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4A-458E-BA3A-33B1E834B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769918408"/>
        <c:axId val="769920968"/>
      </c:barChart>
      <c:catAx>
        <c:axId val="769918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# of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920968"/>
        <c:crosses val="autoZero"/>
        <c:auto val="1"/>
        <c:lblAlgn val="ctr"/>
        <c:lblOffset val="100"/>
        <c:noMultiLvlLbl val="0"/>
      </c:catAx>
      <c:valAx>
        <c:axId val="769920968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Energy to remove H₂ (</a:t>
                </a:r>
                <a:r>
                  <a:rPr lang="en-US" sz="1600">
                    <a:latin typeface="Symbol" panose="05050102010706020507" pitchFamily="18" charset="2"/>
                  </a:rPr>
                  <a:t>D</a:t>
                </a:r>
                <a:r>
                  <a:rPr lang="en-US" sz="1600"/>
                  <a:t>G, 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91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89640474975374"/>
          <c:y val="6.6674582930276671E-2"/>
          <c:w val="0.48811548556430445"/>
          <c:h val="0.168983668708078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7a-d'!$B$79</c:f>
              <c:strCache>
                <c:ptCount val="1"/>
                <c:pt idx="0">
                  <c:v>graphene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 7a-d'!$A$80:$A$99</c:f>
              <c:numCache>
                <c:formatCode>General</c:formatCode>
                <c:ptCount val="20"/>
                <c:pt idx="0">
                  <c:v>0.16502096030023164</c:v>
                </c:pt>
                <c:pt idx="1">
                  <c:v>3.0623884807076198E-2</c:v>
                </c:pt>
                <c:pt idx="2">
                  <c:v>-2.6037745878136509E-2</c:v>
                </c:pt>
                <c:pt idx="3">
                  <c:v>-9.8999009104421984E-2</c:v>
                </c:pt>
                <c:pt idx="4">
                  <c:v>-0.11098067513202771</c:v>
                </c:pt>
                <c:pt idx="5">
                  <c:v>9.632918399677913E-2</c:v>
                </c:pt>
                <c:pt idx="6">
                  <c:v>2.6115297776819067E-2</c:v>
                </c:pt>
                <c:pt idx="7">
                  <c:v>-8.0948674822475322E-3</c:v>
                </c:pt>
                <c:pt idx="8">
                  <c:v>-0.12512940888176777</c:v>
                </c:pt>
                <c:pt idx="9">
                  <c:v>-0.15682741158225161</c:v>
                </c:pt>
                <c:pt idx="10">
                  <c:v>2.8377859706281938E-2</c:v>
                </c:pt>
                <c:pt idx="11">
                  <c:v>4.8425335864486461E-3</c:v>
                </c:pt>
                <c:pt idx="12">
                  <c:v>-5.8676664935427739E-2</c:v>
                </c:pt>
                <c:pt idx="13">
                  <c:v>-0.11475389370512336</c:v>
                </c:pt>
                <c:pt idx="14">
                  <c:v>-0.14228198686529514</c:v>
                </c:pt>
                <c:pt idx="15">
                  <c:v>9.799999999999999E-2</c:v>
                </c:pt>
                <c:pt idx="16">
                  <c:v>1.1805211249148465E-2</c:v>
                </c:pt>
                <c:pt idx="17">
                  <c:v>-4.2070289628675928E-2</c:v>
                </c:pt>
                <c:pt idx="18">
                  <c:v>-9.0351868102003519E-2</c:v>
                </c:pt>
                <c:pt idx="19">
                  <c:v>-0.14893127759955757</c:v>
                </c:pt>
              </c:numCache>
            </c:numRef>
          </c:xVal>
          <c:yVal>
            <c:numRef>
              <c:f>'Fig 7a-d'!$B$80:$B$99</c:f>
              <c:numCache>
                <c:formatCode>General</c:formatCode>
                <c:ptCount val="20"/>
                <c:pt idx="15">
                  <c:v>0.15384615384615385</c:v>
                </c:pt>
                <c:pt idx="16">
                  <c:v>0.46153846153846156</c:v>
                </c:pt>
                <c:pt idx="17">
                  <c:v>0.69230769230769229</c:v>
                </c:pt>
                <c:pt idx="18">
                  <c:v>0.84615384615384615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0D-41AD-B426-0C14144A506F}"/>
            </c:ext>
          </c:extLst>
        </c:ser>
        <c:ser>
          <c:idx val="1"/>
          <c:order val="1"/>
          <c:tx>
            <c:strRef>
              <c:f>'Fig 7a-d'!$C$79</c:f>
              <c:strCache>
                <c:ptCount val="1"/>
                <c:pt idx="0">
                  <c:v>pyrrolic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 7a-d'!$A$80:$A$99</c:f>
              <c:numCache>
                <c:formatCode>General</c:formatCode>
                <c:ptCount val="20"/>
                <c:pt idx="0">
                  <c:v>0.16502096030023164</c:v>
                </c:pt>
                <c:pt idx="1">
                  <c:v>3.0623884807076198E-2</c:v>
                </c:pt>
                <c:pt idx="2">
                  <c:v>-2.6037745878136509E-2</c:v>
                </c:pt>
                <c:pt idx="3">
                  <c:v>-9.8999009104421984E-2</c:v>
                </c:pt>
                <c:pt idx="4">
                  <c:v>-0.11098067513202771</c:v>
                </c:pt>
                <c:pt idx="5">
                  <c:v>9.632918399677913E-2</c:v>
                </c:pt>
                <c:pt idx="6">
                  <c:v>2.6115297776819067E-2</c:v>
                </c:pt>
                <c:pt idx="7">
                  <c:v>-8.0948674822475322E-3</c:v>
                </c:pt>
                <c:pt idx="8">
                  <c:v>-0.12512940888176777</c:v>
                </c:pt>
                <c:pt idx="9">
                  <c:v>-0.15682741158225161</c:v>
                </c:pt>
                <c:pt idx="10">
                  <c:v>2.8377859706281938E-2</c:v>
                </c:pt>
                <c:pt idx="11">
                  <c:v>4.8425335864486461E-3</c:v>
                </c:pt>
                <c:pt idx="12">
                  <c:v>-5.8676664935427739E-2</c:v>
                </c:pt>
                <c:pt idx="13">
                  <c:v>-0.11475389370512336</c:v>
                </c:pt>
                <c:pt idx="14">
                  <c:v>-0.14228198686529514</c:v>
                </c:pt>
                <c:pt idx="15">
                  <c:v>9.799999999999999E-2</c:v>
                </c:pt>
                <c:pt idx="16">
                  <c:v>1.1805211249148465E-2</c:v>
                </c:pt>
                <c:pt idx="17">
                  <c:v>-4.2070289628675928E-2</c:v>
                </c:pt>
                <c:pt idx="18">
                  <c:v>-9.0351868102003519E-2</c:v>
                </c:pt>
                <c:pt idx="19">
                  <c:v>-0.14893127759955757</c:v>
                </c:pt>
              </c:numCache>
            </c:numRef>
          </c:xVal>
          <c:yVal>
            <c:numRef>
              <c:f>'Fig 7a-d'!$C$80:$C$99</c:f>
              <c:numCache>
                <c:formatCode>General</c:formatCode>
                <c:ptCount val="20"/>
                <c:pt idx="10">
                  <c:v>0.15384615384615385</c:v>
                </c:pt>
                <c:pt idx="11">
                  <c:v>0.46153846153846156</c:v>
                </c:pt>
                <c:pt idx="12">
                  <c:v>0.69230769230769229</c:v>
                </c:pt>
                <c:pt idx="13">
                  <c:v>0.84615384615384615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0D-41AD-B426-0C14144A506F}"/>
            </c:ext>
          </c:extLst>
        </c:ser>
        <c:ser>
          <c:idx val="2"/>
          <c:order val="2"/>
          <c:tx>
            <c:strRef>
              <c:f>'Fig 7a-d'!$D$79</c:f>
              <c:strCache>
                <c:ptCount val="1"/>
                <c:pt idx="0">
                  <c:v>graphitic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 7a-d'!$A$80:$A$99</c:f>
              <c:numCache>
                <c:formatCode>General</c:formatCode>
                <c:ptCount val="20"/>
                <c:pt idx="0">
                  <c:v>0.16502096030023164</c:v>
                </c:pt>
                <c:pt idx="1">
                  <c:v>3.0623884807076198E-2</c:v>
                </c:pt>
                <c:pt idx="2">
                  <c:v>-2.6037745878136509E-2</c:v>
                </c:pt>
                <c:pt idx="3">
                  <c:v>-9.8999009104421984E-2</c:v>
                </c:pt>
                <c:pt idx="4">
                  <c:v>-0.11098067513202771</c:v>
                </c:pt>
                <c:pt idx="5">
                  <c:v>9.632918399677913E-2</c:v>
                </c:pt>
                <c:pt idx="6">
                  <c:v>2.6115297776819067E-2</c:v>
                </c:pt>
                <c:pt idx="7">
                  <c:v>-8.0948674822475322E-3</c:v>
                </c:pt>
                <c:pt idx="8">
                  <c:v>-0.12512940888176777</c:v>
                </c:pt>
                <c:pt idx="9">
                  <c:v>-0.15682741158225161</c:v>
                </c:pt>
                <c:pt idx="10">
                  <c:v>2.8377859706281938E-2</c:v>
                </c:pt>
                <c:pt idx="11">
                  <c:v>4.8425335864486461E-3</c:v>
                </c:pt>
                <c:pt idx="12">
                  <c:v>-5.8676664935427739E-2</c:v>
                </c:pt>
                <c:pt idx="13">
                  <c:v>-0.11475389370512336</c:v>
                </c:pt>
                <c:pt idx="14">
                  <c:v>-0.14228198686529514</c:v>
                </c:pt>
                <c:pt idx="15">
                  <c:v>9.799999999999999E-2</c:v>
                </c:pt>
                <c:pt idx="16">
                  <c:v>1.1805211249148465E-2</c:v>
                </c:pt>
                <c:pt idx="17">
                  <c:v>-4.2070289628675928E-2</c:v>
                </c:pt>
                <c:pt idx="18">
                  <c:v>-9.0351868102003519E-2</c:v>
                </c:pt>
                <c:pt idx="19">
                  <c:v>-0.14893127759955757</c:v>
                </c:pt>
              </c:numCache>
            </c:numRef>
          </c:xVal>
          <c:yVal>
            <c:numRef>
              <c:f>'Fig 7a-d'!$D$80:$D$99</c:f>
              <c:numCache>
                <c:formatCode>General</c:formatCode>
                <c:ptCount val="20"/>
                <c:pt idx="5">
                  <c:v>0.15384615384615385</c:v>
                </c:pt>
                <c:pt idx="6">
                  <c:v>0.46153846153846156</c:v>
                </c:pt>
                <c:pt idx="7">
                  <c:v>0.69230769230769229</c:v>
                </c:pt>
                <c:pt idx="8">
                  <c:v>0.84615384615384615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0D-41AD-B426-0C14144A506F}"/>
            </c:ext>
          </c:extLst>
        </c:ser>
        <c:ser>
          <c:idx val="3"/>
          <c:order val="3"/>
          <c:tx>
            <c:strRef>
              <c:f>'Fig 7a-d'!$E$79</c:f>
              <c:strCache>
                <c:ptCount val="1"/>
                <c:pt idx="0">
                  <c:v>pyridinic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'Fig 7a-d'!$A$80:$A$99</c:f>
              <c:numCache>
                <c:formatCode>General</c:formatCode>
                <c:ptCount val="20"/>
                <c:pt idx="0">
                  <c:v>0.16502096030023164</c:v>
                </c:pt>
                <c:pt idx="1">
                  <c:v>3.0623884807076198E-2</c:v>
                </c:pt>
                <c:pt idx="2">
                  <c:v>-2.6037745878136509E-2</c:v>
                </c:pt>
                <c:pt idx="3">
                  <c:v>-9.8999009104421984E-2</c:v>
                </c:pt>
                <c:pt idx="4">
                  <c:v>-0.11098067513202771</c:v>
                </c:pt>
                <c:pt idx="5">
                  <c:v>9.632918399677913E-2</c:v>
                </c:pt>
                <c:pt idx="6">
                  <c:v>2.6115297776819067E-2</c:v>
                </c:pt>
                <c:pt idx="7">
                  <c:v>-8.0948674822475322E-3</c:v>
                </c:pt>
                <c:pt idx="8">
                  <c:v>-0.12512940888176777</c:v>
                </c:pt>
                <c:pt idx="9">
                  <c:v>-0.15682741158225161</c:v>
                </c:pt>
                <c:pt idx="10">
                  <c:v>2.8377859706281938E-2</c:v>
                </c:pt>
                <c:pt idx="11">
                  <c:v>4.8425335864486461E-3</c:v>
                </c:pt>
                <c:pt idx="12">
                  <c:v>-5.8676664935427739E-2</c:v>
                </c:pt>
                <c:pt idx="13">
                  <c:v>-0.11475389370512336</c:v>
                </c:pt>
                <c:pt idx="14">
                  <c:v>-0.14228198686529514</c:v>
                </c:pt>
                <c:pt idx="15">
                  <c:v>9.799999999999999E-2</c:v>
                </c:pt>
                <c:pt idx="16">
                  <c:v>1.1805211249148465E-2</c:v>
                </c:pt>
                <c:pt idx="17">
                  <c:v>-4.2070289628675928E-2</c:v>
                </c:pt>
                <c:pt idx="18">
                  <c:v>-9.0351868102003519E-2</c:v>
                </c:pt>
                <c:pt idx="19">
                  <c:v>-0.14893127759955757</c:v>
                </c:pt>
              </c:numCache>
            </c:numRef>
          </c:xVal>
          <c:yVal>
            <c:numRef>
              <c:f>'Fig 7a-d'!$E$80:$E$99</c:f>
              <c:numCache>
                <c:formatCode>General</c:formatCode>
                <c:ptCount val="20"/>
                <c:pt idx="0">
                  <c:v>0.15384615384615385</c:v>
                </c:pt>
                <c:pt idx="1">
                  <c:v>0.46153846153846156</c:v>
                </c:pt>
                <c:pt idx="2">
                  <c:v>0.69230769230769229</c:v>
                </c:pt>
                <c:pt idx="3">
                  <c:v>0.84615384615384615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0D-41AD-B426-0C14144A5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506040"/>
        <c:axId val="726506680"/>
      </c:scatterChart>
      <c:valAx>
        <c:axId val="726506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(V vs. RHE)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06680"/>
        <c:crosses val="autoZero"/>
        <c:crossBetween val="midCat"/>
      </c:valAx>
      <c:valAx>
        <c:axId val="7265066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06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490266841644793"/>
          <c:y val="5.692002041411489E-2"/>
          <c:w val="0.24451923213596491"/>
          <c:h val="0.439526249597910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7a-d'!$Y$26</c:f>
              <c:strCache>
                <c:ptCount val="1"/>
                <c:pt idx="0">
                  <c:v>graphene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'Fig 7a-d'!$X$28:$X$55</c:f>
              <c:numCache>
                <c:formatCode>General</c:formatCode>
                <c:ptCount val="28"/>
                <c:pt idx="0">
                  <c:v>-2.3722714897021522</c:v>
                </c:pt>
                <c:pt idx="1">
                  <c:v>-1.0114873025096562E-2</c:v>
                </c:pt>
                <c:pt idx="2">
                  <c:v>0.30622931684784543</c:v>
                </c:pt>
                <c:pt idx="3">
                  <c:v>4.8032299011544781</c:v>
                </c:pt>
                <c:pt idx="4">
                  <c:v>-5.2022643139395743</c:v>
                </c:pt>
                <c:pt idx="5">
                  <c:v>-3.4312987681697624</c:v>
                </c:pt>
                <c:pt idx="6">
                  <c:v>-1.0394726236774776</c:v>
                </c:pt>
                <c:pt idx="7">
                  <c:v>0.21002648232994314</c:v>
                </c:pt>
                <c:pt idx="8">
                  <c:v>1.5084812978088733</c:v>
                </c:pt>
                <c:pt idx="9">
                  <c:v>-2.8699403500445495</c:v>
                </c:pt>
                <c:pt idx="10">
                  <c:v>-1.289517509918066</c:v>
                </c:pt>
                <c:pt idx="11">
                  <c:v>0.95268672621074146</c:v>
                </c:pt>
                <c:pt idx="12">
                  <c:v>1.4244946652812305</c:v>
                </c:pt>
                <c:pt idx="13">
                  <c:v>1.9691649147290504</c:v>
                </c:pt>
                <c:pt idx="14">
                  <c:v>3.6810676067884871</c:v>
                </c:pt>
                <c:pt idx="15">
                  <c:v>-7.6175328345622138</c:v>
                </c:pt>
                <c:pt idx="16">
                  <c:v>-0.6083280214136727</c:v>
                </c:pt>
                <c:pt idx="17">
                  <c:v>-0.38735787747155526</c:v>
                </c:pt>
                <c:pt idx="18">
                  <c:v>0.26283900341448119</c:v>
                </c:pt>
                <c:pt idx="19">
                  <c:v>3.3206077317891469</c:v>
                </c:pt>
                <c:pt idx="20">
                  <c:v>0.13231306561197004</c:v>
                </c:pt>
                <c:pt idx="21">
                  <c:v>0.5608383457340439</c:v>
                </c:pt>
                <c:pt idx="22">
                  <c:v>0.86773668015320182</c:v>
                </c:pt>
                <c:pt idx="23">
                  <c:v>1.1121666262314673</c:v>
                </c:pt>
                <c:pt idx="24">
                  <c:v>1.3181417926389789</c:v>
                </c:pt>
                <c:pt idx="25">
                  <c:v>1.4978870736323642</c:v>
                </c:pt>
                <c:pt idx="26">
                  <c:v>1.658488268389259</c:v>
                </c:pt>
              </c:numCache>
            </c:numRef>
          </c:xVal>
          <c:yVal>
            <c:numRef>
              <c:f>'Fig 7a-d'!$Y$28:$Y$55</c:f>
              <c:numCache>
                <c:formatCode>General</c:formatCode>
                <c:ptCount val="28"/>
                <c:pt idx="5">
                  <c:v>-5.180521124914847E-2</c:v>
                </c:pt>
                <c:pt idx="6">
                  <c:v>2.0702896286759302E-3</c:v>
                </c:pt>
                <c:pt idx="7">
                  <c:v>5.0351868102003511E-2</c:v>
                </c:pt>
                <c:pt idx="8">
                  <c:v>0.10893127759955758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2-47EF-A43D-A685BEC59316}"/>
            </c:ext>
          </c:extLst>
        </c:ser>
        <c:ser>
          <c:idx val="1"/>
          <c:order val="1"/>
          <c:tx>
            <c:strRef>
              <c:f>'Fig 7a-d'!$Z$26</c:f>
              <c:strCache>
                <c:ptCount val="1"/>
                <c:pt idx="0">
                  <c:v>pyrrolic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'Fig 7a-d'!$X$28:$X$55</c:f>
              <c:numCache>
                <c:formatCode>General</c:formatCode>
                <c:ptCount val="28"/>
                <c:pt idx="0">
                  <c:v>-2.3722714897021522</c:v>
                </c:pt>
                <c:pt idx="1">
                  <c:v>-1.0114873025096562E-2</c:v>
                </c:pt>
                <c:pt idx="2">
                  <c:v>0.30622931684784543</c:v>
                </c:pt>
                <c:pt idx="3">
                  <c:v>4.8032299011544781</c:v>
                </c:pt>
                <c:pt idx="4">
                  <c:v>-5.2022643139395743</c:v>
                </c:pt>
                <c:pt idx="5">
                  <c:v>-3.4312987681697624</c:v>
                </c:pt>
                <c:pt idx="6">
                  <c:v>-1.0394726236774776</c:v>
                </c:pt>
                <c:pt idx="7">
                  <c:v>0.21002648232994314</c:v>
                </c:pt>
                <c:pt idx="8">
                  <c:v>1.5084812978088733</c:v>
                </c:pt>
                <c:pt idx="9">
                  <c:v>-2.8699403500445495</c:v>
                </c:pt>
                <c:pt idx="10">
                  <c:v>-1.289517509918066</c:v>
                </c:pt>
                <c:pt idx="11">
                  <c:v>0.95268672621074146</c:v>
                </c:pt>
                <c:pt idx="12">
                  <c:v>1.4244946652812305</c:v>
                </c:pt>
                <c:pt idx="13">
                  <c:v>1.9691649147290504</c:v>
                </c:pt>
                <c:pt idx="14">
                  <c:v>3.6810676067884871</c:v>
                </c:pt>
                <c:pt idx="15">
                  <c:v>-7.6175328345622138</c:v>
                </c:pt>
                <c:pt idx="16">
                  <c:v>-0.6083280214136727</c:v>
                </c:pt>
                <c:pt idx="17">
                  <c:v>-0.38735787747155526</c:v>
                </c:pt>
                <c:pt idx="18">
                  <c:v>0.26283900341448119</c:v>
                </c:pt>
                <c:pt idx="19">
                  <c:v>3.3206077317891469</c:v>
                </c:pt>
                <c:pt idx="20">
                  <c:v>0.13231306561197004</c:v>
                </c:pt>
                <c:pt idx="21">
                  <c:v>0.5608383457340439</c:v>
                </c:pt>
                <c:pt idx="22">
                  <c:v>0.86773668015320182</c:v>
                </c:pt>
                <c:pt idx="23">
                  <c:v>1.1121666262314673</c:v>
                </c:pt>
                <c:pt idx="24">
                  <c:v>1.3181417926389789</c:v>
                </c:pt>
                <c:pt idx="25">
                  <c:v>1.4978870736323642</c:v>
                </c:pt>
                <c:pt idx="26">
                  <c:v>1.658488268389259</c:v>
                </c:pt>
              </c:numCache>
            </c:numRef>
          </c:xVal>
          <c:yVal>
            <c:numRef>
              <c:f>'Fig 7a-d'!$Z$28:$Z$55</c:f>
              <c:numCache>
                <c:formatCode>General</c:formatCode>
                <c:ptCount val="28"/>
                <c:pt idx="9">
                  <c:v>-6.8377859706281935E-2</c:v>
                </c:pt>
                <c:pt idx="10">
                  <c:v>-4.4842533586448644E-2</c:v>
                </c:pt>
                <c:pt idx="11">
                  <c:v>1.8676664935427741E-2</c:v>
                </c:pt>
                <c:pt idx="12">
                  <c:v>3.6570862963814108E-2</c:v>
                </c:pt>
                <c:pt idx="13">
                  <c:v>7.475389370512335E-2</c:v>
                </c:pt>
                <c:pt idx="14">
                  <c:v>0.10228198686529515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2-47EF-A43D-A685BEC59316}"/>
            </c:ext>
          </c:extLst>
        </c:ser>
        <c:ser>
          <c:idx val="2"/>
          <c:order val="2"/>
          <c:tx>
            <c:strRef>
              <c:f>'Fig 7a-d'!$AA$26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 7a-d'!$X$28:$X$55</c:f>
              <c:numCache>
                <c:formatCode>General</c:formatCode>
                <c:ptCount val="28"/>
                <c:pt idx="0">
                  <c:v>-2.3722714897021522</c:v>
                </c:pt>
                <c:pt idx="1">
                  <c:v>-1.0114873025096562E-2</c:v>
                </c:pt>
                <c:pt idx="2">
                  <c:v>0.30622931684784543</c:v>
                </c:pt>
                <c:pt idx="3">
                  <c:v>4.8032299011544781</c:v>
                </c:pt>
                <c:pt idx="4">
                  <c:v>-5.2022643139395743</c:v>
                </c:pt>
                <c:pt idx="5">
                  <c:v>-3.4312987681697624</c:v>
                </c:pt>
                <c:pt idx="6">
                  <c:v>-1.0394726236774776</c:v>
                </c:pt>
                <c:pt idx="7">
                  <c:v>0.21002648232994314</c:v>
                </c:pt>
                <c:pt idx="8">
                  <c:v>1.5084812978088733</c:v>
                </c:pt>
                <c:pt idx="9">
                  <c:v>-2.8699403500445495</c:v>
                </c:pt>
                <c:pt idx="10">
                  <c:v>-1.289517509918066</c:v>
                </c:pt>
                <c:pt idx="11">
                  <c:v>0.95268672621074146</c:v>
                </c:pt>
                <c:pt idx="12">
                  <c:v>1.4244946652812305</c:v>
                </c:pt>
                <c:pt idx="13">
                  <c:v>1.9691649147290504</c:v>
                </c:pt>
                <c:pt idx="14">
                  <c:v>3.6810676067884871</c:v>
                </c:pt>
                <c:pt idx="15">
                  <c:v>-7.6175328345622138</c:v>
                </c:pt>
                <c:pt idx="16">
                  <c:v>-0.6083280214136727</c:v>
                </c:pt>
                <c:pt idx="17">
                  <c:v>-0.38735787747155526</c:v>
                </c:pt>
                <c:pt idx="18">
                  <c:v>0.26283900341448119</c:v>
                </c:pt>
                <c:pt idx="19">
                  <c:v>3.3206077317891469</c:v>
                </c:pt>
                <c:pt idx="20">
                  <c:v>0.13231306561197004</c:v>
                </c:pt>
                <c:pt idx="21">
                  <c:v>0.5608383457340439</c:v>
                </c:pt>
                <c:pt idx="22">
                  <c:v>0.86773668015320182</c:v>
                </c:pt>
                <c:pt idx="23">
                  <c:v>1.1121666262314673</c:v>
                </c:pt>
                <c:pt idx="24">
                  <c:v>1.3181417926389789</c:v>
                </c:pt>
                <c:pt idx="25">
                  <c:v>1.4978870736323642</c:v>
                </c:pt>
                <c:pt idx="26">
                  <c:v>1.658488268389259</c:v>
                </c:pt>
              </c:numCache>
            </c:numRef>
          </c:xVal>
          <c:yVal>
            <c:numRef>
              <c:f>'Fig 7a-d'!$AA$28:$AA$55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2-47EF-A43D-A685BEC59316}"/>
            </c:ext>
          </c:extLst>
        </c:ser>
        <c:ser>
          <c:idx val="3"/>
          <c:order val="3"/>
          <c:tx>
            <c:strRef>
              <c:f>'Fig 7a-d'!$AB$26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'Fig 7a-d'!$X$28:$X$55</c:f>
              <c:numCache>
                <c:formatCode>General</c:formatCode>
                <c:ptCount val="28"/>
                <c:pt idx="0">
                  <c:v>-2.3722714897021522</c:v>
                </c:pt>
                <c:pt idx="1">
                  <c:v>-1.0114873025096562E-2</c:v>
                </c:pt>
                <c:pt idx="2">
                  <c:v>0.30622931684784543</c:v>
                </c:pt>
                <c:pt idx="3">
                  <c:v>4.8032299011544781</c:v>
                </c:pt>
                <c:pt idx="4">
                  <c:v>-5.2022643139395743</c:v>
                </c:pt>
                <c:pt idx="5">
                  <c:v>-3.4312987681697624</c:v>
                </c:pt>
                <c:pt idx="6">
                  <c:v>-1.0394726236774776</c:v>
                </c:pt>
                <c:pt idx="7">
                  <c:v>0.21002648232994314</c:v>
                </c:pt>
                <c:pt idx="8">
                  <c:v>1.5084812978088733</c:v>
                </c:pt>
                <c:pt idx="9">
                  <c:v>-2.8699403500445495</c:v>
                </c:pt>
                <c:pt idx="10">
                  <c:v>-1.289517509918066</c:v>
                </c:pt>
                <c:pt idx="11">
                  <c:v>0.95268672621074146</c:v>
                </c:pt>
                <c:pt idx="12">
                  <c:v>1.4244946652812305</c:v>
                </c:pt>
                <c:pt idx="13">
                  <c:v>1.9691649147290504</c:v>
                </c:pt>
                <c:pt idx="14">
                  <c:v>3.6810676067884871</c:v>
                </c:pt>
                <c:pt idx="15">
                  <c:v>-7.6175328345622138</c:v>
                </c:pt>
                <c:pt idx="16">
                  <c:v>-0.6083280214136727</c:v>
                </c:pt>
                <c:pt idx="17">
                  <c:v>-0.38735787747155526</c:v>
                </c:pt>
                <c:pt idx="18">
                  <c:v>0.26283900341448119</c:v>
                </c:pt>
                <c:pt idx="19">
                  <c:v>3.3206077317891469</c:v>
                </c:pt>
                <c:pt idx="20">
                  <c:v>0.13231306561197004</c:v>
                </c:pt>
                <c:pt idx="21">
                  <c:v>0.5608383457340439</c:v>
                </c:pt>
                <c:pt idx="22">
                  <c:v>0.86773668015320182</c:v>
                </c:pt>
                <c:pt idx="23">
                  <c:v>1.1121666262314673</c:v>
                </c:pt>
                <c:pt idx="24">
                  <c:v>1.3181417926389789</c:v>
                </c:pt>
                <c:pt idx="25">
                  <c:v>1.4978870736323642</c:v>
                </c:pt>
                <c:pt idx="26">
                  <c:v>1.658488268389259</c:v>
                </c:pt>
              </c:numCache>
            </c:numRef>
          </c:xVal>
          <c:yVal>
            <c:numRef>
              <c:f>'Fig 7a-d'!$AB$28:$AB$55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12-47EF-A43D-A685BEC59316}"/>
            </c:ext>
          </c:extLst>
        </c:ser>
        <c:ser>
          <c:idx val="4"/>
          <c:order val="4"/>
          <c:tx>
            <c:strRef>
              <c:f>'Fig 7a-d'!$AC$26</c:f>
              <c:strCache>
                <c:ptCount val="1"/>
                <c:pt idx="0">
                  <c:v>N-HGC (experiment)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'Fig 7a-d'!$X$28:$X$55</c:f>
              <c:numCache>
                <c:formatCode>General</c:formatCode>
                <c:ptCount val="28"/>
                <c:pt idx="0">
                  <c:v>-2.3722714897021522</c:v>
                </c:pt>
                <c:pt idx="1">
                  <c:v>-1.0114873025096562E-2</c:v>
                </c:pt>
                <c:pt idx="2">
                  <c:v>0.30622931684784543</c:v>
                </c:pt>
                <c:pt idx="3">
                  <c:v>4.8032299011544781</c:v>
                </c:pt>
                <c:pt idx="4">
                  <c:v>-5.2022643139395743</c:v>
                </c:pt>
                <c:pt idx="5">
                  <c:v>-3.4312987681697624</c:v>
                </c:pt>
                <c:pt idx="6">
                  <c:v>-1.0394726236774776</c:v>
                </c:pt>
                <c:pt idx="7">
                  <c:v>0.21002648232994314</c:v>
                </c:pt>
                <c:pt idx="8">
                  <c:v>1.5084812978088733</c:v>
                </c:pt>
                <c:pt idx="9">
                  <c:v>-2.8699403500445495</c:v>
                </c:pt>
                <c:pt idx="10">
                  <c:v>-1.289517509918066</c:v>
                </c:pt>
                <c:pt idx="11">
                  <c:v>0.95268672621074146</c:v>
                </c:pt>
                <c:pt idx="12">
                  <c:v>1.4244946652812305</c:v>
                </c:pt>
                <c:pt idx="13">
                  <c:v>1.9691649147290504</c:v>
                </c:pt>
                <c:pt idx="14">
                  <c:v>3.6810676067884871</c:v>
                </c:pt>
                <c:pt idx="15">
                  <c:v>-7.6175328345622138</c:v>
                </c:pt>
                <c:pt idx="16">
                  <c:v>-0.6083280214136727</c:v>
                </c:pt>
                <c:pt idx="17">
                  <c:v>-0.38735787747155526</c:v>
                </c:pt>
                <c:pt idx="18">
                  <c:v>0.26283900341448119</c:v>
                </c:pt>
                <c:pt idx="19">
                  <c:v>3.3206077317891469</c:v>
                </c:pt>
                <c:pt idx="20">
                  <c:v>0.13231306561197004</c:v>
                </c:pt>
                <c:pt idx="21">
                  <c:v>0.5608383457340439</c:v>
                </c:pt>
                <c:pt idx="22">
                  <c:v>0.86773668015320182</c:v>
                </c:pt>
                <c:pt idx="23">
                  <c:v>1.1121666262314673</c:v>
                </c:pt>
                <c:pt idx="24">
                  <c:v>1.3181417926389789</c:v>
                </c:pt>
                <c:pt idx="25">
                  <c:v>1.4978870736323642</c:v>
                </c:pt>
                <c:pt idx="26">
                  <c:v>1.658488268389259</c:v>
                </c:pt>
              </c:numCache>
            </c:numRef>
          </c:xVal>
          <c:yVal>
            <c:numRef>
              <c:f>'Fig 7a-d'!$AC$28:$AC$55</c:f>
              <c:numCache>
                <c:formatCode>General</c:formatCode>
                <c:ptCount val="28"/>
                <c:pt idx="20">
                  <c:v>0</c:v>
                </c:pt>
                <c:pt idx="21">
                  <c:v>5.0000000000000001E-3</c:v>
                </c:pt>
                <c:pt idx="22">
                  <c:v>0.01</c:v>
                </c:pt>
                <c:pt idx="23">
                  <c:v>1.4999999999999999E-2</c:v>
                </c:pt>
                <c:pt idx="24">
                  <c:v>0.02</c:v>
                </c:pt>
                <c:pt idx="25">
                  <c:v>2.5000000000000001E-2</c:v>
                </c:pt>
                <c:pt idx="26">
                  <c:v>3.0000000000000002E-2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12-47EF-A43D-A685BEC59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928760"/>
        <c:axId val="849933880"/>
      </c:scatterChart>
      <c:valAx>
        <c:axId val="849928760"/>
        <c:scaling>
          <c:orientation val="minMax"/>
          <c:max val="4"/>
          <c:min val="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log -</a:t>
                </a:r>
                <a:r>
                  <a:rPr lang="en-US" sz="1500" b="0" i="0" baseline="0">
                    <a:effectLst/>
                  </a:rPr>
                  <a:t>j (mA/cm²)</a:t>
                </a:r>
                <a:endParaRPr lang="en-US" sz="15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933880"/>
        <c:crosses val="autoZero"/>
        <c:crossBetween val="midCat"/>
      </c:valAx>
      <c:valAx>
        <c:axId val="849933880"/>
        <c:scaling>
          <c:orientation val="minMax"/>
          <c:max val="0.1500000000000000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Overpotential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92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1487364</xdr:colOff>
      <xdr:row>61</xdr:row>
      <xdr:rowOff>101111</xdr:rowOff>
    </xdr:from>
    <xdr:to>
      <xdr:col>24</xdr:col>
      <xdr:colOff>2278671</xdr:colOff>
      <xdr:row>77</xdr:row>
      <xdr:rowOff>30772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290C3-D393-460F-9D53-0249E3963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590550</xdr:colOff>
      <xdr:row>8</xdr:row>
      <xdr:rowOff>128587</xdr:rowOff>
    </xdr:from>
    <xdr:to>
      <xdr:col>33</xdr:col>
      <xdr:colOff>942975</xdr:colOff>
      <xdr:row>23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D0FD4C-54BF-4D28-8CE5-2958509CF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438150</xdr:colOff>
      <xdr:row>66</xdr:row>
      <xdr:rowOff>100012</xdr:rowOff>
    </xdr:from>
    <xdr:to>
      <xdr:col>47</xdr:col>
      <xdr:colOff>95250</xdr:colOff>
      <xdr:row>81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1F7893-9F95-49CB-80E4-56176EDF4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390525</xdr:colOff>
      <xdr:row>65</xdr:row>
      <xdr:rowOff>109537</xdr:rowOff>
    </xdr:from>
    <xdr:to>
      <xdr:col>48</xdr:col>
      <xdr:colOff>47625</xdr:colOff>
      <xdr:row>80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DD5D68-BD38-4A14-A84B-E2BB97EAB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1487364</xdr:colOff>
      <xdr:row>61</xdr:row>
      <xdr:rowOff>101111</xdr:rowOff>
    </xdr:from>
    <xdr:to>
      <xdr:col>24</xdr:col>
      <xdr:colOff>2278671</xdr:colOff>
      <xdr:row>77</xdr:row>
      <xdr:rowOff>30772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9295A-73AD-43CA-94D6-BF3225BC3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1487364</xdr:colOff>
      <xdr:row>61</xdr:row>
      <xdr:rowOff>101111</xdr:rowOff>
    </xdr:from>
    <xdr:to>
      <xdr:col>24</xdr:col>
      <xdr:colOff>2278671</xdr:colOff>
      <xdr:row>77</xdr:row>
      <xdr:rowOff>30772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D6F6B-91D7-452C-A840-8847902D5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561975</xdr:colOff>
      <xdr:row>53</xdr:row>
      <xdr:rowOff>14287</xdr:rowOff>
    </xdr:from>
    <xdr:to>
      <xdr:col>47</xdr:col>
      <xdr:colOff>219075</xdr:colOff>
      <xdr:row>68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0F21F1-C25E-4310-ACF8-D02068A09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1487364</xdr:colOff>
      <xdr:row>61</xdr:row>
      <xdr:rowOff>101111</xdr:rowOff>
    </xdr:from>
    <xdr:to>
      <xdr:col>24</xdr:col>
      <xdr:colOff>2278671</xdr:colOff>
      <xdr:row>77</xdr:row>
      <xdr:rowOff>30772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2983F-9BD2-4D47-861E-532D510B1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590550</xdr:colOff>
      <xdr:row>8</xdr:row>
      <xdr:rowOff>128587</xdr:rowOff>
    </xdr:from>
    <xdr:to>
      <xdr:col>33</xdr:col>
      <xdr:colOff>942975</xdr:colOff>
      <xdr:row>23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9BF8B9-681E-467D-B5DB-7D941D5BC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85725</xdr:colOff>
      <xdr:row>13</xdr:row>
      <xdr:rowOff>161925</xdr:rowOff>
    </xdr:from>
    <xdr:to>
      <xdr:col>25</xdr:col>
      <xdr:colOff>409573</xdr:colOff>
      <xdr:row>32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7A4736-1D4B-41D7-9C75-D3D3E1734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552450</xdr:colOff>
      <xdr:row>14</xdr:row>
      <xdr:rowOff>19051</xdr:rowOff>
    </xdr:from>
    <xdr:to>
      <xdr:col>20</xdr:col>
      <xdr:colOff>190501</xdr:colOff>
      <xdr:row>29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87D8FC-173E-4488-9F7F-A05BD0FCB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333375</xdr:colOff>
      <xdr:row>14</xdr:row>
      <xdr:rowOff>33336</xdr:rowOff>
    </xdr:from>
    <xdr:to>
      <xdr:col>14</xdr:col>
      <xdr:colOff>600075</xdr:colOff>
      <xdr:row>29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29143-3953-4BA6-B633-746CA07AA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590550</xdr:colOff>
      <xdr:row>14</xdr:row>
      <xdr:rowOff>95250</xdr:rowOff>
    </xdr:from>
    <xdr:ext cx="84786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7429B-CA85-463B-A3A0-8E4A713E8CD6}"/>
            </a:ext>
          </a:extLst>
        </xdr:cNvPr>
        <xdr:cNvSpPr txBox="1"/>
      </xdr:nvSpPr>
      <xdr:spPr>
        <a:xfrm>
          <a:off x="8134350" y="2628900"/>
          <a:ext cx="84786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-0.10 V</a:t>
          </a:r>
        </a:p>
      </xdr:txBody>
    </xdr:sp>
    <xdr:clientData/>
  </xdr:oneCellAnchor>
  <xdr:oneCellAnchor>
    <xdr:from>
      <xdr:col>22</xdr:col>
      <xdr:colOff>190500</xdr:colOff>
      <xdr:row>14</xdr:row>
      <xdr:rowOff>47625</xdr:rowOff>
    </xdr:from>
    <xdr:ext cx="777200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A94095-671E-4994-94A3-48FE807E83BD}"/>
            </a:ext>
          </a:extLst>
        </xdr:cNvPr>
        <xdr:cNvSpPr txBox="1"/>
      </xdr:nvSpPr>
      <xdr:spPr>
        <a:xfrm>
          <a:off x="15278100" y="2581275"/>
          <a:ext cx="77720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0.05 V</a:t>
          </a:r>
        </a:p>
      </xdr:txBody>
    </xdr:sp>
    <xdr:clientData/>
  </xdr:oneCellAnchor>
  <xdr:oneCellAnchor>
    <xdr:from>
      <xdr:col>17</xdr:col>
      <xdr:colOff>0</xdr:colOff>
      <xdr:row>14</xdr:row>
      <xdr:rowOff>76200</xdr:rowOff>
    </xdr:from>
    <xdr:ext cx="1223989" cy="37414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46F068B-AE17-4CD0-AE6D-1A97917EE704}"/>
            </a:ext>
          </a:extLst>
        </xdr:cNvPr>
        <xdr:cNvSpPr txBox="1"/>
      </xdr:nvSpPr>
      <xdr:spPr>
        <a:xfrm>
          <a:off x="11658600" y="2609850"/>
          <a:ext cx="122398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0 V vs. RHE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160489</xdr:rowOff>
    </xdr:from>
    <xdr:to>
      <xdr:col>6</xdr:col>
      <xdr:colOff>664481</xdr:colOff>
      <xdr:row>67</xdr:row>
      <xdr:rowOff>57641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E46D733-E3BC-4BE3-ADCF-ACCD7F008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76282</xdr:colOff>
      <xdr:row>7</xdr:row>
      <xdr:rowOff>64193</xdr:rowOff>
    </xdr:from>
    <xdr:to>
      <xdr:col>6</xdr:col>
      <xdr:colOff>572049</xdr:colOff>
      <xdr:row>25</xdr:row>
      <xdr:rowOff>178162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F49817-7FE9-4116-A2B4-96CF16214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143630</xdr:colOff>
      <xdr:row>69</xdr:row>
      <xdr:rowOff>16990</xdr:rowOff>
    </xdr:from>
    <xdr:to>
      <xdr:col>5</xdr:col>
      <xdr:colOff>513480</xdr:colOff>
      <xdr:row>84</xdr:row>
      <xdr:rowOff>84119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760A93-E684-4657-8D20-BADD79230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29</xdr:row>
      <xdr:rowOff>117153</xdr:rowOff>
    </xdr:from>
    <xdr:to>
      <xdr:col>5</xdr:col>
      <xdr:colOff>195320</xdr:colOff>
      <xdr:row>46</xdr:row>
      <xdr:rowOff>136072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6EC193A-FE45-4CA2-B732-795D13A01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0.19659</cdr:x>
      <cdr:y>0.52428</cdr:y>
    </cdr:from>
    <cdr:to>
      <cdr:x>0.39659</cdr:x>
      <cdr:y>0.85762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73AB77B-4AE0-4CC1-B0F0-3F6C3DA60E28}"/>
            </a:ext>
          </a:extLst>
        </cdr:cNvPr>
        <cdr:cNvSpPr txBox="1"/>
      </cdr:nvSpPr>
      <cdr:spPr>
        <a:xfrm xmlns:a="http://schemas.openxmlformats.org/drawingml/2006/main" rot="19265783">
          <a:off x="734846" y="1601693"/>
          <a:ext cx="747580" cy="1018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graphene:</a:t>
          </a:r>
          <a:r>
            <a:rPr lang="en-US" sz="1100" baseline="0"/>
            <a:t> 34.6 mV/dec</a:t>
          </a:r>
          <a:r>
            <a:rPr lang="en-US" sz="1100"/>
            <a:t> </a:t>
          </a:r>
        </a:p>
      </cdr:txBody>
    </cdr:sp>
  </cdr:relSizeAnchor>
  <cdr:relSizeAnchor xmlns:cdr="http://schemas.openxmlformats.org/drawingml/2006/chartDrawing">
    <cdr:from>
      <cdr:x>0.61007</cdr:x>
      <cdr:y>0.29099</cdr:y>
    </cdr:from>
    <cdr:to>
      <cdr:x>0.81007</cdr:x>
      <cdr:y>0.62432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F7B2E8B-4297-4ACF-9933-E66EF3BAB44D}"/>
            </a:ext>
          </a:extLst>
        </cdr:cNvPr>
        <cdr:cNvSpPr txBox="1"/>
      </cdr:nvSpPr>
      <cdr:spPr>
        <a:xfrm xmlns:a="http://schemas.openxmlformats.org/drawingml/2006/main" rot="19611628">
          <a:off x="2280380" y="888982"/>
          <a:ext cx="747580" cy="10183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pyrrolic:</a:t>
          </a:r>
          <a:r>
            <a:rPr lang="en-US" sz="1100" baseline="0"/>
            <a:t> 27.8 mV/dec</a:t>
          </a:r>
          <a:r>
            <a:rPr lang="en-US" sz="1100"/>
            <a:t> </a:t>
          </a:r>
        </a:p>
      </cdr:txBody>
    </cdr:sp>
  </cdr:relSizeAnchor>
  <cdr:relSizeAnchor xmlns:cdr="http://schemas.openxmlformats.org/drawingml/2006/chartDrawing">
    <cdr:from>
      <cdr:x>0.52067</cdr:x>
      <cdr:y>0.49344</cdr:y>
    </cdr:from>
    <cdr:to>
      <cdr:x>0.72067</cdr:x>
      <cdr:y>0.82677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9C6E6B3-EDE0-4554-BF69-3281B9175E25}"/>
            </a:ext>
          </a:extLst>
        </cdr:cNvPr>
        <cdr:cNvSpPr txBox="1"/>
      </cdr:nvSpPr>
      <cdr:spPr>
        <a:xfrm xmlns:a="http://schemas.openxmlformats.org/drawingml/2006/main" rot="20074062">
          <a:off x="1946210" y="1507459"/>
          <a:ext cx="747580" cy="1018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N-HGC (experiment): 25.4 mV/dec</a:t>
          </a:r>
          <a:r>
            <a:rPr lang="en-US" sz="1100"/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417D-A187-44D2-99F1-53632E8DE0F6}">
  <dimension ref="A1:AZ143"/>
  <sheetViews>
    <sheetView tabSelected="1" topLeftCell="A9" zoomScaleNormal="100" workbookViewId="0">
      <selection activeCell="AI24" sqref="AI24"/>
    </sheetView>
  </sheetViews>
  <sheetFormatPr defaultColWidth="9" defaultRowHeight="14.25"/>
  <cols>
    <col min="1" max="1" width="23.125" customWidth="1"/>
    <col min="2" max="2" width="21" customWidth="1"/>
    <col min="3" max="3" width="13" customWidth="1"/>
    <col min="4" max="4" width="17.625" customWidth="1"/>
    <col min="5" max="5" width="18.25" customWidth="1"/>
    <col min="6" max="6" width="31.375" customWidth="1"/>
    <col min="7" max="7" width="22.75" customWidth="1"/>
    <col min="8" max="8" width="22.625" customWidth="1"/>
    <col min="9" max="9" width="30" customWidth="1"/>
    <col min="10" max="10" width="12.125" customWidth="1"/>
    <col min="11" max="11" width="20.625" customWidth="1"/>
    <col min="12" max="12" width="14.875" customWidth="1"/>
    <col min="13" max="13" width="23.25" customWidth="1"/>
    <col min="14" max="14" width="9.875" customWidth="1"/>
    <col min="15" max="16" width="13" customWidth="1"/>
    <col min="17" max="17" width="23.25" customWidth="1"/>
    <col min="18" max="18" width="14.25" customWidth="1"/>
    <col min="19" max="19" width="19.125" customWidth="1"/>
    <col min="20" max="20" width="16.125" customWidth="1"/>
    <col min="21" max="21" width="21.625" customWidth="1"/>
    <col min="22" max="24" width="22.25" customWidth="1"/>
    <col min="25" max="25" width="32.25" customWidth="1"/>
    <col min="26" max="26" width="10.75" customWidth="1"/>
    <col min="27" max="27" width="21.75" customWidth="1"/>
    <col min="28" max="28" width="16.75" customWidth="1"/>
    <col min="29" max="29" width="14.875" customWidth="1"/>
    <col min="30" max="31" width="10.75" customWidth="1"/>
    <col min="32" max="32" width="19.625" customWidth="1"/>
    <col min="33" max="33" width="25" customWidth="1"/>
    <col min="34" max="34" width="42.375" customWidth="1"/>
    <col min="35" max="35" width="26.75" customWidth="1"/>
    <col min="36" max="36" width="21.5" customWidth="1"/>
    <col min="37" max="37" width="10.75" customWidth="1"/>
    <col min="38" max="38" width="18.5" customWidth="1"/>
    <col min="39" max="1025" width="10.75" customWidth="1"/>
    <col min="1026" max="1026" width="9" customWidth="1"/>
  </cols>
  <sheetData>
    <row r="1" spans="1:52" ht="15">
      <c r="A1" t="s">
        <v>47</v>
      </c>
      <c r="B1">
        <v>2</v>
      </c>
      <c r="H1" t="s">
        <v>72</v>
      </c>
      <c r="K1" t="s">
        <v>86</v>
      </c>
      <c r="L1" s="27">
        <v>130.68</v>
      </c>
      <c r="M1" t="s">
        <v>87</v>
      </c>
      <c r="N1" t="s">
        <v>72</v>
      </c>
      <c r="O1" s="8">
        <v>2.70590029233333E-10</v>
      </c>
      <c r="R1" t="s">
        <v>39</v>
      </c>
    </row>
    <row r="2" spans="1:52">
      <c r="A2" t="s">
        <v>48</v>
      </c>
      <c r="B2" s="8">
        <f>O6</f>
        <v>6.3942155849131362E-20</v>
      </c>
      <c r="C2" t="s">
        <v>49</v>
      </c>
      <c r="D2" s="8">
        <f>B2*(100^2)</f>
        <v>6.3942155849131364E-16</v>
      </c>
      <c r="E2" t="s">
        <v>50</v>
      </c>
      <c r="H2" s="8">
        <v>2.7058999999999999E-10</v>
      </c>
      <c r="I2" t="s">
        <v>73</v>
      </c>
      <c r="J2" s="7"/>
      <c r="L2">
        <f>L1/6.02E+23</f>
        <v>2.1707641196013289E-22</v>
      </c>
      <c r="M2" t="s">
        <v>57</v>
      </c>
      <c r="N2" t="s">
        <v>48</v>
      </c>
      <c r="O2">
        <f>O1*SQRT(3)*O1/2</f>
        <v>6.3409482793925798E-20</v>
      </c>
      <c r="X2" t="s">
        <v>0</v>
      </c>
      <c r="AI2">
        <v>7.2061802101000003</v>
      </c>
      <c r="AJ2">
        <f>AI2*0.5291</f>
        <v>3.8127899491639101</v>
      </c>
      <c r="AN2">
        <f>AO6/AM5</f>
        <v>1.0510735669862419</v>
      </c>
      <c r="AP2">
        <f>AP6/AN7</f>
        <v>0.34985275301860569</v>
      </c>
      <c r="AR2">
        <f>AP6/AN7</f>
        <v>0.34985275301860569</v>
      </c>
    </row>
    <row r="3" spans="1:52">
      <c r="A3" t="s">
        <v>51</v>
      </c>
      <c r="B3" s="8">
        <v>1.5999999999999999E-19</v>
      </c>
      <c r="C3" t="s">
        <v>52</v>
      </c>
      <c r="H3" s="8">
        <f>H2*H2/2*(3^0.5)</f>
        <v>6.3409469092974345E-20</v>
      </c>
      <c r="I3" t="s">
        <v>49</v>
      </c>
      <c r="J3" s="7"/>
      <c r="L3">
        <f>L2/1.6E-19</f>
        <v>1.3567275747508308E-3</v>
      </c>
      <c r="M3" t="s">
        <v>88</v>
      </c>
      <c r="X3" t="s">
        <v>1</v>
      </c>
      <c r="AJ3">
        <f>AJ2/SQRT(2)</f>
        <v>2.6960496282937125</v>
      </c>
      <c r="AW3">
        <f>15.34247/3*0.5291</f>
        <v>2.7059002923333337</v>
      </c>
    </row>
    <row r="4" spans="1:52">
      <c r="A4" t="s">
        <v>53</v>
      </c>
      <c r="B4" s="8">
        <v>6.6200000000000001E-34</v>
      </c>
      <c r="C4" t="s">
        <v>54</v>
      </c>
      <c r="D4" t="s">
        <v>55</v>
      </c>
      <c r="E4">
        <v>8.6099585062240669E-5</v>
      </c>
      <c r="G4" t="s">
        <v>74</v>
      </c>
      <c r="H4" s="8">
        <v>1000</v>
      </c>
      <c r="J4" s="7"/>
      <c r="L4">
        <f>L3*B6</f>
        <v>0.40701827242524924</v>
      </c>
      <c r="M4" t="s">
        <v>89</v>
      </c>
      <c r="X4" t="s">
        <v>2</v>
      </c>
      <c r="Y4" t="s">
        <v>3</v>
      </c>
      <c r="AM4">
        <f>AM5/AN5</f>
        <v>1.7295537508384589</v>
      </c>
      <c r="AO4">
        <f>1/AO5*AP5</f>
        <v>0.57735026918962573</v>
      </c>
      <c r="AU4">
        <v>1.7295537508384589</v>
      </c>
    </row>
    <row r="5" spans="1:52">
      <c r="A5" t="s">
        <v>56</v>
      </c>
      <c r="B5" s="8">
        <v>1.3800000000000001E-23</v>
      </c>
      <c r="C5" t="s">
        <v>57</v>
      </c>
      <c r="D5" t="s">
        <v>58</v>
      </c>
      <c r="E5" s="8">
        <v>8.6250000000000009E-5</v>
      </c>
      <c r="H5" s="8"/>
      <c r="J5" s="7"/>
      <c r="O5">
        <f>18.51664226 *16.03588259*0.5291*0.5291</f>
        <v>83.124802603870762</v>
      </c>
      <c r="AL5">
        <v>1</v>
      </c>
      <c r="AM5">
        <v>4.68</v>
      </c>
      <c r="AN5">
        <f>15.34247/3*0.5291</f>
        <v>2.7059002923333337</v>
      </c>
      <c r="AO5">
        <f>AP5*SQRT(3)</f>
        <v>2.4595121467478056</v>
      </c>
      <c r="AP5">
        <v>1.42</v>
      </c>
      <c r="AT5">
        <v>1</v>
      </c>
      <c r="AU5">
        <v>4.68</v>
      </c>
      <c r="AW5">
        <f>15.34247/3*0.5291</f>
        <v>2.7059002923333337</v>
      </c>
      <c r="AX5">
        <f>SQRT((AW5+AW$3*0.5)^2+(AW$3*SQRT(3)/2)^2)</f>
        <v>4.6867567865368116</v>
      </c>
      <c r="AY5">
        <f>SQRT((AW5+AW$3)^2+(AW$3*SQRT(3))^2)</f>
        <v>7.1591392460509766</v>
      </c>
      <c r="AZ5">
        <f>SQRT((AW5+AW$3*3/2)^2+(AW$3*3/2*SQRT(3))^2)</f>
        <v>9.7562622503008321</v>
      </c>
    </row>
    <row r="6" spans="1:52">
      <c r="A6" t="s">
        <v>59</v>
      </c>
      <c r="B6">
        <v>300</v>
      </c>
      <c r="C6" t="s">
        <v>60</v>
      </c>
      <c r="J6" s="7"/>
      <c r="O6">
        <f>O5/13/100000000000000000000</f>
        <v>6.3942155849131362E-20</v>
      </c>
      <c r="AL6">
        <v>2</v>
      </c>
      <c r="AM6">
        <f>AM5*2</f>
        <v>9.36</v>
      </c>
      <c r="AN6">
        <f>AN5*2</f>
        <v>5.4118005846666675</v>
      </c>
      <c r="AO6" s="24">
        <f>AO5*2</f>
        <v>4.9190242934956112</v>
      </c>
      <c r="AP6">
        <f>AP5*2</f>
        <v>2.84</v>
      </c>
      <c r="AT6">
        <v>2</v>
      </c>
      <c r="AU6">
        <v>9.36</v>
      </c>
      <c r="AW6">
        <f>AW5*2</f>
        <v>5.4118005846666675</v>
      </c>
      <c r="AX6" s="18">
        <f t="shared" ref="AX6:AX9" si="0">SQRT((AW6+AW$3*0.5)^2+(AW$3*SQRT(3)/2)^2)</f>
        <v>7.1591392460509766</v>
      </c>
      <c r="AY6" s="18">
        <f t="shared" ref="AY6:AY9" si="1">SQRT((AW6+AW$3)^2+(AW$3*SQRT(3))^2)</f>
        <v>9.3735135730736232</v>
      </c>
      <c r="AZ6">
        <f t="shared" ref="AZ6:AZ9" si="2">SQRT((AW6+AW$3*3/2)^2+(AW$3*3/2*SQRT(3))^2)</f>
        <v>11.794745925578166</v>
      </c>
    </row>
    <row r="7" spans="1:52">
      <c r="B7" s="1"/>
      <c r="C7" s="1"/>
      <c r="D7" s="1"/>
      <c r="E7" s="1"/>
      <c r="AK7">
        <f>AN5*SQRT(2)</f>
        <v>3.8267208918471236</v>
      </c>
      <c r="AL7">
        <v>3</v>
      </c>
      <c r="AM7">
        <f>AM5*3</f>
        <v>14.04</v>
      </c>
      <c r="AN7">
        <f>AN5*3</f>
        <v>8.1177008770000008</v>
      </c>
      <c r="AO7" s="24">
        <f>AO5*3</f>
        <v>7.3785364402434173</v>
      </c>
      <c r="AP7" s="17">
        <f>AP5*3</f>
        <v>4.26</v>
      </c>
      <c r="AR7">
        <f>AN7/0.5291</f>
        <v>15.34247</v>
      </c>
      <c r="AT7">
        <v>3</v>
      </c>
      <c r="AU7">
        <v>14.04</v>
      </c>
      <c r="AW7">
        <f>AW5*3</f>
        <v>8.1177008770000008</v>
      </c>
      <c r="AX7" s="35">
        <f t="shared" si="0"/>
        <v>9.7562622503008321</v>
      </c>
      <c r="AY7" s="18">
        <f t="shared" si="1"/>
        <v>11.794745925578168</v>
      </c>
      <c r="AZ7">
        <f t="shared" si="2"/>
        <v>14.060270359610435</v>
      </c>
    </row>
    <row r="8" spans="1:52">
      <c r="B8" s="1"/>
      <c r="C8" s="1"/>
      <c r="D8" s="1"/>
      <c r="E8" s="1"/>
      <c r="V8">
        <v>1.5</v>
      </c>
      <c r="W8">
        <f>V8-0.2</f>
        <v>1.3</v>
      </c>
      <c r="X8">
        <f t="shared" ref="X8:AD8" si="3">W8-0.2</f>
        <v>1.1000000000000001</v>
      </c>
      <c r="Y8">
        <f t="shared" si="3"/>
        <v>0.90000000000000013</v>
      </c>
      <c r="Z8">
        <f t="shared" si="3"/>
        <v>0.70000000000000018</v>
      </c>
      <c r="AA8">
        <f>Z8-0.2</f>
        <v>0.50000000000000022</v>
      </c>
      <c r="AB8">
        <f t="shared" si="3"/>
        <v>0.30000000000000021</v>
      </c>
      <c r="AC8">
        <f t="shared" si="3"/>
        <v>0.1000000000000002</v>
      </c>
      <c r="AD8">
        <f t="shared" si="3"/>
        <v>-9.9999999999999811E-2</v>
      </c>
      <c r="AK8">
        <f>3.5/SQRT(2)</f>
        <v>2.4748737341529163</v>
      </c>
      <c r="AL8">
        <v>4</v>
      </c>
      <c r="AM8">
        <f>AM5*4</f>
        <v>18.72</v>
      </c>
      <c r="AN8">
        <f>AN5*4</f>
        <v>10.823601169333335</v>
      </c>
      <c r="AO8" s="36">
        <f>AO5*4</f>
        <v>9.8380485869912224</v>
      </c>
      <c r="AP8">
        <f>AP5*4</f>
        <v>5.68</v>
      </c>
      <c r="AT8">
        <v>4</v>
      </c>
      <c r="AU8">
        <v>18.72</v>
      </c>
      <c r="AW8">
        <f>AW5*4</f>
        <v>10.823601169333335</v>
      </c>
      <c r="AX8" s="18">
        <f t="shared" si="0"/>
        <v>12.399992912620636</v>
      </c>
      <c r="AY8" s="18">
        <f>SQRT((AW8+AW$3)^2+(AW$3*SQRT(3))^2)</f>
        <v>14.318278492101953</v>
      </c>
      <c r="AZ8">
        <f t="shared" si="2"/>
        <v>16.459348908928199</v>
      </c>
    </row>
    <row r="9" spans="1:52">
      <c r="A9" t="s">
        <v>4</v>
      </c>
      <c r="B9" s="1"/>
      <c r="C9" s="1"/>
      <c r="D9" s="1"/>
      <c r="E9" s="1"/>
      <c r="F9">
        <v>-16.809909999999999</v>
      </c>
      <c r="G9">
        <v>6.4589999999999996</v>
      </c>
      <c r="H9">
        <v>0.24199999999999999</v>
      </c>
      <c r="I9">
        <v>1.1100000000000001E-3</v>
      </c>
      <c r="J9">
        <f>F9*627.5096+G9+H9+B9+D9-0.29815*(C9+E9+I9)</f>
        <v>-10541.679231082497</v>
      </c>
      <c r="K9" t="s">
        <v>29</v>
      </c>
      <c r="L9" t="s">
        <v>38</v>
      </c>
      <c r="U9" t="s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L9">
        <v>5</v>
      </c>
      <c r="AM9">
        <f>AM$5*$AL9</f>
        <v>23.4</v>
      </c>
      <c r="AN9">
        <f>AN$5*$AL9</f>
        <v>13.529501461666669</v>
      </c>
      <c r="AO9" s="24">
        <f t="shared" ref="AO9:AP9" si="4">AO$5*$AL9</f>
        <v>12.297560733739028</v>
      </c>
      <c r="AP9">
        <f t="shared" si="4"/>
        <v>7.1</v>
      </c>
      <c r="AT9">
        <v>5</v>
      </c>
      <c r="AU9">
        <v>23.4</v>
      </c>
      <c r="AW9">
        <f>AW$5*$AL9</f>
        <v>13.529501461666669</v>
      </c>
      <c r="AX9" s="18">
        <f t="shared" si="0"/>
        <v>15.065815217024875</v>
      </c>
      <c r="AY9" s="6">
        <f t="shared" si="1"/>
        <v>16.898341909487311</v>
      </c>
      <c r="AZ9">
        <f t="shared" si="2"/>
        <v>18.941302046333337</v>
      </c>
    </row>
    <row r="10" spans="1:52">
      <c r="A10" t="s">
        <v>29</v>
      </c>
      <c r="B10" s="1"/>
      <c r="C10" s="1"/>
      <c r="D10" s="1"/>
      <c r="E10" s="12">
        <f>(H$20+I$20)</f>
        <v>-0.14013323160494667</v>
      </c>
      <c r="K10">
        <v>-1.1653116527471199</v>
      </c>
      <c r="L10">
        <f>K10-2*(H$20+I$20)</f>
        <v>-0.88504518953722655</v>
      </c>
      <c r="U10" t="s">
        <v>25</v>
      </c>
      <c r="V10">
        <v>-1.403672059269055</v>
      </c>
      <c r="W10">
        <v>-1.1318461505453223</v>
      </c>
      <c r="X10">
        <v>-0.84439289141522278</v>
      </c>
      <c r="Y10">
        <v>-0.54131228188381775</v>
      </c>
      <c r="Z10">
        <v>-0.22260432194224963</v>
      </c>
      <c r="AA10">
        <v>0.11173098840188923</v>
      </c>
      <c r="AB10">
        <v>0.46169364915492578</v>
      </c>
      <c r="AC10">
        <v>0.82728366030800238</v>
      </c>
      <c r="AD10">
        <v>1.2085010218598535</v>
      </c>
      <c r="AO10" s="24"/>
      <c r="AP10" s="17"/>
      <c r="AX10" s="18"/>
      <c r="AY10" s="18"/>
    </row>
    <row r="11" spans="1:52">
      <c r="E11">
        <f>4.66/27.2</f>
        <v>0.17132352941176471</v>
      </c>
      <c r="J11" t="s">
        <v>5</v>
      </c>
      <c r="K11" t="s">
        <v>6</v>
      </c>
      <c r="U11" t="s">
        <v>26</v>
      </c>
      <c r="V11">
        <v>2.7128891315242862</v>
      </c>
      <c r="W11">
        <v>2.822191464345214</v>
      </c>
      <c r="X11">
        <v>2.9393182733164513</v>
      </c>
      <c r="Y11">
        <v>3.0642695584202833</v>
      </c>
      <c r="Z11">
        <v>3.1970453196693636</v>
      </c>
      <c r="AA11">
        <v>3.3376455570598962</v>
      </c>
      <c r="AB11">
        <v>3.4860702705982081</v>
      </c>
      <c r="AC11">
        <v>3.6423194602741757</v>
      </c>
      <c r="AD11">
        <v>3.8063931260928614</v>
      </c>
      <c r="AO11" s="24"/>
      <c r="AX11" s="18"/>
      <c r="AY11" s="18"/>
    </row>
    <row r="12" spans="1:52">
      <c r="C12">
        <v>-1233.5484164598799</v>
      </c>
      <c r="D12">
        <v>-1527.77089179312</v>
      </c>
      <c r="K12" t="s">
        <v>30</v>
      </c>
      <c r="L12" t="s">
        <v>31</v>
      </c>
      <c r="U12" t="s">
        <v>27</v>
      </c>
      <c r="V12">
        <v>-1.3526834151454512</v>
      </c>
      <c r="W12">
        <v>-1.1835622978826945</v>
      </c>
      <c r="X12">
        <v>-1.0012053585024145</v>
      </c>
      <c r="Y12">
        <v>-0.80561259698816168</v>
      </c>
      <c r="Z12">
        <v>-0.59678401335512044</v>
      </c>
      <c r="AA12">
        <v>-0.37471960760455619</v>
      </c>
      <c r="AB12">
        <v>-0.13941937972128432</v>
      </c>
      <c r="AC12">
        <v>0.10911667027191826</v>
      </c>
      <c r="AD12">
        <v>0.37088854239403229</v>
      </c>
      <c r="AO12" s="24"/>
      <c r="AX12" s="18"/>
      <c r="AY12" s="18"/>
    </row>
    <row r="13" spans="1:52">
      <c r="A13" t="s">
        <v>7</v>
      </c>
      <c r="D13">
        <v>-0.15398547600000001</v>
      </c>
      <c r="E13">
        <v>-0.14477606500000001</v>
      </c>
      <c r="H13" t="s">
        <v>8</v>
      </c>
      <c r="I13" s="6">
        <v>13</v>
      </c>
      <c r="K13">
        <f>0.5*E97</f>
        <v>0</v>
      </c>
      <c r="L13">
        <f>K13*630-(-4.66*23.06)-0.0592*23.06*I13</f>
        <v>89.712623999999991</v>
      </c>
      <c r="O13" t="s">
        <v>24</v>
      </c>
      <c r="P13" s="4" t="e">
        <f>#REF!</f>
        <v>#REF!</v>
      </c>
      <c r="U13" t="s">
        <v>28</v>
      </c>
      <c r="V13">
        <v>3.3866367385084941</v>
      </c>
      <c r="W13">
        <v>3.3746967741969023</v>
      </c>
      <c r="X13">
        <v>3.371191047654619</v>
      </c>
      <c r="Y13">
        <v>3.3761195588702559</v>
      </c>
      <c r="Z13">
        <v>3.389482307842548</v>
      </c>
      <c r="AA13">
        <v>3.4112792945854142</v>
      </c>
      <c r="AB13">
        <v>3.4415105191064472</v>
      </c>
      <c r="AC13">
        <v>3.4801759813689506</v>
      </c>
      <c r="AD13">
        <v>3.5272756814045589</v>
      </c>
      <c r="AO13" s="24"/>
      <c r="AP13" s="17"/>
      <c r="AX13" s="18"/>
      <c r="AY13" s="18"/>
    </row>
    <row r="14" spans="1:52">
      <c r="A14" t="s">
        <v>9</v>
      </c>
      <c r="C14">
        <f>-0.1488986+4.66/27.2</f>
        <v>2.2424929411764716E-2</v>
      </c>
      <c r="D14">
        <f>D13+4.66/27.2</f>
        <v>1.7338053411764698E-2</v>
      </c>
      <c r="E14">
        <f>E13+4.66/27.2</f>
        <v>2.6547464411764699E-2</v>
      </c>
      <c r="H14" t="s">
        <v>10</v>
      </c>
      <c r="I14" s="13">
        <f>-AI36</f>
        <v>0.08</v>
      </c>
      <c r="O14" t="s">
        <v>28</v>
      </c>
      <c r="P14" s="4" t="e">
        <f>#REF!</f>
        <v>#REF!</v>
      </c>
      <c r="U14" t="s">
        <v>36</v>
      </c>
      <c r="AO14" s="24"/>
      <c r="AX14" s="18"/>
      <c r="AY14" s="18"/>
    </row>
    <row r="15" spans="1:52">
      <c r="C15">
        <f>-C14*27.2</f>
        <v>-0.60995808000000029</v>
      </c>
      <c r="D15">
        <f>-D14*27.2</f>
        <v>-0.47159505279999975</v>
      </c>
      <c r="E15">
        <f>-E14*27.2</f>
        <v>-0.7220910319999998</v>
      </c>
      <c r="L15" s="2"/>
      <c r="O15" t="s">
        <v>25</v>
      </c>
      <c r="P15" s="4" t="e">
        <f>#REF!</f>
        <v>#REF!</v>
      </c>
      <c r="U15" t="s">
        <v>24</v>
      </c>
      <c r="V15">
        <v>-3.5663614113835376</v>
      </c>
      <c r="W15">
        <v>-3.7331230898904009</v>
      </c>
      <c r="X15">
        <v>-3.848278211156392</v>
      </c>
      <c r="Y15">
        <v>-3.9118267751612659</v>
      </c>
      <c r="Z15">
        <v>-3.9237687819708218</v>
      </c>
      <c r="AA15">
        <v>-3.8841042314939527</v>
      </c>
      <c r="AB15">
        <v>-3.7928331237660884</v>
      </c>
      <c r="AC15">
        <v>-3.6499554588125371</v>
      </c>
      <c r="AD15">
        <v>-3.4554712366231759</v>
      </c>
      <c r="AO15" s="24"/>
    </row>
    <row r="16" spans="1:52">
      <c r="B16" t="s">
        <v>152</v>
      </c>
      <c r="C16" t="s">
        <v>157</v>
      </c>
      <c r="D16" t="s">
        <v>162</v>
      </c>
      <c r="I16" s="4">
        <f>AF123</f>
        <v>0</v>
      </c>
      <c r="L16" s="2"/>
      <c r="O16" t="s">
        <v>26</v>
      </c>
      <c r="P16" s="4" t="e">
        <f>#REF!</f>
        <v>#REF!</v>
      </c>
      <c r="U16" t="s">
        <v>25</v>
      </c>
      <c r="V16">
        <v>-3.0462243078863653</v>
      </c>
      <c r="W16">
        <v>-3.2127958224813007</v>
      </c>
      <c r="X16">
        <v>-3.3243789344307277</v>
      </c>
      <c r="Y16">
        <v>-3.3809736436789692</v>
      </c>
      <c r="Z16">
        <v>-3.3825799502563947</v>
      </c>
      <c r="AA16">
        <v>-3.3291978541680654</v>
      </c>
      <c r="AB16">
        <v>-3.2208273553734887</v>
      </c>
      <c r="AC16">
        <v>-3.0574684539232808</v>
      </c>
      <c r="AD16">
        <v>-2.8391211498123794</v>
      </c>
      <c r="AO16" s="24"/>
      <c r="AP16" s="25"/>
    </row>
    <row r="17" spans="1:45">
      <c r="B17" t="s">
        <v>153</v>
      </c>
      <c r="C17" t="s">
        <v>158</v>
      </c>
      <c r="D17" t="s">
        <v>163</v>
      </c>
      <c r="F17">
        <f>I14/27.212+(I13*1.36/627.5096)</f>
        <v>3.1114747227921184E-2</v>
      </c>
      <c r="L17" s="2"/>
      <c r="O17" t="s">
        <v>27</v>
      </c>
      <c r="P17" s="4" t="e">
        <f>#REF!</f>
        <v>#REF!</v>
      </c>
      <c r="U17" t="s">
        <v>26</v>
      </c>
      <c r="V17">
        <v>-2.9069135051129549</v>
      </c>
      <c r="W17">
        <v>-2.9748772065175455</v>
      </c>
      <c r="X17">
        <v>-2.9941653914739499</v>
      </c>
      <c r="Y17">
        <v>-2.9647780599062452</v>
      </c>
      <c r="Z17">
        <v>-2.8867152118701083</v>
      </c>
      <c r="AA17">
        <v>-2.7599768473503543</v>
      </c>
      <c r="AB17">
        <v>-2.584562966331799</v>
      </c>
      <c r="AC17">
        <v>-2.3604735688195038</v>
      </c>
      <c r="AD17">
        <v>-2.0877086548337145</v>
      </c>
      <c r="AO17" s="24"/>
    </row>
    <row r="18" spans="1:45">
      <c r="B18" t="s">
        <v>154</v>
      </c>
      <c r="C18" t="s">
        <v>159</v>
      </c>
      <c r="D18" t="s">
        <v>164</v>
      </c>
      <c r="F18">
        <f>I14</f>
        <v>0.08</v>
      </c>
      <c r="L18" s="2"/>
      <c r="U18" t="s">
        <v>27</v>
      </c>
      <c r="V18">
        <v>-5.2666987744716769</v>
      </c>
      <c r="W18">
        <v>-5.3410404970231671</v>
      </c>
      <c r="X18">
        <v>-5.3686658085840149</v>
      </c>
      <c r="Y18">
        <v>-5.3495747090631127</v>
      </c>
      <c r="Z18">
        <v>-5.283767198556629</v>
      </c>
      <c r="AA18">
        <v>-5.1712432770392578</v>
      </c>
      <c r="AB18">
        <v>-5.0120029444654435</v>
      </c>
      <c r="AC18">
        <v>-4.8060462008503713</v>
      </c>
      <c r="AD18">
        <v>-4.553373046259841</v>
      </c>
      <c r="AO18" s="24"/>
    </row>
    <row r="19" spans="1:45">
      <c r="B19" t="s">
        <v>155</v>
      </c>
      <c r="C19" t="s">
        <v>160</v>
      </c>
      <c r="D19" t="s">
        <v>165</v>
      </c>
      <c r="G19" s="8"/>
      <c r="H19" t="s">
        <v>40</v>
      </c>
      <c r="I19" t="s">
        <v>23</v>
      </c>
      <c r="J19" t="s">
        <v>22</v>
      </c>
      <c r="Q19" t="s">
        <v>32</v>
      </c>
      <c r="R19" s="4">
        <f>AF25/50</f>
        <v>0</v>
      </c>
      <c r="U19" t="s">
        <v>28</v>
      </c>
      <c r="V19">
        <v>-2.3841007545529664</v>
      </c>
      <c r="W19">
        <v>-2.4749515371994399</v>
      </c>
      <c r="X19">
        <v>-2.5226864287194433</v>
      </c>
      <c r="Y19">
        <v>-2.5273054290471761</v>
      </c>
      <c r="Z19">
        <v>-2.4888085382484384</v>
      </c>
      <c r="AA19">
        <v>-2.4071957562979232</v>
      </c>
      <c r="AB19">
        <v>-2.2824670831956295</v>
      </c>
      <c r="AC19">
        <v>-2.1146225189364962</v>
      </c>
      <c r="AD19">
        <v>-1.9036620635458308</v>
      </c>
      <c r="AO19" s="24"/>
      <c r="AP19" s="17"/>
    </row>
    <row r="20" spans="1:45">
      <c r="A20" t="s">
        <v>11</v>
      </c>
      <c r="B20" t="s">
        <v>156</v>
      </c>
      <c r="C20" t="s">
        <v>161</v>
      </c>
      <c r="D20" t="s">
        <v>166</v>
      </c>
      <c r="F20" s="3"/>
      <c r="H20" s="18">
        <f xml:space="preserve"> (-4.66)/27.212</f>
        <v>-0.17124797883286785</v>
      </c>
      <c r="I20" s="19">
        <f>I14/27.212+(I13*1.36/627.5096)</f>
        <v>3.1114747227921184E-2</v>
      </c>
      <c r="J20">
        <f>-4.66*23.06+I20*627.5096</f>
        <v>-87.934797412906065</v>
      </c>
      <c r="K20">
        <f>J20/627.5096</f>
        <v>-0.14013299145209263</v>
      </c>
      <c r="Q20" t="s">
        <v>33</v>
      </c>
      <c r="AO20" s="24"/>
      <c r="AS20" s="6"/>
    </row>
    <row r="21" spans="1:45">
      <c r="I21" t="s">
        <v>12</v>
      </c>
      <c r="Q21" t="s">
        <v>9</v>
      </c>
      <c r="AO21" s="24"/>
    </row>
    <row r="22" spans="1:45">
      <c r="Q22" t="s">
        <v>7</v>
      </c>
      <c r="R22">
        <f>L10/2*627.5096</f>
        <v>-277.68717643421462</v>
      </c>
      <c r="AP22" s="17"/>
    </row>
    <row r="23" spans="1:45">
      <c r="Z23" t="s">
        <v>13</v>
      </c>
      <c r="AA23" t="s">
        <v>14</v>
      </c>
      <c r="AB23" t="s">
        <v>15</v>
      </c>
      <c r="AF23" t="s">
        <v>6</v>
      </c>
    </row>
    <row r="24" spans="1:45">
      <c r="AA24" t="s">
        <v>20</v>
      </c>
      <c r="AB24" t="s">
        <v>21</v>
      </c>
      <c r="AC24" t="s">
        <v>34</v>
      </c>
      <c r="AD24" t="s">
        <v>37</v>
      </c>
      <c r="AE24" t="s">
        <v>35</v>
      </c>
    </row>
    <row r="25" spans="1:45">
      <c r="F25" s="5"/>
      <c r="G25" s="5"/>
      <c r="H25" s="5"/>
      <c r="J25" s="7"/>
      <c r="K25" s="7"/>
      <c r="L25" s="7"/>
      <c r="M25" s="7"/>
      <c r="N25" s="8"/>
      <c r="O25" s="8"/>
      <c r="P25" s="8"/>
      <c r="Q25" s="16"/>
      <c r="R25" s="16"/>
      <c r="S25" s="16"/>
      <c r="T25" s="16"/>
      <c r="U25" s="16"/>
      <c r="V25" s="15"/>
      <c r="W25" s="15"/>
      <c r="X25" s="15"/>
      <c r="Y25" s="15"/>
      <c r="Z25" s="8"/>
      <c r="AA25" s="11"/>
      <c r="AB25" s="4"/>
      <c r="AC25" s="8"/>
      <c r="AD25" s="7"/>
      <c r="AE25" s="8"/>
      <c r="AF25" s="4"/>
      <c r="AG25" t="s">
        <v>77</v>
      </c>
    </row>
    <row r="26" spans="1:45">
      <c r="F26" s="5"/>
      <c r="G26" s="5"/>
      <c r="H26" s="5"/>
      <c r="J26" s="7"/>
      <c r="K26" s="7"/>
      <c r="L26" s="7"/>
      <c r="M26" s="7"/>
      <c r="N26" s="8"/>
      <c r="O26" s="8"/>
      <c r="P26" s="8"/>
      <c r="Q26" s="16"/>
      <c r="R26" s="16"/>
      <c r="S26" s="16"/>
      <c r="T26" s="16"/>
      <c r="U26" s="16"/>
      <c r="V26" s="15"/>
      <c r="W26" s="15"/>
      <c r="X26" s="15"/>
      <c r="Y26" s="15"/>
      <c r="Z26" s="8"/>
      <c r="AA26" s="11"/>
      <c r="AB26" s="4"/>
      <c r="AC26" s="8"/>
      <c r="AD26" s="7"/>
      <c r="AE26" s="8"/>
      <c r="AF26" s="4"/>
      <c r="AG26">
        <v>-69.142207283931398</v>
      </c>
    </row>
    <row r="27" spans="1:45">
      <c r="F27" s="5"/>
      <c r="G27" s="5"/>
      <c r="H27" s="5"/>
      <c r="I27" s="5"/>
      <c r="J27" s="7"/>
      <c r="K27" s="7"/>
      <c r="L27" s="7"/>
      <c r="M27" s="7"/>
      <c r="N27" s="8"/>
      <c r="O27" s="8"/>
      <c r="P27" s="8"/>
      <c r="Q27" s="16"/>
      <c r="R27" s="16"/>
      <c r="S27" s="16"/>
      <c r="T27" s="16"/>
      <c r="U27" s="16"/>
      <c r="V27" s="15"/>
      <c r="W27" s="15"/>
      <c r="X27" s="15"/>
      <c r="Y27" s="15"/>
      <c r="Z27" s="8"/>
      <c r="AA27" s="11"/>
      <c r="AB27" s="4"/>
      <c r="AC27" s="8"/>
      <c r="AD27" s="7"/>
      <c r="AE27" s="8"/>
      <c r="AF27" s="4"/>
      <c r="AG27" t="s">
        <v>78</v>
      </c>
    </row>
    <row r="28" spans="1:45">
      <c r="F28" s="5"/>
      <c r="G28" s="5"/>
      <c r="H28" s="5"/>
      <c r="J28" s="7"/>
      <c r="K28" s="7"/>
      <c r="L28" s="7"/>
      <c r="M28" s="7"/>
      <c r="N28" s="8"/>
      <c r="O28" s="8"/>
      <c r="P28" s="8"/>
      <c r="Q28" s="16"/>
      <c r="R28" s="16"/>
      <c r="S28" s="16"/>
      <c r="T28" s="16"/>
      <c r="U28" s="16"/>
      <c r="V28" s="15"/>
      <c r="W28" s="15"/>
      <c r="X28" s="15"/>
      <c r="Y28" s="15"/>
      <c r="Z28" s="8"/>
      <c r="AA28" s="11"/>
      <c r="AB28" s="4"/>
      <c r="AC28" s="8"/>
      <c r="AD28" s="7"/>
      <c r="AE28" s="8"/>
      <c r="AF28" s="4"/>
      <c r="AG28">
        <v>-68.679620411672303</v>
      </c>
    </row>
    <row r="29" spans="1:45">
      <c r="J29" s="7"/>
      <c r="K29" s="7"/>
      <c r="L29" s="7"/>
      <c r="M29" s="7"/>
      <c r="N29" s="8"/>
      <c r="O29" s="8"/>
      <c r="P29" s="8"/>
      <c r="Q29" s="16"/>
      <c r="R29" s="16"/>
      <c r="S29" s="16"/>
      <c r="T29" s="16"/>
      <c r="U29" s="16"/>
      <c r="V29" s="15"/>
      <c r="W29" s="15"/>
      <c r="X29" s="15"/>
      <c r="Y29" s="15"/>
      <c r="Z29" s="8"/>
      <c r="AA29" s="11"/>
      <c r="AB29" s="4"/>
      <c r="AC29" s="8"/>
      <c r="AD29" s="7"/>
      <c r="AE29" s="8"/>
      <c r="AF29" s="4"/>
      <c r="AG29" t="s">
        <v>79</v>
      </c>
    </row>
    <row r="30" spans="1:45">
      <c r="F30" s="5"/>
      <c r="G30" s="5"/>
      <c r="H30" s="5"/>
      <c r="J30" s="7"/>
      <c r="K30" s="7"/>
      <c r="L30" s="7"/>
      <c r="M30" s="7"/>
      <c r="N30" s="8"/>
      <c r="O30" s="8"/>
      <c r="P30" s="8"/>
      <c r="Q30" s="16"/>
      <c r="R30" s="16"/>
      <c r="S30" s="16"/>
      <c r="T30" s="16"/>
      <c r="U30" s="16"/>
      <c r="V30" s="15"/>
      <c r="W30" s="15"/>
      <c r="X30" s="15"/>
      <c r="Y30" s="15"/>
      <c r="Z30" s="8"/>
      <c r="AA30" s="11"/>
      <c r="AB30" s="4"/>
      <c r="AC30" s="8"/>
      <c r="AD30" s="7"/>
      <c r="AE30" s="8"/>
      <c r="AF30" s="4"/>
      <c r="AG30">
        <f>27.2*(AG26-AG28)</f>
        <v>-12.582362925447386</v>
      </c>
    </row>
    <row r="31" spans="1:45">
      <c r="F31" t="s">
        <v>43</v>
      </c>
      <c r="J31" t="s">
        <v>42</v>
      </c>
      <c r="T31" s="16"/>
      <c r="U31" s="16"/>
      <c r="V31" s="15"/>
      <c r="W31" s="15"/>
      <c r="X31" s="15"/>
      <c r="Y31" s="15"/>
      <c r="Z31" s="8"/>
      <c r="AA31" s="11"/>
      <c r="AB31" s="4"/>
      <c r="AC31" s="8"/>
      <c r="AD31" s="7"/>
      <c r="AE31" s="8"/>
      <c r="AF31" s="4"/>
    </row>
    <row r="32" spans="1:45">
      <c r="A32" s="14" t="s">
        <v>198</v>
      </c>
      <c r="B32">
        <v>0</v>
      </c>
      <c r="C32">
        <v>-1</v>
      </c>
      <c r="D32">
        <v>-2</v>
      </c>
      <c r="E32">
        <v>-0.5</v>
      </c>
      <c r="F32">
        <v>0</v>
      </c>
      <c r="G32">
        <v>-1</v>
      </c>
      <c r="H32">
        <v>-2</v>
      </c>
      <c r="I32">
        <v>-0.5</v>
      </c>
      <c r="J32">
        <v>0</v>
      </c>
      <c r="K32">
        <v>-1</v>
      </c>
      <c r="L32">
        <v>-2</v>
      </c>
      <c r="M32">
        <v>-0.5</v>
      </c>
      <c r="N32" t="s">
        <v>16</v>
      </c>
      <c r="O32" t="s">
        <v>17</v>
      </c>
      <c r="P32" t="s">
        <v>18</v>
      </c>
      <c r="T32" s="16"/>
      <c r="U32" s="16"/>
      <c r="V32" s="15"/>
      <c r="W32" s="15"/>
      <c r="X32" s="15"/>
      <c r="Y32" s="15"/>
      <c r="Z32" s="8"/>
      <c r="AA32" s="11"/>
      <c r="AB32" s="4"/>
      <c r="AC32" s="8"/>
      <c r="AD32" s="7"/>
      <c r="AE32" s="8"/>
      <c r="AF32" s="4"/>
      <c r="AH32" s="14"/>
      <c r="AI32" s="17"/>
    </row>
    <row r="33" spans="1:41">
      <c r="A33">
        <v>0</v>
      </c>
      <c r="B33">
        <v>750</v>
      </c>
      <c r="C33">
        <f t="shared" ref="C33:C46" si="5">B33-1</f>
        <v>749</v>
      </c>
      <c r="D33">
        <f t="shared" ref="D33:D46" si="6">B33-2</f>
        <v>748</v>
      </c>
      <c r="E33">
        <f t="shared" ref="E33:E46" si="7">B33-0.5</f>
        <v>749.5</v>
      </c>
      <c r="F33">
        <v>-3894.9896482296099</v>
      </c>
      <c r="G33">
        <v>-3894.81463007611</v>
      </c>
      <c r="H33">
        <v>-3894.6098232324898</v>
      </c>
      <c r="J33" s="7">
        <f t="shared" ref="J33:M36" si="8">F33-B33*($H$20+$I$20)</f>
        <v>-3789.8897245259</v>
      </c>
      <c r="K33" s="7">
        <f t="shared" si="8"/>
        <v>-3789.8548396040051</v>
      </c>
      <c r="L33" s="7">
        <f t="shared" si="8"/>
        <v>-3789.7901659919899</v>
      </c>
      <c r="M33" s="7">
        <f t="shared" si="8"/>
        <v>105.02985708790753</v>
      </c>
      <c r="N33" s="8">
        <f t="array" ref="N33:P33">LINEST(TRANSPOSE(J33:L33),TRANSPOSE(B33:D33)^{1,2},TRUE,FALSE)</f>
        <v>1.4894345060151604E-2</v>
      </c>
      <c r="O33" s="8">
        <v>-22.361508167062158</v>
      </c>
      <c r="P33" s="8">
        <v>4603.1723044354421</v>
      </c>
      <c r="Q33" s="26"/>
      <c r="R33" s="26"/>
      <c r="S33" s="26"/>
      <c r="T33" s="26"/>
      <c r="U33" s="16"/>
      <c r="V33" s="15"/>
      <c r="W33" s="15"/>
      <c r="X33" s="15"/>
      <c r="Y33" s="15"/>
      <c r="Z33" s="8">
        <f>B33</f>
        <v>750</v>
      </c>
      <c r="AA33" s="11">
        <f>-(O33/(2*N33))</f>
        <v>750.67107941819597</v>
      </c>
      <c r="AB33" s="4">
        <f>N33*AA33^2+(O33)*AA33+P33</f>
        <v>-3789.8964321582334</v>
      </c>
      <c r="AC33" s="8">
        <f>1/2/N33/27.2/6240000000000000000</f>
        <v>1.9778579605361451E-19</v>
      </c>
      <c r="AD33" s="7">
        <f>27.2*(-O33-I$20-2*Z33*N33)</f>
        <v>-0.3025774346941375</v>
      </c>
      <c r="AE33" s="8">
        <f>Z33-AA33</f>
        <v>-0.67107941819597272</v>
      </c>
      <c r="AF33" s="4">
        <f>AB33*627.5096</f>
        <v>-2378196.3941850401</v>
      </c>
      <c r="AG33" s="7">
        <f>AG$30*(13-A33)+AF33/23</f>
        <v>-103563.41394346734</v>
      </c>
      <c r="AH33" s="3">
        <f>AG33-MIN(AG$33:AG$46)</f>
        <v>1.2471651081577875</v>
      </c>
      <c r="AK33" s="8"/>
      <c r="AN33" s="8"/>
      <c r="AO33" s="8"/>
    </row>
    <row r="34" spans="1:41">
      <c r="A34">
        <v>1</v>
      </c>
      <c r="B34">
        <f>B33+1</f>
        <v>751</v>
      </c>
      <c r="C34">
        <f t="shared" si="5"/>
        <v>750</v>
      </c>
      <c r="D34">
        <f t="shared" si="6"/>
        <v>749</v>
      </c>
      <c r="E34">
        <f t="shared" si="7"/>
        <v>750.5</v>
      </c>
      <c r="J34" s="7">
        <f t="shared" si="8"/>
        <v>105.24005693531495</v>
      </c>
      <c r="K34" s="7">
        <f t="shared" si="8"/>
        <v>105.09992370371</v>
      </c>
      <c r="L34" s="7">
        <f t="shared" si="8"/>
        <v>104.95979047210506</v>
      </c>
      <c r="M34" s="7">
        <f t="shared" si="8"/>
        <v>105.16999031951248</v>
      </c>
      <c r="N34" s="8">
        <f t="array" ref="N34:P34">LINEST(TRANSPOSE(J34:L34),TRANSPOSE(B34:D34)^{1,2},TRUE,FALSE)</f>
        <v>-2.5893439546427434E-17</v>
      </c>
      <c r="O34" s="8">
        <v>0.14013323160498789</v>
      </c>
      <c r="P34" s="8">
        <v>-1.6357742853121098E-11</v>
      </c>
      <c r="Q34" s="26"/>
      <c r="R34" s="26"/>
      <c r="S34" s="26"/>
      <c r="T34" s="26"/>
      <c r="U34" s="16"/>
      <c r="V34" s="15"/>
      <c r="W34" s="15"/>
      <c r="X34" s="15"/>
      <c r="Y34" s="15"/>
      <c r="Z34" s="8">
        <f>B34</f>
        <v>751</v>
      </c>
      <c r="AA34" s="11">
        <f>-(O34/(2*N34))</f>
        <v>2705960159401116</v>
      </c>
      <c r="AB34" s="4">
        <f>N34*AA34^2+(O34)*AA34+P34</f>
        <v>189597470865613.31</v>
      </c>
      <c r="AC34" s="8">
        <f>1/2/N34/27.2/6240000000000000000</f>
        <v>-1.1376974036752704E-4</v>
      </c>
      <c r="AD34" s="7">
        <f>27.2*(-O34-I$20-2*Z34*N34)</f>
        <v>-4.6579450242540688</v>
      </c>
      <c r="AE34" s="8">
        <f>Z34-AA34</f>
        <v>-2705960159400365</v>
      </c>
      <c r="AF34" s="4">
        <f>AB34*627.5096</f>
        <v>1.1897423310389266E+17</v>
      </c>
      <c r="AG34" s="7"/>
      <c r="AH34" s="7"/>
      <c r="AK34" s="8"/>
      <c r="AN34" s="8"/>
      <c r="AO34" s="8"/>
    </row>
    <row r="35" spans="1:41">
      <c r="A35">
        <v>2</v>
      </c>
      <c r="B35">
        <f t="shared" ref="B35:B47" si="9">B34+1</f>
        <v>752</v>
      </c>
      <c r="C35">
        <f t="shared" si="5"/>
        <v>751</v>
      </c>
      <c r="D35">
        <f t="shared" si="6"/>
        <v>750</v>
      </c>
      <c r="E35">
        <f t="shared" si="7"/>
        <v>751.5</v>
      </c>
      <c r="F35">
        <v>-3896.2121920444201</v>
      </c>
      <c r="G35">
        <v>-3896.0378137551502</v>
      </c>
      <c r="H35">
        <v>-3895.8324894696002</v>
      </c>
      <c r="J35" s="7">
        <f t="shared" si="8"/>
        <v>-3790.8320018775003</v>
      </c>
      <c r="K35" s="7">
        <f t="shared" si="8"/>
        <v>-3790.7977568198353</v>
      </c>
      <c r="L35" s="7">
        <f t="shared" si="8"/>
        <v>-3790.7325657658903</v>
      </c>
      <c r="M35" s="7"/>
      <c r="N35" s="8">
        <f t="array" ref="N35:P35">LINEST(TRANSPOSE(J35:L35),TRANSPOSE(B35:D35)^{1,2},TRUE,FALSE)</f>
        <v>1.547299814001598E-2</v>
      </c>
      <c r="O35" s="8">
        <v>-23.290161262108981</v>
      </c>
      <c r="P35" s="8">
        <v>4973.3269270568562</v>
      </c>
      <c r="Q35" s="16"/>
      <c r="R35" s="16"/>
      <c r="S35" s="16"/>
      <c r="T35" s="16"/>
      <c r="U35" s="16"/>
      <c r="V35" s="15"/>
      <c r="W35" s="15"/>
      <c r="X35" s="15"/>
      <c r="Y35" s="15"/>
      <c r="Z35" s="8">
        <f>B35</f>
        <v>752</v>
      </c>
      <c r="AA35" s="11">
        <f>-(O35/(2*N35))</f>
        <v>752.60660705039447</v>
      </c>
      <c r="AB35" s="4">
        <f>N35*AA35^2+(O35)*AA35+P35</f>
        <v>-3790.8376955093299</v>
      </c>
      <c r="AC35" s="8">
        <f>1/2/N35/27.2/6240000000000000000</f>
        <v>1.9038908088541038E-19</v>
      </c>
      <c r="AD35" s="7">
        <f>27.2*(-O35-I$20-2*Z35*N35)</f>
        <v>-0.33572110552084383</v>
      </c>
      <c r="AE35" s="8">
        <f>Z35-AA35</f>
        <v>-0.60660705039447294</v>
      </c>
      <c r="AF35" s="4">
        <f>AB35*627.5096</f>
        <v>-2378787.0459739813</v>
      </c>
      <c r="AG35" s="7">
        <f>AG$30*(13-A35)+AF35/23</f>
        <v>-103563.92973017911</v>
      </c>
      <c r="AH35" s="22">
        <f>AG35-MIN(AG$33:AG$46)</f>
        <v>0.73137839639093727</v>
      </c>
      <c r="AI35" t="s">
        <v>80</v>
      </c>
      <c r="AK35" s="8"/>
      <c r="AM35" t="s">
        <v>81</v>
      </c>
      <c r="AN35" t="s">
        <v>82</v>
      </c>
      <c r="AO35" s="23" t="s">
        <v>83</v>
      </c>
    </row>
    <row r="36" spans="1:41">
      <c r="A36">
        <v>3</v>
      </c>
      <c r="B36">
        <f t="shared" si="9"/>
        <v>753</v>
      </c>
      <c r="C36">
        <f t="shared" si="5"/>
        <v>752</v>
      </c>
      <c r="D36">
        <f t="shared" si="6"/>
        <v>751</v>
      </c>
      <c r="E36">
        <f t="shared" si="7"/>
        <v>752.5</v>
      </c>
      <c r="G36" s="17"/>
      <c r="J36" s="7">
        <f>F36-B36*($H$20+$I$20)</f>
        <v>105.52032339852485</v>
      </c>
      <c r="K36" s="7">
        <f t="shared" si="8"/>
        <v>105.3801901669199</v>
      </c>
      <c r="L36" s="7">
        <f t="shared" si="8"/>
        <v>105.24005693531495</v>
      </c>
      <c r="M36" s="7">
        <f t="shared" si="8"/>
        <v>105.45025678272238</v>
      </c>
      <c r="N36" s="8">
        <f t="array" ref="N36:P36">LINEST(TRANSPOSE(J36:L36),TRANSPOSE(B36:D36)^{1,2},TRUE,FALSE)</f>
        <v>-4.1066161929987822E-17</v>
      </c>
      <c r="O36" s="8">
        <v>0.14013323160501079</v>
      </c>
      <c r="P36" s="8">
        <v>-2.4965902125752877E-11</v>
      </c>
      <c r="Q36" s="16"/>
      <c r="R36" s="16"/>
      <c r="S36" s="16"/>
      <c r="T36" s="16"/>
      <c r="U36" s="16"/>
      <c r="V36" s="15"/>
      <c r="W36" s="15"/>
      <c r="X36" s="15"/>
      <c r="Y36" s="15"/>
      <c r="Z36" s="8">
        <f>B36</f>
        <v>753</v>
      </c>
      <c r="AA36" s="11">
        <f>-(O36/(2*N36))</f>
        <v>1706188562787030.5</v>
      </c>
      <c r="AB36" s="4">
        <f>N36*AA36^2+(O36)*AA36+P36</f>
        <v>119546858515427.73</v>
      </c>
      <c r="AC36" s="8">
        <f>1/2/N36/27.2/6240000000000000000</f>
        <v>-7.1735213518167208E-5</v>
      </c>
      <c r="AD36" s="7">
        <f>27.2*(-O36-I$20-2*Z36*N36)</f>
        <v>-4.657945024254067</v>
      </c>
      <c r="AE36" s="8">
        <f>Z36-AA36</f>
        <v>-1706188562786277.5</v>
      </c>
      <c r="AF36" s="4">
        <f>AB36*627.5096</f>
        <v>7.5016801368272656E+16</v>
      </c>
      <c r="AG36" s="7"/>
      <c r="AH36" s="7"/>
      <c r="AI36" s="31">
        <v>-0.08</v>
      </c>
      <c r="AK36" s="21">
        <v>0</v>
      </c>
      <c r="AL36" s="7">
        <f>AK36/9*100</f>
        <v>0</v>
      </c>
      <c r="AM36">
        <v>0</v>
      </c>
      <c r="AN36">
        <v>6.8289439514046493E-2</v>
      </c>
      <c r="AO36" s="8">
        <f>AH33</f>
        <v>1.2471651081577875</v>
      </c>
    </row>
    <row r="37" spans="1:41">
      <c r="A37">
        <v>4</v>
      </c>
      <c r="B37">
        <f t="shared" si="9"/>
        <v>754</v>
      </c>
      <c r="C37">
        <f t="shared" si="5"/>
        <v>753</v>
      </c>
      <c r="D37">
        <f t="shared" si="6"/>
        <v>752</v>
      </c>
      <c r="E37">
        <f t="shared" si="7"/>
        <v>753.5</v>
      </c>
      <c r="J37" s="7">
        <f>F37-B37*($H$20+$I$20)</f>
        <v>105.66045663012979</v>
      </c>
      <c r="K37" s="7">
        <f>G37-C37*($H$20+$I$20)</f>
        <v>105.52032339852485</v>
      </c>
      <c r="L37" s="7">
        <f>H37-D37*($H$20+$I$20)</f>
        <v>105.3801901669199</v>
      </c>
      <c r="M37" s="7">
        <f>I37-E37*($H$20+$I$20)</f>
        <v>105.59039001432731</v>
      </c>
      <c r="N37" s="8">
        <f t="array" ref="N37:P37">LINEST(TRANSPOSE(J37:L37),TRANSPOSE(B37:D37)^{1,2},TRUE,FALSE)</f>
        <v>-7.0952196716107035E-15</v>
      </c>
      <c r="O37" s="8">
        <v>0.14013323161562735</v>
      </c>
      <c r="P37" s="8">
        <v>-4.0194898200135217E-9</v>
      </c>
      <c r="Q37" s="16"/>
      <c r="R37" s="16"/>
      <c r="S37" s="16"/>
      <c r="T37" s="16"/>
      <c r="U37" s="16"/>
      <c r="V37" s="15"/>
      <c r="W37" s="15"/>
      <c r="X37" s="15"/>
      <c r="Y37" s="15"/>
      <c r="Z37" s="8">
        <f>B37</f>
        <v>754</v>
      </c>
      <c r="AA37" s="11">
        <f>-(O37/(2*N37))</f>
        <v>9875186259301.2109</v>
      </c>
      <c r="AB37" s="4">
        <f>N37*AA37^2+(O37)*AA37+P37</f>
        <v>691920881661.05859</v>
      </c>
      <c r="AC37" s="8">
        <f>1/2/N37/27.2/6240000000000000000</f>
        <v>-4.1519361355454022E-7</v>
      </c>
      <c r="AD37" s="7">
        <f>27.2*(-O37-I$20-2*Z37*N37)</f>
        <v>-4.6579450242534914</v>
      </c>
      <c r="AE37" s="8">
        <f>Z37-AA37</f>
        <v>-9875186258547.2109</v>
      </c>
      <c r="AF37" s="4">
        <f>AB37*627.5096</f>
        <v>434186995682778.19</v>
      </c>
      <c r="AG37" s="7"/>
      <c r="AH37" s="7"/>
      <c r="AK37" s="21">
        <v>2</v>
      </c>
      <c r="AL37" s="7">
        <f>AK37/9*100</f>
        <v>22.222222222222221</v>
      </c>
      <c r="AM37">
        <v>7.7603696860023774E-2</v>
      </c>
      <c r="AN37">
        <v>5.4322958181728609E-2</v>
      </c>
      <c r="AO37" s="8">
        <f>AH35</f>
        <v>0.73137839639093727</v>
      </c>
    </row>
    <row r="38" spans="1:41">
      <c r="A38">
        <v>5</v>
      </c>
      <c r="B38">
        <f t="shared" si="9"/>
        <v>755</v>
      </c>
      <c r="C38">
        <f t="shared" si="5"/>
        <v>754</v>
      </c>
      <c r="D38">
        <f t="shared" si="6"/>
        <v>753</v>
      </c>
      <c r="E38">
        <f t="shared" si="7"/>
        <v>754.5</v>
      </c>
      <c r="J38" s="7"/>
      <c r="K38" s="7"/>
      <c r="L38" s="7"/>
      <c r="M38" s="7"/>
      <c r="N38" s="8"/>
      <c r="O38" s="8"/>
      <c r="P38" s="8"/>
      <c r="Q38" s="16"/>
      <c r="R38" s="16"/>
      <c r="S38" s="16"/>
      <c r="T38" s="16"/>
      <c r="U38" s="16"/>
      <c r="V38" s="15"/>
      <c r="W38" s="15"/>
      <c r="X38" s="15"/>
      <c r="Y38" s="15"/>
      <c r="Z38" s="8"/>
      <c r="AA38" s="11"/>
      <c r="AB38" s="4"/>
      <c r="AC38" s="8"/>
      <c r="AD38" s="7"/>
      <c r="AE38" s="8"/>
      <c r="AF38" s="4"/>
      <c r="AG38" s="7"/>
      <c r="AH38" s="7"/>
      <c r="AK38" s="21">
        <v>5</v>
      </c>
      <c r="AL38" s="7">
        <f>AK38/9*100</f>
        <v>55.555555555555557</v>
      </c>
      <c r="AM38">
        <v>0.17291141122404952</v>
      </c>
      <c r="AN38">
        <v>0</v>
      </c>
      <c r="AO38" s="8">
        <f>AH38</f>
        <v>0</v>
      </c>
    </row>
    <row r="39" spans="1:41">
      <c r="A39">
        <v>6</v>
      </c>
      <c r="B39">
        <f t="shared" si="9"/>
        <v>756</v>
      </c>
      <c r="C39">
        <f t="shared" si="5"/>
        <v>755</v>
      </c>
      <c r="D39">
        <f t="shared" si="6"/>
        <v>754</v>
      </c>
      <c r="E39">
        <f t="shared" si="7"/>
        <v>755.5</v>
      </c>
      <c r="F39">
        <v>-3898.6373900313201</v>
      </c>
      <c r="G39">
        <v>-3898.4622809919301</v>
      </c>
      <c r="H39">
        <v>-3898.2526124422402</v>
      </c>
      <c r="J39" s="7">
        <f t="shared" ref="J39:M40" si="10">F39-B39*($H$20+$I$20)</f>
        <v>-3792.6966669379804</v>
      </c>
      <c r="K39" s="7">
        <f t="shared" si="10"/>
        <v>-3792.6616911301953</v>
      </c>
      <c r="L39" s="7">
        <f t="shared" si="10"/>
        <v>-3792.5921558121104</v>
      </c>
      <c r="M39" s="7">
        <f t="shared" si="10"/>
        <v>105.87065647753721</v>
      </c>
      <c r="N39" s="8">
        <f t="array" ref="N39:P39">LINEST(TRANSPOSE(J39:L39),TRANSPOSE(B39:D39)^{1,2},TRUE,FALSE)</f>
        <v>1.7279755149955622E-2</v>
      </c>
      <c r="O39" s="8">
        <v>-26.14468583936797</v>
      </c>
      <c r="P39" s="8">
        <v>6096.6836882391708</v>
      </c>
      <c r="Q39" s="16"/>
      <c r="R39" s="16"/>
      <c r="S39" s="16"/>
      <c r="T39" s="16"/>
      <c r="U39" s="16"/>
      <c r="V39" s="15"/>
      <c r="W39" s="15"/>
      <c r="X39" s="15"/>
      <c r="Y39" s="15"/>
      <c r="Z39" s="8">
        <f>B39</f>
        <v>756</v>
      </c>
      <c r="AA39" s="11">
        <f>-(O39/(2*N39))</f>
        <v>756.5120458155078</v>
      </c>
      <c r="AB39" s="4">
        <f>N39*AA39^2+(O39)*AA39+P39</f>
        <v>-3792.7011975328314</v>
      </c>
      <c r="AC39" s="8">
        <f>1/2/N39/27.2/6240000000000000000</f>
        <v>1.7048215491796895E-19</v>
      </c>
      <c r="AD39" s="7">
        <f>27.2*(-O39-I$20-2*Z39*N39)</f>
        <v>-0.36498849292553359</v>
      </c>
      <c r="AE39" s="8">
        <f>Z39-AA39</f>
        <v>-0.51204581550780404</v>
      </c>
      <c r="AF39" s="4">
        <f>AB39*627.5096</f>
        <v>-2379956.4113833481</v>
      </c>
      <c r="AG39" s="7">
        <f>AG$30*(13-A39)+AF39/23</f>
        <v>-103564.44225279761</v>
      </c>
      <c r="AH39" s="3">
        <f>AG39-MIN(AG$33:AG$46)</f>
        <v>0.21885577788634691</v>
      </c>
      <c r="AK39" s="21">
        <v>7</v>
      </c>
      <c r="AL39" s="7">
        <f>AK39/9*100</f>
        <v>77.777777777777786</v>
      </c>
      <c r="AM39">
        <v>0.36234219565812964</v>
      </c>
      <c r="AN39">
        <v>9.0485037988401018E-2</v>
      </c>
      <c r="AO39" s="8">
        <f>AH40</f>
        <v>0</v>
      </c>
    </row>
    <row r="40" spans="1:41">
      <c r="A40" s="14">
        <v>7</v>
      </c>
      <c r="B40">
        <f t="shared" si="9"/>
        <v>757</v>
      </c>
      <c r="C40">
        <f t="shared" si="5"/>
        <v>756</v>
      </c>
      <c r="D40">
        <f t="shared" si="6"/>
        <v>755</v>
      </c>
      <c r="E40">
        <f t="shared" si="7"/>
        <v>756.5</v>
      </c>
      <c r="J40" s="7">
        <f t="shared" si="10"/>
        <v>106.08085632494463</v>
      </c>
      <c r="K40" s="7">
        <f t="shared" si="10"/>
        <v>105.94072309333968</v>
      </c>
      <c r="L40" s="7">
        <f t="shared" si="10"/>
        <v>105.80058986173474</v>
      </c>
      <c r="M40" s="7">
        <f t="shared" si="10"/>
        <v>106.01078970914216</v>
      </c>
      <c r="N40" s="8">
        <f t="array" ref="N40:P40">LINEST(TRANSPOSE(J40:L40),TRANSPOSE(B40:D40)^{1,2},TRUE,FALSE)</f>
        <v>3.6175986800094771E-17</v>
      </c>
      <c r="O40" s="8">
        <v>0.14013323160489438</v>
      </c>
      <c r="P40" s="8">
        <v>1.8858694908588477E-11</v>
      </c>
      <c r="Q40" s="16"/>
      <c r="R40" s="16"/>
      <c r="S40" s="16"/>
      <c r="T40" s="16"/>
      <c r="U40" s="16"/>
      <c r="V40" s="15"/>
      <c r="W40" s="15"/>
      <c r="X40" s="15"/>
      <c r="Y40" s="15"/>
      <c r="Z40" s="8">
        <f>B40</f>
        <v>757</v>
      </c>
      <c r="AA40" s="11">
        <f>-(O40/(2*N40))</f>
        <v>-1936826663212505.3</v>
      </c>
      <c r="AB40" s="4">
        <f>N40*AA40^2+(O40)*AA40+P40</f>
        <v>-135706889687246.41</v>
      </c>
      <c r="AC40" s="8">
        <f>1/2/N40/27.2/6240000000000000000</f>
        <v>8.1432191765715397E-5</v>
      </c>
      <c r="AD40" s="7">
        <f>27.2*(-O40-I$20-2*Z40*N40)</f>
        <v>-4.6579450242540723</v>
      </c>
      <c r="AE40" s="8">
        <f>Z40-AA40</f>
        <v>1936826663213262.3</v>
      </c>
      <c r="AF40" s="4">
        <f>AB40*627.5096</f>
        <v>-8.5157376064888112E+16</v>
      </c>
      <c r="AG40" s="7"/>
      <c r="AH40" s="7"/>
      <c r="AK40" s="21">
        <v>9</v>
      </c>
      <c r="AL40" s="7">
        <f>AK40/9*100</f>
        <v>100</v>
      </c>
      <c r="AM40">
        <v>0.62238058961520437</v>
      </c>
      <c r="AN40">
        <v>0.24940274153777864</v>
      </c>
      <c r="AO40" s="8">
        <v>0</v>
      </c>
    </row>
    <row r="41" spans="1:41">
      <c r="A41">
        <v>8</v>
      </c>
      <c r="B41">
        <f t="shared" si="9"/>
        <v>758</v>
      </c>
      <c r="C41">
        <f t="shared" si="5"/>
        <v>757</v>
      </c>
      <c r="D41">
        <f t="shared" si="6"/>
        <v>756</v>
      </c>
      <c r="E41">
        <f t="shared" si="7"/>
        <v>757.5</v>
      </c>
      <c r="J41" s="7"/>
      <c r="K41" s="7"/>
      <c r="L41" s="7"/>
      <c r="M41" s="7"/>
      <c r="N41" s="8"/>
      <c r="O41" s="8"/>
      <c r="P41" s="8"/>
      <c r="Q41" s="16"/>
      <c r="R41" s="16"/>
      <c r="S41" s="16"/>
      <c r="T41" s="16"/>
      <c r="U41" s="16"/>
      <c r="V41" s="15"/>
      <c r="W41" s="15"/>
      <c r="X41" s="15"/>
      <c r="Y41" s="15"/>
      <c r="Z41" s="8"/>
      <c r="AA41" s="11"/>
      <c r="AB41" s="4"/>
      <c r="AC41" s="8"/>
      <c r="AD41" s="7"/>
      <c r="AE41" s="8"/>
      <c r="AF41" s="4"/>
      <c r="AG41" s="7"/>
      <c r="AH41" s="7"/>
      <c r="AK41" s="8"/>
      <c r="AN41" s="8"/>
      <c r="AO41" s="8"/>
    </row>
    <row r="42" spans="1:41">
      <c r="A42">
        <v>9</v>
      </c>
      <c r="B42">
        <f t="shared" si="9"/>
        <v>759</v>
      </c>
      <c r="C42">
        <f t="shared" si="5"/>
        <v>758</v>
      </c>
      <c r="D42">
        <f t="shared" si="6"/>
        <v>757</v>
      </c>
      <c r="E42">
        <f t="shared" si="7"/>
        <v>758.5</v>
      </c>
      <c r="F42">
        <v>-3900.45039036251</v>
      </c>
      <c r="G42">
        <v>-3900.2766756834599</v>
      </c>
      <c r="H42">
        <v>-3900.0671157410202</v>
      </c>
      <c r="J42" s="7">
        <f t="shared" ref="J42:M47" si="11">F42-B42*($H$20+$I$20)</f>
        <v>-3794.0892675743553</v>
      </c>
      <c r="K42" s="7">
        <f t="shared" si="11"/>
        <v>-3794.0556861269101</v>
      </c>
      <c r="L42" s="7">
        <f t="shared" si="11"/>
        <v>-3793.9862594160754</v>
      </c>
      <c r="M42" s="7">
        <f t="shared" si="11"/>
        <v>106.29105617235206</v>
      </c>
      <c r="N42" s="8">
        <f t="array" ref="N42:P42">LINEST(TRANSPOSE(J42:L42),TRANSPOSE(B42:D42)^{1,2},TRUE,FALSE)</f>
        <v>1.7922631694777029E-2</v>
      </c>
      <c r="O42" s="8">
        <v>-27.222213728421913</v>
      </c>
      <c r="P42" s="8">
        <v>6542.683362939033</v>
      </c>
      <c r="Q42" s="16"/>
      <c r="R42" s="16"/>
      <c r="S42" s="16"/>
      <c r="T42" s="16"/>
      <c r="U42" s="16"/>
      <c r="V42" s="15"/>
      <c r="W42" s="15"/>
      <c r="X42" s="15"/>
      <c r="Y42" s="15"/>
      <c r="Z42" s="8">
        <f t="shared" ref="Z42:Z47" si="12">B42</f>
        <v>759</v>
      </c>
      <c r="AA42" s="11">
        <f t="shared" ref="AA42:AA47" si="13">-(O42/(2*N42))</f>
        <v>759.43684476747205</v>
      </c>
      <c r="AB42" s="4">
        <f t="shared" ref="AB42:AB47" si="14">N42*AA42^2+(O42)*AA42+P42</f>
        <v>-3794.0926878102164</v>
      </c>
      <c r="AC42" s="8">
        <f t="shared" ref="AC42:AC47" si="15">1/2/N42/27.2/6240000000000000000</f>
        <v>1.6436703853473654E-19</v>
      </c>
      <c r="AD42" s="7">
        <f t="shared" ref="AD42:AD47" si="16">27.2*(-O42-I$20-2*Z42*N42)</f>
        <v>-0.42040133618898495</v>
      </c>
      <c r="AE42" s="8">
        <f t="shared" ref="AE42:AE47" si="17">Z42-AA42</f>
        <v>-0.43684476747205281</v>
      </c>
      <c r="AF42" s="4">
        <f t="shared" ref="AF42:AF47" si="18">AB42*627.5096</f>
        <v>-2380829.5848907134</v>
      </c>
      <c r="AG42" s="7">
        <f>AG$30*(13-A42)+AF42/23</f>
        <v>-103564.65922955889</v>
      </c>
      <c r="AH42" s="3">
        <f>AG42-MIN(AG$33:AG$46)</f>
        <v>1.8790166068356484E-3</v>
      </c>
      <c r="AK42" s="8"/>
      <c r="AL42" s="6"/>
      <c r="AN42" s="8"/>
      <c r="AO42" s="8"/>
    </row>
    <row r="43" spans="1:41">
      <c r="A43">
        <v>10</v>
      </c>
      <c r="B43">
        <f t="shared" si="9"/>
        <v>760</v>
      </c>
      <c r="C43">
        <f t="shared" si="5"/>
        <v>759</v>
      </c>
      <c r="D43">
        <f t="shared" si="6"/>
        <v>758</v>
      </c>
      <c r="E43">
        <f t="shared" si="7"/>
        <v>759.5</v>
      </c>
      <c r="J43" s="7">
        <f t="shared" si="11"/>
        <v>106.50125601975947</v>
      </c>
      <c r="K43" s="7">
        <f t="shared" si="11"/>
        <v>106.36112278815453</v>
      </c>
      <c r="L43" s="7">
        <f t="shared" si="11"/>
        <v>106.22098955654958</v>
      </c>
      <c r="M43" s="7">
        <f t="shared" si="11"/>
        <v>106.43118940395699</v>
      </c>
      <c r="N43" s="8">
        <f t="array" ref="N43:P43">LINEST(TRANSPOSE(J43:L43),TRANSPOSE(B43:D43)^{1,2},TRUE,FALSE)</f>
        <v>-7.0767801048574479E-15</v>
      </c>
      <c r="O43" s="8">
        <v>0.14013323161568453</v>
      </c>
      <c r="P43" s="8">
        <v>-4.0732213777115693E-9</v>
      </c>
      <c r="Q43" s="16"/>
      <c r="R43" s="16"/>
      <c r="S43" s="16"/>
      <c r="T43" s="16"/>
      <c r="U43" s="16"/>
      <c r="V43" s="15"/>
      <c r="W43" s="15"/>
      <c r="X43" s="15"/>
      <c r="Y43" s="15"/>
      <c r="Z43" s="8">
        <f t="shared" si="12"/>
        <v>760</v>
      </c>
      <c r="AA43" s="11">
        <f t="shared" si="13"/>
        <v>9900917475130.9668</v>
      </c>
      <c r="AB43" s="4">
        <f t="shared" si="14"/>
        <v>693723780875.15308</v>
      </c>
      <c r="AC43" s="8">
        <f t="shared" si="15"/>
        <v>-4.1627546013437232E-7</v>
      </c>
      <c r="AD43" s="7">
        <f t="shared" si="16"/>
        <v>-4.6579450242534932</v>
      </c>
      <c r="AE43" s="8">
        <f t="shared" si="17"/>
        <v>-9900917474370.9668</v>
      </c>
      <c r="AF43" s="4">
        <f t="shared" si="18"/>
        <v>435318332247454.94</v>
      </c>
      <c r="AG43" s="7"/>
      <c r="AH43" s="3"/>
      <c r="AK43" s="7"/>
      <c r="AL43">
        <v>2</v>
      </c>
      <c r="AM43">
        <f>AL43/13</f>
        <v>0.15384615384615385</v>
      </c>
      <c r="AN43" s="7">
        <v>0.12721348079902572</v>
      </c>
      <c r="AO43" s="8">
        <v>1.4928025178530293</v>
      </c>
    </row>
    <row r="44" spans="1:41">
      <c r="A44">
        <v>11</v>
      </c>
      <c r="B44">
        <f t="shared" si="9"/>
        <v>761</v>
      </c>
      <c r="C44">
        <f t="shared" si="5"/>
        <v>760</v>
      </c>
      <c r="D44">
        <f t="shared" si="6"/>
        <v>759</v>
      </c>
      <c r="E44">
        <f t="shared" si="7"/>
        <v>760.5</v>
      </c>
      <c r="F44">
        <v>-3901.6539768734801</v>
      </c>
      <c r="G44">
        <v>-3901.4817522353601</v>
      </c>
      <c r="H44">
        <v>-3901.2726506930198</v>
      </c>
      <c r="J44" s="7">
        <f t="shared" si="11"/>
        <v>-3795.0125876221159</v>
      </c>
      <c r="K44" s="7">
        <f t="shared" si="11"/>
        <v>-3794.9804962156004</v>
      </c>
      <c r="L44" s="7">
        <f t="shared" si="11"/>
        <v>-3794.9115279048651</v>
      </c>
      <c r="M44" s="7"/>
      <c r="N44" s="8">
        <f t="array" ref="N44:P44">LINEST(TRANSPOSE(J44:L44),TRANSPOSE(B44:D44)^{1,2},TRUE,FALSE)</f>
        <v>1.8438452109881438E-2</v>
      </c>
      <c r="O44" s="8">
        <v>-28.076977065645174</v>
      </c>
      <c r="P44" s="8">
        <v>6893.4721350072141</v>
      </c>
      <c r="Q44" s="16"/>
      <c r="R44" s="16"/>
      <c r="S44" s="16"/>
      <c r="T44" s="16"/>
      <c r="U44" s="16"/>
      <c r="V44" s="15"/>
      <c r="W44" s="15"/>
      <c r="X44" s="15"/>
      <c r="Y44" s="15"/>
      <c r="Z44" s="8">
        <f t="shared" si="12"/>
        <v>761</v>
      </c>
      <c r="AA44" s="11">
        <f t="shared" si="13"/>
        <v>761.37023049234995</v>
      </c>
      <c r="AB44" s="4">
        <f t="shared" si="14"/>
        <v>-3795.0151149921312</v>
      </c>
      <c r="AC44" s="8">
        <f t="shared" si="15"/>
        <v>1.5976882857973528E-19</v>
      </c>
      <c r="AD44" s="7">
        <f t="shared" si="16"/>
        <v>-0.47496076476644472</v>
      </c>
      <c r="AE44" s="8">
        <f t="shared" si="17"/>
        <v>-0.37023049234994687</v>
      </c>
      <c r="AF44" s="4">
        <f t="shared" si="18"/>
        <v>-2381408.4168026662</v>
      </c>
      <c r="AG44" s="7">
        <f>AG$30*(13-A44)+AF44/23</f>
        <v>-103564.6611085755</v>
      </c>
      <c r="AH44" s="34">
        <f>AG44-MIN(AG$33:AG$46)</f>
        <v>0</v>
      </c>
      <c r="AK44" s="8"/>
      <c r="AL44">
        <v>4</v>
      </c>
      <c r="AM44">
        <f>AL44/13</f>
        <v>0.30769230769230771</v>
      </c>
      <c r="AN44" s="7">
        <v>-1.8871144944030565E-2</v>
      </c>
      <c r="AO44" s="8">
        <v>1.3626189465310588</v>
      </c>
    </row>
    <row r="45" spans="1:41">
      <c r="A45">
        <v>12</v>
      </c>
      <c r="B45">
        <f t="shared" si="9"/>
        <v>762</v>
      </c>
      <c r="C45">
        <f t="shared" si="5"/>
        <v>761</v>
      </c>
      <c r="D45">
        <f t="shared" si="6"/>
        <v>760</v>
      </c>
      <c r="E45">
        <f t="shared" si="7"/>
        <v>761.5</v>
      </c>
      <c r="J45" s="7">
        <f t="shared" si="11"/>
        <v>106.78152248296936</v>
      </c>
      <c r="K45" s="7">
        <f t="shared" si="11"/>
        <v>106.64138925136442</v>
      </c>
      <c r="L45" s="7">
        <f t="shared" si="11"/>
        <v>106.50125601975947</v>
      </c>
      <c r="M45" s="7">
        <f t="shared" si="11"/>
        <v>106.71145586716689</v>
      </c>
      <c r="N45" s="8">
        <f t="array" ref="N45:P45">LINEST(TRANSPOSE(J45:L45),TRANSPOSE(B45:D45)^{1,2},TRUE,FALSE)</f>
        <v>4.7879047960357413E-17</v>
      </c>
      <c r="O45" s="8">
        <v>0.14013323160487623</v>
      </c>
      <c r="P45" s="8">
        <v>2.5861339077811306E-11</v>
      </c>
      <c r="Q45" s="26"/>
      <c r="R45" s="26"/>
      <c r="S45" s="26"/>
      <c r="T45" s="26"/>
      <c r="U45" s="16"/>
      <c r="V45" s="15"/>
      <c r="W45" s="15"/>
      <c r="X45" s="15"/>
      <c r="Y45" s="15"/>
      <c r="Z45" s="8">
        <f t="shared" si="12"/>
        <v>762</v>
      </c>
      <c r="AA45" s="11">
        <f t="shared" si="13"/>
        <v>-1463408709806665.8</v>
      </c>
      <c r="AB45" s="4">
        <f t="shared" si="14"/>
        <v>-102536095831965.3</v>
      </c>
      <c r="AC45" s="8">
        <f t="shared" si="15"/>
        <v>6.1527745849466873E-5</v>
      </c>
      <c r="AD45" s="7">
        <f t="shared" si="16"/>
        <v>-4.6579450242540741</v>
      </c>
      <c r="AE45" s="8">
        <f t="shared" si="17"/>
        <v>1463408709807427.8</v>
      </c>
      <c r="AF45" s="4">
        <f t="shared" si="18"/>
        <v>-6.4342384481078208E+16</v>
      </c>
      <c r="AG45" s="7"/>
      <c r="AH45" s="3"/>
      <c r="AI45" t="s">
        <v>84</v>
      </c>
      <c r="AK45" s="8"/>
      <c r="AL45">
        <v>7</v>
      </c>
      <c r="AM45">
        <f>AL45/13</f>
        <v>0.53846153846153844</v>
      </c>
      <c r="AN45" s="7">
        <v>-7.957130918835012E-2</v>
      </c>
      <c r="AO45" s="8">
        <v>1.1535704930758346</v>
      </c>
    </row>
    <row r="46" spans="1:41">
      <c r="A46">
        <v>13</v>
      </c>
      <c r="B46">
        <f t="shared" si="9"/>
        <v>763</v>
      </c>
      <c r="C46">
        <f t="shared" si="5"/>
        <v>762</v>
      </c>
      <c r="D46">
        <f t="shared" si="6"/>
        <v>761</v>
      </c>
      <c r="E46">
        <f t="shared" si="7"/>
        <v>762.5</v>
      </c>
      <c r="F46">
        <v>-3902.8562914785598</v>
      </c>
      <c r="G46">
        <v>-3902.6850012352902</v>
      </c>
      <c r="H46">
        <v>-3902.4761749152299</v>
      </c>
      <c r="J46" s="7">
        <f t="shared" si="11"/>
        <v>-3795.9346357639856</v>
      </c>
      <c r="K46" s="7">
        <f t="shared" si="11"/>
        <v>-3795.903478752321</v>
      </c>
      <c r="L46" s="7">
        <f t="shared" si="11"/>
        <v>-3795.8347856638657</v>
      </c>
      <c r="M46" s="7">
        <f t="shared" si="11"/>
        <v>106.85158909877184</v>
      </c>
      <c r="N46" s="8">
        <f t="array" ref="N46:P46">LINEST(TRANSPOSE(J46:L46),TRANSPOSE(B46:D46)^{1,2},TRUE,FALSE)</f>
        <v>1.8768038395362452E-2</v>
      </c>
      <c r="O46" s="8">
        <v>-28.652415564592367</v>
      </c>
      <c r="P46" s="8">
        <v>7139.6882954302255</v>
      </c>
      <c r="Q46" s="26"/>
      <c r="R46" s="26"/>
      <c r="S46" s="26"/>
      <c r="T46" s="26"/>
      <c r="U46" s="16"/>
      <c r="V46" s="15"/>
      <c r="W46" s="15"/>
      <c r="X46" s="15"/>
      <c r="Y46" s="15"/>
      <c r="Z46" s="8">
        <f t="shared" si="12"/>
        <v>763</v>
      </c>
      <c r="AA46" s="11">
        <f t="shared" si="13"/>
        <v>763.3300550917545</v>
      </c>
      <c r="AB46" s="4">
        <f t="shared" si="14"/>
        <v>-3795.9366802858403</v>
      </c>
      <c r="AC46" s="8">
        <f t="shared" si="15"/>
        <v>1.5696312168389586E-19</v>
      </c>
      <c r="AD46" s="7">
        <f t="shared" si="16"/>
        <v>-0.50934105167547161</v>
      </c>
      <c r="AE46" s="8">
        <f t="shared" si="17"/>
        <v>-0.33005509175450243</v>
      </c>
      <c r="AF46" s="4">
        <f t="shared" si="18"/>
        <v>-2381986.7078714953</v>
      </c>
      <c r="AG46" s="7">
        <f>AG$30*(13-A46)+AF46/23</f>
        <v>-103564.63947267371</v>
      </c>
      <c r="AH46" s="3">
        <f>AG46-MIN(AG$33:AG$46)</f>
        <v>2.1635901794070378E-2</v>
      </c>
      <c r="AI46" t="s">
        <v>84</v>
      </c>
      <c r="AK46" s="8"/>
      <c r="AL46">
        <v>13</v>
      </c>
      <c r="AM46">
        <f>AL46/13</f>
        <v>1</v>
      </c>
      <c r="AN46" s="7">
        <v>-0.11396395223386269</v>
      </c>
      <c r="AO46" s="8">
        <v>1.1192666041948225</v>
      </c>
    </row>
    <row r="47" spans="1:41">
      <c r="A47">
        <v>14</v>
      </c>
      <c r="B47">
        <f t="shared" si="9"/>
        <v>764</v>
      </c>
      <c r="C47">
        <f>B47-1</f>
        <v>763</v>
      </c>
      <c r="D47">
        <f>B47-2</f>
        <v>762</v>
      </c>
      <c r="E47">
        <f>B47-0.5</f>
        <v>763.5</v>
      </c>
      <c r="J47" s="7">
        <f t="shared" si="11"/>
        <v>107.06178894617926</v>
      </c>
      <c r="K47" s="7">
        <f t="shared" si="11"/>
        <v>106.92165571457431</v>
      </c>
      <c r="L47" s="7">
        <f t="shared" si="11"/>
        <v>106.78152248296936</v>
      </c>
      <c r="M47" s="7">
        <f t="shared" si="11"/>
        <v>106.99172233037679</v>
      </c>
      <c r="N47" s="8">
        <f t="array" ref="N47:P47">LINEST(TRANSPOSE(J47:M47),TRANSPOSE(B47:E47)^{1,2},TRUE,FALSE)</f>
        <v>3.2344297117886517E-18</v>
      </c>
      <c r="O47" s="8">
        <v>0.14013323160494412</v>
      </c>
      <c r="P47" s="8">
        <v>7.7494452981352445E-14</v>
      </c>
      <c r="Q47" s="26"/>
      <c r="R47" s="26"/>
      <c r="S47" s="26"/>
      <c r="T47" s="26"/>
      <c r="U47" s="16"/>
      <c r="V47" s="15"/>
      <c r="W47" s="15"/>
      <c r="X47" s="15"/>
      <c r="Y47" s="15"/>
      <c r="Z47" s="8">
        <f t="shared" si="12"/>
        <v>764</v>
      </c>
      <c r="AA47" s="11">
        <f t="shared" si="13"/>
        <v>-2.1662741826510416E+16</v>
      </c>
      <c r="AB47" s="4">
        <f t="shared" si="14"/>
        <v>-1517835008786247.5</v>
      </c>
      <c r="AC47" s="8">
        <f t="shared" si="15"/>
        <v>9.1079113071534901E-4</v>
      </c>
      <c r="AD47" s="7">
        <f t="shared" si="16"/>
        <v>-4.6579450242540705</v>
      </c>
      <c r="AE47" s="8">
        <f t="shared" si="17"/>
        <v>2.166274182651118E+16</v>
      </c>
      <c r="AF47" s="4">
        <f t="shared" si="18"/>
        <v>-9.5245603922945459E+17</v>
      </c>
      <c r="AG47" s="7"/>
      <c r="AH47" s="7"/>
      <c r="AI47" t="s">
        <v>84</v>
      </c>
      <c r="AK47" s="8"/>
      <c r="AL47">
        <v>14</v>
      </c>
      <c r="AM47">
        <f>AL47/13</f>
        <v>1.0769230769230769</v>
      </c>
      <c r="AN47" s="7">
        <v>-1.1269065447185249</v>
      </c>
      <c r="AO47" s="8"/>
    </row>
    <row r="48" spans="1:41">
      <c r="A48" s="14"/>
      <c r="B48" s="17"/>
      <c r="N48" s="8"/>
      <c r="O48" s="8"/>
      <c r="P48" s="8"/>
      <c r="Q48" s="16"/>
      <c r="R48" s="16"/>
      <c r="S48" s="16"/>
      <c r="T48" s="16"/>
      <c r="U48" s="16"/>
      <c r="V48" s="15"/>
      <c r="W48" s="15"/>
      <c r="X48" s="15"/>
      <c r="Y48" s="15"/>
      <c r="Z48" s="8"/>
      <c r="AA48" s="11"/>
      <c r="AB48" s="4"/>
      <c r="AC48" s="8"/>
      <c r="AD48" s="7"/>
      <c r="AE48" s="8"/>
      <c r="AF48" s="4"/>
      <c r="AH48" s="14"/>
      <c r="AI48" s="17"/>
      <c r="AK48" s="8"/>
      <c r="AN48" s="8"/>
      <c r="AO48" s="8"/>
    </row>
    <row r="49" spans="1:41">
      <c r="J49" s="7"/>
      <c r="K49" s="7"/>
      <c r="L49" s="7"/>
      <c r="M49" s="7"/>
      <c r="N49" s="8"/>
      <c r="O49" s="8"/>
      <c r="P49" s="8"/>
      <c r="Q49" s="26"/>
      <c r="R49" s="26"/>
      <c r="S49" s="26"/>
      <c r="T49" s="26"/>
      <c r="U49" s="16"/>
      <c r="V49" s="15"/>
      <c r="W49" s="15"/>
      <c r="X49" s="15"/>
      <c r="Y49" s="15"/>
      <c r="Z49" s="8">
        <f>B49</f>
        <v>0</v>
      </c>
      <c r="AA49" s="11" t="e">
        <f>-(O49/(2*N49))</f>
        <v>#DIV/0!</v>
      </c>
      <c r="AB49" s="4" t="e">
        <f>N49*AA49^2+(O49)*AA49+P49</f>
        <v>#DIV/0!</v>
      </c>
      <c r="AC49" s="8" t="e">
        <f>1/2/N49/27.2/6240000000000000000</f>
        <v>#DIV/0!</v>
      </c>
      <c r="AD49" s="7">
        <f>27.2*(-O49-I$20-2*Z49*N49)</f>
        <v>-0.84632112459945619</v>
      </c>
      <c r="AE49" s="8" t="e">
        <f>Z49-AA49</f>
        <v>#DIV/0!</v>
      </c>
      <c r="AF49" s="4" t="e">
        <f>AB49*627.5096</f>
        <v>#DIV/0!</v>
      </c>
      <c r="AG49" s="7" t="e">
        <f>(AF49-AF35)/23</f>
        <v>#DIV/0!</v>
      </c>
      <c r="AH49" s="7"/>
      <c r="AI49" s="7">
        <f>AH44-AH46</f>
        <v>-2.1635901794070378E-2</v>
      </c>
      <c r="AK49" s="13">
        <v>2</v>
      </c>
      <c r="AL49">
        <v>0.18502096030023163</v>
      </c>
      <c r="AM49">
        <f>AG71</f>
        <v>1.6408651651494437</v>
      </c>
      <c r="AN49" s="8"/>
      <c r="AO49" s="8"/>
    </row>
    <row r="50" spans="1:41">
      <c r="J50" s="7"/>
      <c r="K50" s="7"/>
      <c r="L50" s="7"/>
      <c r="M50" s="7"/>
      <c r="N50" s="8"/>
      <c r="O50" s="8"/>
      <c r="P50" s="8"/>
      <c r="Q50" s="26"/>
      <c r="R50" s="26"/>
      <c r="S50" s="26"/>
      <c r="T50" s="26"/>
      <c r="U50" s="16"/>
      <c r="V50" s="15"/>
      <c r="W50" s="15"/>
      <c r="X50" s="15"/>
      <c r="Y50" s="15"/>
      <c r="Z50" s="8">
        <f>B50</f>
        <v>0</v>
      </c>
      <c r="AA50" s="11" t="e">
        <f>-(O50/(2*N50))</f>
        <v>#DIV/0!</v>
      </c>
      <c r="AB50" s="4" t="e">
        <f>N50*AA50^2+(O50)*AA50+P50</f>
        <v>#DIV/0!</v>
      </c>
      <c r="AC50" s="8" t="e">
        <f>1/2/N50/27.2/6240000000000000000</f>
        <v>#DIV/0!</v>
      </c>
      <c r="AD50" s="7">
        <f>27.2*(-O50-I$20-2*Z50*N50)</f>
        <v>-0.84632112459945619</v>
      </c>
      <c r="AE50" s="8" t="e">
        <f>Z50-AA50</f>
        <v>#DIV/0!</v>
      </c>
      <c r="AF50" s="4" t="e">
        <f>AB50*627.5096</f>
        <v>#DIV/0!</v>
      </c>
      <c r="AG50" s="7" t="e">
        <f>(AF50-AF37)/23</f>
        <v>#DIV/0!</v>
      </c>
      <c r="AH50" s="7"/>
      <c r="AK50" s="8">
        <v>6</v>
      </c>
      <c r="AL50">
        <v>5.0623884807076198E-2</v>
      </c>
      <c r="AM50">
        <f>AI71</f>
        <v>1.1677303560216388</v>
      </c>
      <c r="AN50" s="8"/>
      <c r="AO50" s="8"/>
    </row>
    <row r="51" spans="1:41">
      <c r="J51" s="7"/>
      <c r="K51" s="7"/>
      <c r="L51" s="7"/>
      <c r="M51" s="7"/>
      <c r="N51" s="8"/>
      <c r="O51" s="8"/>
      <c r="P51" s="8"/>
      <c r="Q51" s="26"/>
      <c r="R51" s="26"/>
      <c r="S51" s="26"/>
      <c r="T51" s="26"/>
      <c r="U51" s="16"/>
      <c r="V51" s="15"/>
      <c r="W51" s="15"/>
      <c r="X51" s="15"/>
      <c r="Y51" s="15"/>
      <c r="Z51" s="8">
        <f>B51</f>
        <v>0</v>
      </c>
      <c r="AA51" s="11" t="e">
        <f>-(O51/(2*N51))</f>
        <v>#DIV/0!</v>
      </c>
      <c r="AB51" s="4" t="e">
        <f>N51*AA51^2+(O51)*AA51+P51</f>
        <v>#DIV/0!</v>
      </c>
      <c r="AC51" s="8" t="e">
        <f>1/2/N51/27.2/6240000000000000000</f>
        <v>#DIV/0!</v>
      </c>
      <c r="AD51" s="7">
        <f>27.2*(-O51-I$20-2*Z51*N51)</f>
        <v>-0.84632112459945619</v>
      </c>
      <c r="AE51" s="8" t="e">
        <f>Z51-AA51</f>
        <v>#DIV/0!</v>
      </c>
      <c r="AF51" s="4" t="e">
        <f>AB51*627.5096</f>
        <v>#DIV/0!</v>
      </c>
      <c r="AG51" s="7">
        <v>1.1535704930758346</v>
      </c>
      <c r="AH51" s="7" t="e">
        <f>(AF51-AF40)/23</f>
        <v>#DIV/0!</v>
      </c>
      <c r="AI51" t="s">
        <v>7</v>
      </c>
      <c r="AK51" s="8">
        <v>9</v>
      </c>
      <c r="AL51" s="31">
        <v>-6.0377458781365086E-3</v>
      </c>
      <c r="AM51">
        <f>AJ71</f>
        <v>1.1650564994684827</v>
      </c>
      <c r="AN51" s="8"/>
      <c r="AO51" s="8"/>
    </row>
    <row r="52" spans="1:41">
      <c r="J52" s="7"/>
      <c r="K52" s="7"/>
      <c r="L52" s="7"/>
      <c r="M52" s="7"/>
      <c r="N52" s="8"/>
      <c r="O52" s="8"/>
      <c r="P52" s="8"/>
      <c r="Q52" s="26"/>
      <c r="R52" s="26"/>
      <c r="S52" s="26"/>
      <c r="T52" s="26"/>
      <c r="U52" s="16"/>
      <c r="V52" s="15"/>
      <c r="W52" s="15"/>
      <c r="X52" s="15"/>
      <c r="Y52" s="15"/>
      <c r="Z52" s="8">
        <f>B52</f>
        <v>0</v>
      </c>
      <c r="AA52" s="11" t="e">
        <f>-(O52/(2*N52))</f>
        <v>#DIV/0!</v>
      </c>
      <c r="AB52" s="4" t="e">
        <f>N52*AA52^2+(O52)*AA52+P52</f>
        <v>#DIV/0!</v>
      </c>
      <c r="AC52" s="8" t="e">
        <f>1/2/N52/27.2/6240000000000000000</f>
        <v>#DIV/0!</v>
      </c>
      <c r="AD52" s="7">
        <f>27.2*(-O52-I$20-2*Z52*N52)</f>
        <v>-0.84632112459945619</v>
      </c>
      <c r="AE52" s="8" t="e">
        <f>Z52-AA52</f>
        <v>#DIV/0!</v>
      </c>
      <c r="AF52" s="4" t="e">
        <f>AB52*627.5096</f>
        <v>#DIV/0!</v>
      </c>
      <c r="AG52" s="7">
        <v>1.1192666041948225</v>
      </c>
      <c r="AH52" s="7" t="e">
        <f>(AF52-AF46)/23</f>
        <v>#DIV/0!</v>
      </c>
      <c r="AK52" s="8">
        <v>11</v>
      </c>
      <c r="AL52">
        <v>-7.899900910442198E-2</v>
      </c>
      <c r="AM52">
        <f>AK71</f>
        <v>1.1315105206378211</v>
      </c>
      <c r="AN52" s="8"/>
      <c r="AO52" s="8"/>
    </row>
    <row r="53" spans="1:41">
      <c r="J53" s="7"/>
      <c r="K53" s="7"/>
      <c r="L53" s="7"/>
      <c r="M53" s="7"/>
      <c r="N53" s="8"/>
      <c r="O53" s="8"/>
      <c r="P53" s="8"/>
      <c r="Q53" s="16"/>
      <c r="R53" s="16"/>
      <c r="S53" s="16"/>
      <c r="T53" s="16"/>
      <c r="U53" s="16"/>
      <c r="V53" s="15"/>
      <c r="W53" s="15"/>
      <c r="X53" s="15"/>
      <c r="Y53" s="15"/>
      <c r="Z53" s="8"/>
      <c r="AA53" s="11"/>
      <c r="AB53" s="4"/>
      <c r="AC53" s="8"/>
      <c r="AD53" s="7"/>
      <c r="AE53" s="8"/>
      <c r="AF53" s="4"/>
      <c r="AG53" s="7"/>
      <c r="AI53" s="6"/>
      <c r="AJ53" s="33"/>
      <c r="AK53" s="8">
        <v>13</v>
      </c>
      <c r="AL53">
        <v>-9.0980675132027705E-2</v>
      </c>
      <c r="AM53">
        <f>AL71</f>
        <v>0.9536530516787024</v>
      </c>
      <c r="AN53" s="8"/>
      <c r="AO53" s="8"/>
    </row>
    <row r="54" spans="1:41">
      <c r="J54" s="7"/>
      <c r="K54" s="7"/>
      <c r="L54" s="7"/>
      <c r="M54" s="7"/>
      <c r="N54" s="8"/>
      <c r="O54" s="8"/>
      <c r="P54" s="8"/>
      <c r="Q54" s="16"/>
      <c r="R54" s="16"/>
      <c r="S54" s="16"/>
      <c r="T54" s="16"/>
      <c r="U54" s="16"/>
      <c r="V54" s="15"/>
      <c r="W54" s="15"/>
      <c r="X54" s="15"/>
      <c r="Y54" s="15"/>
      <c r="Z54" s="8"/>
      <c r="AA54" s="11"/>
      <c r="AB54" s="4"/>
      <c r="AC54" s="8"/>
      <c r="AD54" s="7"/>
      <c r="AE54" s="8"/>
      <c r="AF54" s="4"/>
      <c r="AG54" s="7"/>
      <c r="AI54" s="6"/>
      <c r="AJ54" s="6"/>
      <c r="AK54" s="8"/>
      <c r="AL54" t="s">
        <v>195</v>
      </c>
      <c r="AN54" s="8"/>
      <c r="AO54" s="8"/>
    </row>
    <row r="55" spans="1:41">
      <c r="J55" s="7"/>
      <c r="K55" s="7"/>
      <c r="L55" s="7"/>
      <c r="M55" s="7"/>
      <c r="N55" s="8"/>
      <c r="O55" s="8"/>
      <c r="P55" s="8"/>
      <c r="Q55" s="16"/>
      <c r="R55" s="16"/>
      <c r="S55" s="16"/>
      <c r="T55" s="16"/>
      <c r="U55" s="16"/>
      <c r="V55" s="15"/>
      <c r="W55" s="15"/>
      <c r="X55" s="15"/>
      <c r="Y55" s="15"/>
      <c r="Z55" s="8"/>
      <c r="AA55" s="11"/>
      <c r="AB55" s="4"/>
      <c r="AC55" s="8">
        <v>1.9778579605059507E-19</v>
      </c>
      <c r="AD55" s="7">
        <v>-0.3025774347066999</v>
      </c>
      <c r="AE55" s="8"/>
      <c r="AF55" s="4"/>
      <c r="AG55" s="7"/>
      <c r="AI55" s="6"/>
      <c r="AJ55" s="6"/>
      <c r="AK55" s="8"/>
      <c r="AN55" s="8"/>
      <c r="AO55" s="8"/>
    </row>
    <row r="56" spans="1:41">
      <c r="A56" s="14"/>
      <c r="B56" t="s">
        <v>94</v>
      </c>
      <c r="E56" t="s">
        <v>111</v>
      </c>
      <c r="F56" t="s">
        <v>123</v>
      </c>
      <c r="Q56" s="16"/>
      <c r="R56" s="16"/>
      <c r="S56" s="16"/>
      <c r="T56" s="16"/>
      <c r="U56" s="16"/>
      <c r="V56" s="15"/>
      <c r="W56" s="15"/>
      <c r="X56" s="15"/>
      <c r="Y56" s="15"/>
      <c r="AC56" s="8">
        <v>1.903890808854103E-19</v>
      </c>
      <c r="AD56" s="7">
        <v>-0.33572110551485251</v>
      </c>
      <c r="AH56" s="31"/>
      <c r="AI56" s="6"/>
      <c r="AJ56" s="31"/>
      <c r="AK56" s="8"/>
      <c r="AN56" s="8"/>
      <c r="AO56" s="8"/>
    </row>
    <row r="57" spans="1:41">
      <c r="B57" t="s">
        <v>95</v>
      </c>
      <c r="E57" t="s">
        <v>112</v>
      </c>
      <c r="F57" t="s">
        <v>124</v>
      </c>
      <c r="G57">
        <v>-3897.8439713938401</v>
      </c>
      <c r="J57" s="7"/>
      <c r="K57" s="7"/>
      <c r="L57" s="7"/>
      <c r="M57" s="7"/>
      <c r="N57" s="8"/>
      <c r="O57" s="8"/>
      <c r="P57" s="8"/>
      <c r="Q57" s="16"/>
      <c r="R57" s="16"/>
      <c r="S57" s="16"/>
      <c r="T57" s="16"/>
      <c r="U57" s="16"/>
      <c r="V57" s="15"/>
      <c r="W57" s="15"/>
      <c r="X57" s="15"/>
      <c r="Y57" s="15"/>
      <c r="Z57" s="8"/>
      <c r="AA57" s="11"/>
      <c r="AB57" s="4"/>
      <c r="AC57" s="8">
        <v>1.7048215492021227E-19</v>
      </c>
      <c r="AD57" s="7">
        <v>-0.36498849291326108</v>
      </c>
      <c r="AE57" s="8"/>
      <c r="AF57" s="4"/>
      <c r="AG57" s="9"/>
      <c r="AH57" s="31"/>
      <c r="AI57" s="6"/>
      <c r="AJ57" s="31"/>
      <c r="AK57" s="8"/>
      <c r="AN57" s="8"/>
      <c r="AO57" s="8"/>
    </row>
    <row r="58" spans="1:41">
      <c r="B58" t="s">
        <v>96</v>
      </c>
      <c r="E58" t="s">
        <v>85</v>
      </c>
      <c r="F58" t="s">
        <v>125</v>
      </c>
      <c r="G58">
        <v>-3899.0537811356198</v>
      </c>
      <c r="J58" s="7"/>
      <c r="K58" s="7"/>
      <c r="L58" s="7"/>
      <c r="M58" s="7"/>
      <c r="N58" s="8"/>
      <c r="O58" s="8"/>
      <c r="P58" s="8"/>
      <c r="Q58" s="16"/>
      <c r="R58" s="16"/>
      <c r="S58" s="16"/>
      <c r="T58" s="16"/>
      <c r="U58" s="16"/>
      <c r="V58" s="15"/>
      <c r="W58" s="15"/>
      <c r="X58" s="15"/>
      <c r="Y58" s="15"/>
      <c r="Z58" s="8"/>
      <c r="AA58" s="11"/>
      <c r="AB58" s="4"/>
      <c r="AC58" s="8">
        <v>1.6436703853473669E-19</v>
      </c>
      <c r="AD58" s="7">
        <v>-0.42040133618309028</v>
      </c>
      <c r="AE58" s="8"/>
      <c r="AF58" s="4"/>
      <c r="AG58" s="9"/>
      <c r="AK58" s="8"/>
      <c r="AN58" s="8"/>
      <c r="AO58" s="8"/>
    </row>
    <row r="59" spans="1:41" ht="15">
      <c r="B59" t="s">
        <v>97</v>
      </c>
      <c r="E59" t="s">
        <v>113</v>
      </c>
      <c r="F59" t="s">
        <v>126</v>
      </c>
      <c r="G59" s="29"/>
      <c r="J59" s="7"/>
      <c r="K59" s="7"/>
      <c r="L59" s="7"/>
      <c r="M59" s="7"/>
      <c r="N59" s="8"/>
      <c r="O59" s="8"/>
      <c r="P59" s="8"/>
      <c r="Q59" s="16"/>
      <c r="R59" s="16"/>
      <c r="S59" s="16"/>
      <c r="T59" s="16"/>
      <c r="U59" s="16"/>
      <c r="V59" s="15"/>
      <c r="W59" s="15"/>
      <c r="X59" s="15"/>
      <c r="Y59" s="15"/>
      <c r="Z59" s="8"/>
      <c r="AA59" s="11"/>
      <c r="AB59" s="4"/>
      <c r="AC59" s="8">
        <v>1.5976882857973542E-19</v>
      </c>
      <c r="AD59" s="7">
        <v>-0.47496076477272592</v>
      </c>
      <c r="AE59" s="8"/>
      <c r="AF59" s="4"/>
      <c r="AG59" s="7" t="s">
        <v>29</v>
      </c>
      <c r="AH59" s="8" t="s">
        <v>92</v>
      </c>
      <c r="AI59" s="4" t="s">
        <v>135</v>
      </c>
      <c r="AJ59" s="9" t="s">
        <v>136</v>
      </c>
      <c r="AK59" s="9" t="s">
        <v>137</v>
      </c>
      <c r="AL59" t="s">
        <v>93</v>
      </c>
      <c r="AN59" s="8"/>
      <c r="AO59" s="8"/>
    </row>
    <row r="60" spans="1:41">
      <c r="B60" t="s">
        <v>98</v>
      </c>
      <c r="E60" t="s">
        <v>114</v>
      </c>
      <c r="F60" t="s">
        <v>127</v>
      </c>
      <c r="J60" s="7"/>
      <c r="K60" s="7"/>
      <c r="L60" s="7"/>
      <c r="M60" s="7"/>
      <c r="N60" s="8"/>
      <c r="O60" s="8"/>
      <c r="P60" s="8"/>
      <c r="Q60" s="16"/>
      <c r="R60" s="16"/>
      <c r="S60" s="16"/>
      <c r="T60" s="16"/>
      <c r="U60" s="16"/>
      <c r="V60" s="15"/>
      <c r="W60" s="15"/>
      <c r="X60" s="15"/>
      <c r="Y60" s="15"/>
      <c r="Z60" s="8"/>
      <c r="AA60" s="11"/>
      <c r="AB60" s="4"/>
      <c r="AC60" s="8">
        <v>1.5696312168579748E-19</v>
      </c>
      <c r="AD60" s="7">
        <v>-0.50934105166348898</v>
      </c>
      <c r="AE60" s="8"/>
      <c r="AF60" s="4"/>
      <c r="AG60" s="7"/>
      <c r="AH60" s="8"/>
      <c r="AI60" s="4"/>
      <c r="AJ60" s="9"/>
      <c r="AK60" s="9"/>
      <c r="AL60" s="9">
        <v>-2332.3617441708998</v>
      </c>
      <c r="AN60" s="8"/>
      <c r="AO60" s="8"/>
    </row>
    <row r="61" spans="1:41">
      <c r="B61" t="s">
        <v>99</v>
      </c>
      <c r="E61" t="s">
        <v>115</v>
      </c>
      <c r="F61" t="s">
        <v>128</v>
      </c>
      <c r="J61" s="7"/>
      <c r="K61" s="7"/>
      <c r="L61" s="7"/>
      <c r="M61" s="7"/>
      <c r="N61" s="8"/>
      <c r="O61" s="8"/>
      <c r="P61" s="8"/>
      <c r="Q61" s="16"/>
      <c r="R61" s="16"/>
      <c r="S61" s="16"/>
      <c r="T61" s="16"/>
      <c r="U61" s="16"/>
      <c r="V61" s="15"/>
      <c r="W61" s="15"/>
      <c r="X61" s="15"/>
      <c r="Y61" s="15"/>
      <c r="Z61" s="8"/>
      <c r="AA61" s="11"/>
      <c r="AB61" s="4"/>
      <c r="AC61" s="8"/>
      <c r="AD61" s="7"/>
      <c r="AE61" s="8"/>
      <c r="AF61" s="4"/>
      <c r="AG61" s="7" t="s">
        <v>175</v>
      </c>
      <c r="AH61" s="8"/>
      <c r="AI61" s="4"/>
      <c r="AJ61" s="9"/>
      <c r="AK61" s="9"/>
      <c r="AL61" s="9">
        <v>-2334.7645768736002</v>
      </c>
      <c r="AN61" s="8"/>
      <c r="AO61" s="8"/>
    </row>
    <row r="62" spans="1:41">
      <c r="B62" t="s">
        <v>100</v>
      </c>
      <c r="E62" t="s">
        <v>116</v>
      </c>
      <c r="F62" t="s">
        <v>129</v>
      </c>
      <c r="J62" s="7"/>
      <c r="K62" s="7"/>
      <c r="L62" s="7"/>
      <c r="M62" s="7"/>
      <c r="N62" s="8"/>
      <c r="O62" s="8"/>
      <c r="P62" s="8"/>
      <c r="Q62" s="16"/>
      <c r="R62" s="16"/>
      <c r="S62" s="16"/>
      <c r="T62" s="16"/>
      <c r="U62" s="16"/>
      <c r="V62" s="15"/>
      <c r="W62" s="15"/>
      <c r="X62" s="15"/>
      <c r="Y62" s="15"/>
      <c r="Z62" s="8"/>
      <c r="AA62" s="11"/>
      <c r="AB62" s="4"/>
      <c r="AC62" s="8"/>
      <c r="AD62" s="7"/>
      <c r="AE62" s="8"/>
      <c r="AF62" s="4"/>
      <c r="AG62" s="7"/>
      <c r="AH62" s="8"/>
      <c r="AI62" s="4"/>
      <c r="AJ62" s="9"/>
      <c r="AK62" s="9"/>
      <c r="AL62">
        <v>-2.3318061686</v>
      </c>
      <c r="AN62" s="8"/>
      <c r="AO62" s="8"/>
    </row>
    <row r="63" spans="1:41">
      <c r="B63" t="s">
        <v>101</v>
      </c>
      <c r="E63" s="17" t="s">
        <v>117</v>
      </c>
      <c r="F63" t="s">
        <v>130</v>
      </c>
      <c r="J63" s="7"/>
      <c r="K63" s="7"/>
      <c r="L63" s="7"/>
      <c r="M63" s="7"/>
      <c r="N63" s="8"/>
      <c r="O63" s="8"/>
      <c r="P63" s="8"/>
      <c r="Q63" s="16"/>
      <c r="R63" s="16"/>
      <c r="S63" s="16"/>
      <c r="T63" s="16"/>
      <c r="U63" s="16"/>
      <c r="V63" s="15"/>
      <c r="W63" s="15"/>
      <c r="X63" s="15"/>
      <c r="Y63" s="15"/>
      <c r="Z63" s="8"/>
      <c r="AA63" s="11"/>
      <c r="AB63" s="4"/>
      <c r="AC63" s="8"/>
      <c r="AD63" s="7"/>
      <c r="AE63" s="8"/>
      <c r="AF63" s="4"/>
      <c r="AG63" s="7"/>
      <c r="AH63" s="8"/>
      <c r="AI63">
        <v>-3900.4401561965601</v>
      </c>
      <c r="AJ63" s="9"/>
      <c r="AK63" s="9"/>
      <c r="AL63">
        <f>AL60+AL62-AL61</f>
        <v>7.1026534100383287E-2</v>
      </c>
      <c r="AN63" s="8"/>
      <c r="AO63" s="8"/>
    </row>
    <row r="64" spans="1:41">
      <c r="A64" s="14"/>
      <c r="B64" s="17" t="s">
        <v>102</v>
      </c>
      <c r="C64" t="s">
        <v>85</v>
      </c>
      <c r="E64" t="s">
        <v>118</v>
      </c>
      <c r="F64" t="s">
        <v>131</v>
      </c>
      <c r="N64" s="8"/>
      <c r="O64" s="8"/>
      <c r="P64" s="8"/>
      <c r="Q64" s="16"/>
      <c r="R64" s="16"/>
      <c r="S64" s="16"/>
      <c r="T64" s="16"/>
      <c r="U64" s="16"/>
      <c r="V64" s="15"/>
      <c r="W64" s="15"/>
      <c r="X64" s="15"/>
      <c r="Y64" s="15"/>
      <c r="Z64" s="8"/>
      <c r="AA64" s="11"/>
      <c r="AB64" s="4"/>
      <c r="AC64" s="8"/>
      <c r="AD64" s="7"/>
      <c r="AE64" s="8"/>
      <c r="AF64" s="4"/>
      <c r="AG64" s="7"/>
      <c r="AH64" s="8"/>
      <c r="AI64">
        <v>-3901.6461239025198</v>
      </c>
      <c r="AJ64" s="9"/>
      <c r="AK64" s="9"/>
      <c r="AL64">
        <f>AL63*13.6</f>
        <v>0.96596086376521273</v>
      </c>
      <c r="AN64" s="8"/>
      <c r="AO64" s="8"/>
    </row>
    <row r="65" spans="1:41">
      <c r="B65" t="s">
        <v>103</v>
      </c>
      <c r="E65" t="s">
        <v>119</v>
      </c>
      <c r="F65" t="s">
        <v>132</v>
      </c>
      <c r="G65" s="16"/>
      <c r="H65" s="16"/>
      <c r="I65" s="16"/>
      <c r="J65" s="7"/>
      <c r="K65" s="7"/>
      <c r="L65" s="7"/>
      <c r="M65" s="7"/>
      <c r="N65" s="8"/>
      <c r="O65" s="8"/>
      <c r="P65" s="8"/>
      <c r="Q65" s="16"/>
      <c r="R65" s="16"/>
      <c r="S65" s="16"/>
      <c r="T65" s="16"/>
      <c r="U65" s="16"/>
      <c r="V65" s="15"/>
      <c r="W65" s="15"/>
      <c r="X65" s="15"/>
      <c r="Y65" s="15"/>
      <c r="Z65" s="8"/>
      <c r="AA65" s="11"/>
      <c r="AB65" s="4"/>
      <c r="AC65" s="8"/>
      <c r="AD65" s="7"/>
      <c r="AE65" s="8"/>
      <c r="AF65" s="4"/>
      <c r="AG65" s="5"/>
      <c r="AH65" s="8"/>
      <c r="AI65" s="4"/>
      <c r="AJ65" s="9"/>
      <c r="AK65" s="9"/>
      <c r="AN65" s="8"/>
      <c r="AO65" s="8"/>
    </row>
    <row r="66" spans="1:41">
      <c r="B66" t="s">
        <v>104</v>
      </c>
      <c r="E66" t="s">
        <v>120</v>
      </c>
      <c r="F66" s="17" t="s">
        <v>133</v>
      </c>
      <c r="G66" s="16"/>
      <c r="H66" s="16"/>
      <c r="I66" s="16"/>
      <c r="J66" s="7"/>
      <c r="K66" s="7"/>
      <c r="L66" s="7"/>
      <c r="M66" s="7"/>
      <c r="N66" s="8"/>
      <c r="O66" s="8"/>
      <c r="P66" s="8"/>
      <c r="Q66" s="16"/>
      <c r="R66" s="16"/>
      <c r="S66" s="16"/>
      <c r="T66" s="16"/>
      <c r="U66" s="16"/>
      <c r="V66" s="15"/>
      <c r="W66" s="15"/>
      <c r="X66" s="15"/>
      <c r="Y66" s="15"/>
      <c r="Z66" s="8"/>
      <c r="AA66" s="11"/>
      <c r="AB66" s="4"/>
      <c r="AC66" s="8"/>
      <c r="AD66" s="7"/>
      <c r="AE66" s="8"/>
      <c r="AF66" s="4"/>
      <c r="AG66" s="7"/>
      <c r="AH66" s="8"/>
      <c r="AI66" s="4"/>
      <c r="AN66" s="8"/>
      <c r="AO66" s="8"/>
    </row>
    <row r="67" spans="1:41">
      <c r="B67" t="s">
        <v>105</v>
      </c>
      <c r="E67" t="s">
        <v>121</v>
      </c>
      <c r="F67" t="s">
        <v>134</v>
      </c>
      <c r="G67" s="16"/>
      <c r="H67" s="16"/>
      <c r="I67" s="16"/>
      <c r="J67" s="7"/>
      <c r="K67" s="7"/>
      <c r="L67" s="7"/>
      <c r="M67" s="7"/>
      <c r="N67" s="8"/>
      <c r="O67" s="8"/>
      <c r="P67" s="8"/>
      <c r="Q67" s="16"/>
      <c r="R67" s="16"/>
      <c r="S67" s="16"/>
      <c r="T67" s="16"/>
      <c r="U67" s="16"/>
      <c r="V67" s="15"/>
      <c r="W67" s="15"/>
      <c r="X67" s="15"/>
      <c r="Y67" s="15"/>
      <c r="Z67" s="8"/>
      <c r="AA67" s="11"/>
      <c r="AB67" s="4"/>
      <c r="AC67" s="8"/>
      <c r="AD67" s="7"/>
      <c r="AE67" s="8"/>
      <c r="AF67" s="4"/>
      <c r="AG67">
        <v>-3896.2121920444201</v>
      </c>
      <c r="AH67" s="8"/>
      <c r="AI67" s="4">
        <v>-3898.6373900313201</v>
      </c>
      <c r="AJ67" s="10">
        <v>-3900.45039036251</v>
      </c>
      <c r="AK67" s="6">
        <v>-3901.6539768734801</v>
      </c>
      <c r="AL67">
        <v>-3902.8562914785598</v>
      </c>
      <c r="AN67" s="8"/>
      <c r="AO67" s="8"/>
    </row>
    <row r="68" spans="1:41">
      <c r="B68" t="s">
        <v>106</v>
      </c>
      <c r="E68" t="s">
        <v>122</v>
      </c>
      <c r="F68" s="16"/>
      <c r="G68" s="16"/>
      <c r="H68" s="16"/>
      <c r="I68" s="16"/>
      <c r="J68" s="7"/>
      <c r="K68" s="7"/>
      <c r="L68" s="7"/>
      <c r="M68" s="7"/>
      <c r="N68" s="8"/>
      <c r="O68" s="8"/>
      <c r="P68" s="8"/>
      <c r="Q68" s="16"/>
      <c r="R68" s="16"/>
      <c r="S68" s="16"/>
      <c r="T68" s="16"/>
      <c r="U68" s="16"/>
      <c r="V68" s="15"/>
      <c r="W68" s="15"/>
      <c r="X68" s="15"/>
      <c r="Y68" s="15"/>
      <c r="Z68" s="8"/>
      <c r="AA68" s="11"/>
      <c r="AB68" s="4"/>
      <c r="AC68" s="8"/>
      <c r="AD68" s="7"/>
      <c r="AE68" s="8"/>
      <c r="AF68" s="4"/>
      <c r="AG68" s="7">
        <v>-3894.9865615656399</v>
      </c>
      <c r="AI68" s="4">
        <v>-3897.4291542146402</v>
      </c>
      <c r="AJ68" s="10">
        <v>-3899.2422528493798</v>
      </c>
      <c r="AK68" s="6">
        <v>-3900.4456020801599</v>
      </c>
      <c r="AL68">
        <v>-3901.6559261510101</v>
      </c>
      <c r="AN68" s="8"/>
      <c r="AO68" s="8"/>
    </row>
    <row r="69" spans="1:41">
      <c r="B69" t="s">
        <v>107</v>
      </c>
      <c r="F69" s="16"/>
      <c r="G69" s="16"/>
      <c r="H69" s="16"/>
      <c r="I69" s="16"/>
      <c r="J69" s="7"/>
      <c r="K69" s="7"/>
      <c r="L69" s="7"/>
      <c r="M69" s="7"/>
      <c r="N69" s="8"/>
      <c r="O69" s="8"/>
      <c r="P69" s="8"/>
      <c r="Q69" s="16"/>
      <c r="R69" s="16"/>
      <c r="S69" s="16"/>
      <c r="T69" s="16"/>
      <c r="U69" s="16"/>
      <c r="V69" s="15"/>
      <c r="W69" s="15"/>
      <c r="X69" s="15"/>
      <c r="Y69" s="15"/>
      <c r="Z69" s="8"/>
      <c r="AA69" s="11"/>
      <c r="AB69" s="4"/>
      <c r="AC69" s="8"/>
      <c r="AD69" s="7"/>
      <c r="AE69" s="8"/>
      <c r="AF69" s="4"/>
      <c r="AG69">
        <v>-1.16530455359108</v>
      </c>
      <c r="AH69">
        <v>-1.16530455359108</v>
      </c>
      <c r="AI69">
        <v>-1.16530455359108</v>
      </c>
      <c r="AJ69">
        <v>-1.16530455359108</v>
      </c>
      <c r="AK69">
        <v>-1.16530455359108</v>
      </c>
      <c r="AL69">
        <v>-1.16530455359108</v>
      </c>
      <c r="AN69" s="8"/>
      <c r="AO69" s="8"/>
    </row>
    <row r="70" spans="1:41">
      <c r="B70" t="s">
        <v>108</v>
      </c>
      <c r="F70" s="16"/>
      <c r="G70" s="16"/>
      <c r="H70" s="16"/>
      <c r="I70" s="16"/>
      <c r="J70" s="7"/>
      <c r="K70" s="7"/>
      <c r="L70" s="7"/>
      <c r="M70" s="7"/>
      <c r="N70" s="8"/>
      <c r="O70" s="8"/>
      <c r="P70" s="8"/>
      <c r="Q70" s="16"/>
      <c r="R70" s="16"/>
      <c r="S70" s="16"/>
      <c r="T70" s="16"/>
      <c r="U70" s="16"/>
      <c r="V70" s="15"/>
      <c r="W70" s="15"/>
      <c r="X70" s="15"/>
      <c r="Y70" s="15"/>
      <c r="Z70" s="8"/>
      <c r="AA70" s="11"/>
      <c r="AB70" s="4"/>
      <c r="AC70" s="8"/>
      <c r="AD70" s="7"/>
      <c r="AE70" s="8"/>
      <c r="AF70" s="4"/>
      <c r="AG70">
        <f t="shared" ref="AG70:AL70" si="19">-AG67+AG69+AG68</f>
        <v>6.0325925189317786E-2</v>
      </c>
      <c r="AH70">
        <f t="shared" si="19"/>
        <v>-1.16530455359108</v>
      </c>
      <c r="AI70">
        <f t="shared" si="19"/>
        <v>4.2931263089030836E-2</v>
      </c>
      <c r="AJ70">
        <f t="shared" si="19"/>
        <v>4.2832959539282456E-2</v>
      </c>
      <c r="AK70">
        <f t="shared" si="19"/>
        <v>4.3070239729331661E-2</v>
      </c>
      <c r="AL70">
        <f t="shared" si="19"/>
        <v>3.5060773958775826E-2</v>
      </c>
      <c r="AN70" s="8"/>
      <c r="AO70" s="8"/>
    </row>
    <row r="71" spans="1:41">
      <c r="B71" t="s">
        <v>109</v>
      </c>
      <c r="F71" s="16"/>
      <c r="G71" s="16"/>
      <c r="H71" s="16"/>
      <c r="I71" s="16"/>
      <c r="J71" s="7"/>
      <c r="K71" s="7"/>
      <c r="L71" s="7"/>
      <c r="M71" s="7"/>
      <c r="N71" s="8"/>
      <c r="O71" s="8"/>
      <c r="P71" s="8"/>
      <c r="Q71" s="16"/>
      <c r="R71" s="16"/>
      <c r="S71" s="16"/>
      <c r="T71" s="16"/>
      <c r="U71" s="16"/>
      <c r="V71" s="15"/>
      <c r="W71" s="15"/>
      <c r="X71" s="15"/>
      <c r="Y71" s="15"/>
      <c r="Z71" s="8"/>
      <c r="AA71" s="11"/>
      <c r="AB71" s="4"/>
      <c r="AC71" s="8"/>
      <c r="AD71" s="7"/>
      <c r="AE71" s="8"/>
      <c r="AF71" s="4"/>
      <c r="AG71">
        <f t="shared" ref="AG71:AL71" si="20">AG70*27.2</f>
        <v>1.6408651651494437</v>
      </c>
      <c r="AH71">
        <f t="shared" si="20"/>
        <v>-31.696283857677376</v>
      </c>
      <c r="AI71">
        <f t="shared" si="20"/>
        <v>1.1677303560216388</v>
      </c>
      <c r="AJ71">
        <f t="shared" si="20"/>
        <v>1.1650564994684827</v>
      </c>
      <c r="AK71">
        <f>AK70*27.2-0.04</f>
        <v>1.1315105206378211</v>
      </c>
      <c r="AL71">
        <f t="shared" si="20"/>
        <v>0.9536530516787024</v>
      </c>
      <c r="AN71" s="8"/>
      <c r="AO71" s="8"/>
    </row>
    <row r="72" spans="1:41">
      <c r="A72" s="14"/>
      <c r="B72" t="s">
        <v>110</v>
      </c>
      <c r="Q72" s="16"/>
      <c r="R72" s="16"/>
      <c r="S72" s="16"/>
      <c r="T72" s="16"/>
      <c r="U72" s="16"/>
      <c r="V72" s="15"/>
      <c r="W72" s="15"/>
      <c r="X72" s="15"/>
      <c r="Y72" s="15"/>
      <c r="AH72" s="14"/>
      <c r="AK72" s="8"/>
      <c r="AN72" s="8"/>
      <c r="AO72" s="8"/>
    </row>
    <row r="73" spans="1:41">
      <c r="J73" s="7"/>
      <c r="K73" s="7"/>
      <c r="L73" s="7"/>
      <c r="M73" s="7"/>
      <c r="N73" s="8"/>
      <c r="O73" s="8"/>
      <c r="P73" s="8"/>
      <c r="Q73" s="16"/>
      <c r="R73" s="16"/>
      <c r="S73" s="16"/>
      <c r="T73" s="16"/>
      <c r="U73" s="16"/>
      <c r="V73" s="15"/>
      <c r="W73" s="15"/>
      <c r="X73" s="15"/>
      <c r="Y73" s="15"/>
      <c r="Z73" s="8"/>
      <c r="AA73" s="11"/>
      <c r="AB73" s="4"/>
      <c r="AC73" s="8"/>
      <c r="AD73" s="7"/>
      <c r="AE73" s="8"/>
      <c r="AF73" s="4"/>
      <c r="AG73" s="9"/>
      <c r="AK73" s="8"/>
      <c r="AN73" s="8"/>
      <c r="AO73" s="8"/>
    </row>
    <row r="74" spans="1:41">
      <c r="J74" s="7"/>
      <c r="K74" s="7"/>
      <c r="L74" s="7"/>
      <c r="M74" s="7"/>
      <c r="N74" s="8"/>
      <c r="O74" s="8"/>
      <c r="P74" s="8"/>
      <c r="Q74" s="16"/>
      <c r="R74" s="16"/>
      <c r="S74" s="16"/>
      <c r="T74" s="16"/>
      <c r="U74" s="16"/>
      <c r="V74" s="15"/>
      <c r="W74" s="15"/>
      <c r="X74" s="15"/>
      <c r="Y74" s="15"/>
      <c r="Z74" s="8"/>
      <c r="AA74" s="11"/>
      <c r="AB74" s="4"/>
      <c r="AC74" s="8"/>
      <c r="AD74" s="7"/>
      <c r="AE74" s="8"/>
      <c r="AF74" s="4"/>
      <c r="AG74" s="9"/>
      <c r="AK74" s="8" t="s">
        <v>168</v>
      </c>
      <c r="AN74" s="8"/>
      <c r="AO74" s="8"/>
    </row>
    <row r="75" spans="1:41">
      <c r="J75" s="7"/>
      <c r="K75" s="7"/>
      <c r="L75" s="7"/>
      <c r="M75" s="7"/>
      <c r="N75" s="8"/>
      <c r="O75" s="8"/>
      <c r="P75" s="8"/>
      <c r="Q75" s="16"/>
      <c r="R75" s="16"/>
      <c r="S75" s="16"/>
      <c r="T75" s="16"/>
      <c r="U75" s="16"/>
      <c r="V75" s="15"/>
      <c r="W75" s="15"/>
      <c r="X75" s="15"/>
      <c r="Y75" s="15"/>
      <c r="Z75" s="8"/>
      <c r="AA75" s="11"/>
      <c r="AB75" s="4"/>
      <c r="AC75" s="8"/>
      <c r="AD75" s="7"/>
      <c r="AE75" s="8"/>
      <c r="AF75" s="4"/>
      <c r="AG75" s="9"/>
      <c r="AK75" s="8" t="s">
        <v>176</v>
      </c>
      <c r="AN75" s="8"/>
      <c r="AO75" s="8"/>
    </row>
    <row r="76" spans="1:41">
      <c r="J76" s="7"/>
      <c r="K76" s="7"/>
      <c r="L76" s="7"/>
      <c r="M76" s="7"/>
      <c r="N76" s="8"/>
      <c r="O76" s="8"/>
      <c r="P76" s="8"/>
      <c r="Q76" s="16"/>
      <c r="R76" s="16"/>
      <c r="S76" s="16"/>
      <c r="T76" s="16"/>
      <c r="U76" s="16"/>
      <c r="V76" s="15"/>
      <c r="W76" s="15"/>
      <c r="X76" s="15"/>
      <c r="Y76" s="15"/>
      <c r="Z76" s="8"/>
      <c r="AA76" s="11"/>
      <c r="AB76" s="4"/>
      <c r="AC76" s="8"/>
      <c r="AD76" s="7"/>
      <c r="AE76" s="8"/>
      <c r="AF76" s="4"/>
      <c r="AG76" s="9"/>
      <c r="AJ76" t="s">
        <v>169</v>
      </c>
      <c r="AK76" s="8"/>
      <c r="AL76" t="s">
        <v>167</v>
      </c>
      <c r="AN76" s="8"/>
      <c r="AO76" s="8"/>
    </row>
    <row r="77" spans="1:41">
      <c r="J77" s="7"/>
      <c r="K77" s="7"/>
      <c r="L77" s="7"/>
      <c r="M77" s="7"/>
      <c r="N77" s="8"/>
      <c r="O77" s="8"/>
      <c r="P77" s="8"/>
      <c r="Q77" s="16"/>
      <c r="R77" s="16"/>
      <c r="S77" s="16"/>
      <c r="T77" s="16"/>
      <c r="U77" s="16"/>
      <c r="V77" s="15"/>
      <c r="W77" s="15"/>
      <c r="X77" s="15"/>
      <c r="Y77" s="15"/>
      <c r="Z77" s="8"/>
      <c r="AA77" s="11"/>
      <c r="AB77" s="4"/>
      <c r="AC77" s="8"/>
      <c r="AD77" s="7"/>
      <c r="AE77" s="8"/>
      <c r="AF77" s="4"/>
      <c r="AG77" s="9"/>
      <c r="AJ77" t="s">
        <v>170</v>
      </c>
      <c r="AK77" s="8" t="s">
        <v>177</v>
      </c>
      <c r="AN77" s="8"/>
      <c r="AO77" s="8"/>
    </row>
    <row r="78" spans="1:41">
      <c r="J78" s="7"/>
      <c r="K78" s="7"/>
      <c r="L78" s="7"/>
      <c r="M78" s="7"/>
      <c r="N78" s="8"/>
      <c r="O78" s="8"/>
      <c r="P78" s="8"/>
      <c r="Q78" s="16"/>
      <c r="R78" s="16"/>
      <c r="S78" s="16"/>
      <c r="T78" s="16"/>
      <c r="U78" s="16"/>
      <c r="V78" s="15"/>
      <c r="W78" s="15"/>
      <c r="X78" s="15"/>
      <c r="Y78" s="15"/>
      <c r="Z78" s="8"/>
      <c r="AA78" s="11"/>
      <c r="AB78" s="4"/>
      <c r="AC78" s="8"/>
      <c r="AD78" s="7"/>
      <c r="AE78" s="8"/>
      <c r="AF78" s="4"/>
      <c r="AG78" s="9"/>
      <c r="AK78" s="8"/>
      <c r="AN78" s="8"/>
      <c r="AO78" s="8"/>
    </row>
    <row r="79" spans="1:41">
      <c r="J79" s="7"/>
      <c r="K79" s="7"/>
      <c r="L79" s="7"/>
      <c r="M79" s="7"/>
      <c r="N79" s="8"/>
      <c r="O79" s="8"/>
      <c r="P79" s="8"/>
      <c r="Q79" s="16"/>
      <c r="R79" s="16"/>
      <c r="S79" s="16"/>
      <c r="T79" s="16"/>
      <c r="U79" s="16"/>
      <c r="V79" s="15"/>
      <c r="W79" s="15"/>
      <c r="X79" s="15"/>
      <c r="Y79" s="15"/>
      <c r="Z79" s="8"/>
      <c r="AA79" s="11"/>
      <c r="AB79" s="4"/>
      <c r="AC79" s="8"/>
      <c r="AD79" s="7"/>
      <c r="AE79" s="8"/>
      <c r="AF79" s="4"/>
      <c r="AG79" s="9"/>
      <c r="AJ79" t="s">
        <v>171</v>
      </c>
      <c r="AK79" s="8"/>
      <c r="AN79" s="8"/>
      <c r="AO79" s="8"/>
    </row>
    <row r="80" spans="1:41">
      <c r="A80" s="14"/>
      <c r="N80" s="8"/>
      <c r="O80" s="8"/>
      <c r="P80" s="8"/>
      <c r="Q80" s="16"/>
      <c r="R80" s="16"/>
      <c r="S80" s="16"/>
      <c r="T80" s="16"/>
      <c r="U80" s="16"/>
      <c r="V80" s="15"/>
      <c r="W80" s="15"/>
      <c r="X80" s="15"/>
      <c r="Y80" s="15"/>
      <c r="Z80" s="8"/>
      <c r="AA80" s="11"/>
      <c r="AB80" s="4"/>
      <c r="AC80" s="8"/>
      <c r="AD80" s="7"/>
      <c r="AE80" s="8"/>
      <c r="AF80" s="4"/>
      <c r="AH80" s="14"/>
      <c r="AI80" s="17"/>
      <c r="AJ80" t="s">
        <v>172</v>
      </c>
      <c r="AK80" s="8"/>
      <c r="AN80" s="8"/>
      <c r="AO80" s="8"/>
    </row>
    <row r="81" spans="1:41">
      <c r="J81" s="7"/>
      <c r="K81" s="7"/>
      <c r="L81" s="7"/>
      <c r="M81" s="7"/>
      <c r="N81" s="8"/>
      <c r="O81" s="8"/>
      <c r="P81" s="8"/>
      <c r="Q81" s="16"/>
      <c r="R81" s="16"/>
      <c r="S81" s="16"/>
      <c r="T81" s="16"/>
      <c r="U81" s="16"/>
      <c r="V81" s="15"/>
      <c r="W81" s="15"/>
      <c r="X81" s="15"/>
      <c r="Y81" s="15"/>
      <c r="Z81" s="8"/>
      <c r="AA81" s="11"/>
      <c r="AB81" s="4"/>
      <c r="AC81" s="8"/>
      <c r="AD81" s="7"/>
      <c r="AE81" s="8"/>
      <c r="AF81" s="4"/>
      <c r="AG81" s="7"/>
      <c r="AJ81" t="s">
        <v>173</v>
      </c>
      <c r="AK81" s="8"/>
      <c r="AL81" t="s">
        <v>184</v>
      </c>
      <c r="AN81" s="8"/>
      <c r="AO81" s="8"/>
    </row>
    <row r="82" spans="1:41">
      <c r="J82" s="7"/>
      <c r="K82" s="7"/>
      <c r="L82" s="7"/>
      <c r="M82" s="7"/>
      <c r="N82" s="8"/>
      <c r="O82" s="8"/>
      <c r="P82" s="8"/>
      <c r="Q82" s="16"/>
      <c r="R82" s="16"/>
      <c r="S82" s="16"/>
      <c r="T82" s="16"/>
      <c r="U82" s="16"/>
      <c r="V82" s="15"/>
      <c r="W82" s="15"/>
      <c r="X82" s="15"/>
      <c r="Y82" s="15"/>
      <c r="Z82" s="8"/>
      <c r="AA82" s="11"/>
      <c r="AB82" s="4"/>
      <c r="AC82" s="8"/>
      <c r="AD82" s="7"/>
      <c r="AE82" s="8"/>
      <c r="AF82" s="4"/>
      <c r="AG82" s="7"/>
      <c r="AJ82" t="s">
        <v>174</v>
      </c>
      <c r="AK82" s="8"/>
      <c r="AN82" s="8"/>
      <c r="AO82" s="8"/>
    </row>
    <row r="83" spans="1:41">
      <c r="J83" s="7"/>
      <c r="K83" s="7"/>
      <c r="L83" s="7"/>
      <c r="M83" s="7"/>
      <c r="N83" s="8"/>
      <c r="O83" s="8"/>
      <c r="P83" s="8"/>
      <c r="Q83" s="16"/>
      <c r="R83" s="16"/>
      <c r="S83" s="16"/>
      <c r="T83" s="16"/>
      <c r="U83" s="16"/>
      <c r="V83" s="15"/>
      <c r="W83" s="15"/>
      <c r="X83" s="15"/>
      <c r="Y83" s="15"/>
      <c r="Z83" s="8"/>
      <c r="AA83" s="11"/>
      <c r="AB83" s="4"/>
      <c r="AC83" s="8"/>
      <c r="AD83" s="7"/>
      <c r="AE83" s="8"/>
      <c r="AF83" s="4"/>
      <c r="AG83" s="10"/>
      <c r="AK83" s="8"/>
      <c r="AN83" s="8"/>
      <c r="AO83" s="8"/>
    </row>
    <row r="84" spans="1:41">
      <c r="J84" s="7"/>
      <c r="K84" s="7"/>
      <c r="L84" s="7"/>
      <c r="M84" s="7"/>
      <c r="N84" s="8"/>
      <c r="O84" s="8"/>
      <c r="P84" s="8"/>
      <c r="Q84" s="16"/>
      <c r="R84" s="16"/>
      <c r="S84" s="16"/>
      <c r="T84" s="16"/>
      <c r="U84" s="16"/>
      <c r="V84" s="15"/>
      <c r="W84" s="15"/>
      <c r="X84" s="15"/>
      <c r="Y84" s="15"/>
      <c r="Z84" s="8"/>
      <c r="AA84" s="11"/>
      <c r="AB84" s="4"/>
      <c r="AC84" s="8"/>
      <c r="AD84" s="7"/>
      <c r="AE84" s="8"/>
      <c r="AF84" s="4"/>
      <c r="AG84" s="10"/>
      <c r="AK84" s="8" t="s">
        <v>179</v>
      </c>
      <c r="AN84" s="8"/>
      <c r="AO84" s="8"/>
    </row>
    <row r="85" spans="1:41">
      <c r="J85" s="7"/>
      <c r="K85" s="7"/>
      <c r="L85" s="7"/>
      <c r="M85" s="7"/>
      <c r="N85" s="8"/>
      <c r="O85" s="8"/>
      <c r="P85" s="8"/>
      <c r="Q85" s="16"/>
      <c r="R85" s="16"/>
      <c r="S85" s="16"/>
      <c r="T85" s="16"/>
      <c r="U85" s="16"/>
      <c r="V85" s="15"/>
      <c r="W85" s="15"/>
      <c r="X85" s="15"/>
      <c r="Y85" s="15"/>
      <c r="Z85" s="8"/>
      <c r="AA85" s="11"/>
      <c r="AB85" s="4"/>
      <c r="AC85" s="8"/>
      <c r="AD85" s="7"/>
      <c r="AE85" s="8"/>
      <c r="AF85" s="4"/>
      <c r="AG85" s="10"/>
      <c r="AK85" s="8" t="s">
        <v>178</v>
      </c>
      <c r="AN85" s="8"/>
      <c r="AO85" s="8"/>
    </row>
    <row r="86" spans="1:41">
      <c r="J86" s="7"/>
      <c r="K86" s="7"/>
      <c r="L86" s="7"/>
      <c r="M86" s="7"/>
      <c r="N86" s="8"/>
      <c r="O86" s="8"/>
      <c r="P86" s="8"/>
      <c r="Q86" s="16"/>
      <c r="R86" s="16"/>
      <c r="S86" s="16"/>
      <c r="T86" s="16"/>
      <c r="U86" s="16"/>
      <c r="V86" s="15"/>
      <c r="W86" s="15"/>
      <c r="X86" s="15"/>
      <c r="Y86" s="15"/>
      <c r="Z86" s="8"/>
      <c r="AA86" s="11"/>
      <c r="AB86" s="4"/>
      <c r="AC86" s="8"/>
      <c r="AD86" s="7"/>
      <c r="AE86" s="8"/>
      <c r="AF86" s="4"/>
      <c r="AG86" s="10"/>
      <c r="AJ86" t="s">
        <v>181</v>
      </c>
      <c r="AK86" s="8"/>
      <c r="AN86" s="8"/>
      <c r="AO86" s="8"/>
    </row>
    <row r="87" spans="1:41">
      <c r="J87" s="7"/>
      <c r="K87" s="7"/>
      <c r="L87" s="7"/>
      <c r="M87" s="7"/>
      <c r="N87" s="8"/>
      <c r="O87" s="8"/>
      <c r="P87" s="8"/>
      <c r="Q87" s="16"/>
      <c r="R87" s="16"/>
      <c r="S87" s="16"/>
      <c r="T87" s="16"/>
      <c r="U87" s="16"/>
      <c r="V87" s="15"/>
      <c r="W87" s="15"/>
      <c r="X87" s="15"/>
      <c r="Y87" s="15"/>
      <c r="Z87" s="8"/>
      <c r="AA87" s="11"/>
      <c r="AB87" s="4"/>
      <c r="AC87" s="8"/>
      <c r="AD87" s="7"/>
      <c r="AE87" s="8"/>
      <c r="AF87" s="4"/>
      <c r="AG87" s="10"/>
      <c r="AJ87" t="s">
        <v>180</v>
      </c>
      <c r="AK87" s="8"/>
      <c r="AN87" s="8"/>
      <c r="AO87" s="8"/>
    </row>
    <row r="88" spans="1:41">
      <c r="A88" s="14"/>
      <c r="Q88" s="16"/>
      <c r="R88" s="16"/>
      <c r="S88" s="16"/>
      <c r="T88" s="16"/>
      <c r="U88" s="16"/>
      <c r="V88" s="15"/>
      <c r="W88" s="15"/>
      <c r="X88" s="15"/>
      <c r="Y88" s="15"/>
      <c r="AH88" s="14"/>
      <c r="AK88" s="8" t="s">
        <v>185</v>
      </c>
      <c r="AN88" s="8"/>
      <c r="AO88" s="8"/>
    </row>
    <row r="89" spans="1:41">
      <c r="J89" s="7"/>
      <c r="K89" s="7"/>
      <c r="L89" s="7"/>
      <c r="M89" s="7"/>
      <c r="N89" s="8"/>
      <c r="O89" s="8"/>
      <c r="P89" s="8"/>
      <c r="Q89" s="16"/>
      <c r="R89" s="16"/>
      <c r="S89" s="16"/>
      <c r="T89" s="16"/>
      <c r="U89" s="16"/>
      <c r="V89" s="15"/>
      <c r="W89" s="15"/>
      <c r="X89" s="15"/>
      <c r="Y89" s="15"/>
      <c r="Z89" s="8"/>
      <c r="AA89" s="11"/>
      <c r="AB89" s="4"/>
      <c r="AC89" s="8"/>
      <c r="AD89" s="7"/>
      <c r="AE89" s="8"/>
      <c r="AF89" s="4"/>
      <c r="AG89" s="9"/>
      <c r="AK89" s="8" t="s">
        <v>186</v>
      </c>
      <c r="AN89" s="8"/>
      <c r="AO89" s="8"/>
    </row>
    <row r="90" spans="1:41">
      <c r="J90" s="7"/>
      <c r="K90" s="7"/>
      <c r="L90" s="7"/>
      <c r="M90" s="7"/>
      <c r="N90" s="8"/>
      <c r="O90" s="8"/>
      <c r="P90" s="8"/>
      <c r="Q90" s="16"/>
      <c r="R90" s="16"/>
      <c r="S90" s="16"/>
      <c r="T90" s="16"/>
      <c r="U90" s="16"/>
      <c r="V90" s="15"/>
      <c r="W90" s="15"/>
      <c r="X90" s="15"/>
      <c r="Y90" s="15"/>
      <c r="Z90" s="8"/>
      <c r="AA90" s="11"/>
      <c r="AB90" s="4"/>
      <c r="AC90" s="8"/>
      <c r="AD90" s="7"/>
      <c r="AE90" s="8"/>
      <c r="AF90" s="4"/>
      <c r="AG90" s="9"/>
      <c r="AK90" s="8"/>
      <c r="AN90" s="8"/>
      <c r="AO90" s="8"/>
    </row>
    <row r="91" spans="1:41">
      <c r="J91" s="7"/>
      <c r="K91" s="7"/>
      <c r="L91" s="7"/>
      <c r="M91" s="7"/>
      <c r="N91" s="8"/>
      <c r="O91" s="8"/>
      <c r="P91" s="8"/>
      <c r="Q91" s="16"/>
      <c r="R91" s="16"/>
      <c r="S91" s="16"/>
      <c r="T91" s="16"/>
      <c r="U91" s="16"/>
      <c r="V91" s="15"/>
      <c r="W91" s="15"/>
      <c r="X91" s="15"/>
      <c r="Y91" s="15"/>
      <c r="Z91" s="8"/>
      <c r="AA91" s="11"/>
      <c r="AB91" s="4"/>
      <c r="AC91" s="8"/>
      <c r="AD91" s="7"/>
      <c r="AE91" s="8"/>
      <c r="AF91" s="4"/>
      <c r="AG91" s="9"/>
      <c r="AK91" s="8"/>
      <c r="AN91" s="8"/>
      <c r="AO91" s="8"/>
    </row>
    <row r="92" spans="1:41">
      <c r="J92" s="7"/>
      <c r="K92" s="7"/>
      <c r="L92" s="7"/>
      <c r="M92" s="7"/>
      <c r="N92" s="8"/>
      <c r="O92" s="8"/>
      <c r="P92" s="8"/>
      <c r="Q92" s="16"/>
      <c r="R92" s="16"/>
      <c r="S92" s="16"/>
      <c r="T92" s="16"/>
      <c r="U92" s="16"/>
      <c r="V92" s="15"/>
      <c r="W92" s="15"/>
      <c r="X92" s="15"/>
      <c r="Y92" s="15"/>
      <c r="Z92" s="8"/>
      <c r="AA92" s="11"/>
      <c r="AB92" s="4"/>
      <c r="AC92" s="8"/>
      <c r="AD92" s="7"/>
      <c r="AE92" s="8"/>
      <c r="AF92" s="4"/>
      <c r="AG92" s="9"/>
      <c r="AK92" s="8"/>
      <c r="AN92" s="8"/>
      <c r="AO92" s="8"/>
    </row>
    <row r="93" spans="1:41">
      <c r="J93" s="7"/>
      <c r="K93" s="7"/>
      <c r="L93" s="7"/>
      <c r="M93" s="7"/>
      <c r="N93" s="8"/>
      <c r="O93" s="8"/>
      <c r="P93" s="8"/>
      <c r="Q93" s="16"/>
      <c r="R93" s="16"/>
      <c r="S93" s="16"/>
      <c r="T93" s="16"/>
      <c r="U93" s="16"/>
      <c r="V93" s="15"/>
      <c r="W93" s="15"/>
      <c r="X93" s="15"/>
      <c r="Y93" s="15"/>
      <c r="Z93" s="8"/>
      <c r="AA93" s="11"/>
      <c r="AB93" s="4"/>
      <c r="AC93" s="8"/>
      <c r="AD93" s="7"/>
      <c r="AE93" s="8"/>
      <c r="AF93" s="4"/>
      <c r="AG93" s="9"/>
      <c r="AK93" s="8"/>
      <c r="AN93" s="8"/>
      <c r="AO93" s="8"/>
    </row>
    <row r="94" spans="1:41">
      <c r="J94" s="7"/>
      <c r="K94" s="7"/>
      <c r="L94" s="7"/>
      <c r="M94" s="7"/>
      <c r="N94" s="8"/>
      <c r="O94" s="8"/>
      <c r="P94" s="8"/>
      <c r="Q94" s="16"/>
      <c r="R94" s="16"/>
      <c r="S94" s="16"/>
      <c r="T94" s="16"/>
      <c r="U94" s="16"/>
      <c r="V94" s="15"/>
      <c r="W94" s="15"/>
      <c r="X94" s="15"/>
      <c r="Y94" s="15"/>
      <c r="Z94" s="8"/>
      <c r="AA94" s="11"/>
      <c r="AB94" s="4"/>
      <c r="AC94" s="8"/>
      <c r="AD94" s="7"/>
      <c r="AE94" s="8"/>
      <c r="AF94" s="4"/>
      <c r="AG94" s="9"/>
      <c r="AK94" s="8"/>
      <c r="AN94" s="8"/>
      <c r="AO94" s="8"/>
    </row>
    <row r="95" spans="1:41">
      <c r="J95" s="7"/>
      <c r="K95" s="7"/>
      <c r="L95" s="7"/>
      <c r="M95" s="7"/>
      <c r="N95" s="8"/>
      <c r="O95" s="8"/>
      <c r="P95" s="8"/>
      <c r="Q95" s="16"/>
      <c r="R95" s="16"/>
      <c r="S95" s="16"/>
      <c r="T95" s="16"/>
      <c r="U95" s="16"/>
      <c r="V95" s="15"/>
      <c r="W95" s="15"/>
      <c r="X95" s="15"/>
      <c r="Y95" s="15"/>
      <c r="Z95" s="8"/>
      <c r="AA95" s="11"/>
      <c r="AB95" s="4"/>
      <c r="AC95" s="8"/>
      <c r="AD95" s="7"/>
      <c r="AE95" s="8"/>
      <c r="AF95" s="4"/>
      <c r="AG95" s="9"/>
      <c r="AK95" s="8"/>
      <c r="AN95" s="8"/>
      <c r="AO95" s="8"/>
    </row>
    <row r="96" spans="1:41">
      <c r="A96" s="14"/>
      <c r="N96" s="8"/>
      <c r="O96" s="8"/>
      <c r="P96" s="8"/>
      <c r="Q96" s="16"/>
      <c r="R96" s="16"/>
      <c r="S96" s="16"/>
      <c r="T96" s="16"/>
      <c r="U96" s="16"/>
      <c r="V96" s="15"/>
      <c r="W96" s="15"/>
      <c r="X96" s="15"/>
      <c r="Y96" s="15"/>
      <c r="Z96" s="8"/>
      <c r="AA96" s="11"/>
      <c r="AB96" s="4"/>
      <c r="AC96" s="8"/>
      <c r="AD96" s="7"/>
      <c r="AE96" s="8"/>
      <c r="AF96" s="4"/>
      <c r="AH96" s="14"/>
      <c r="AI96" s="17"/>
    </row>
    <row r="97" spans="1:35">
      <c r="F97" s="16"/>
      <c r="G97" s="16"/>
      <c r="H97" s="16"/>
      <c r="I97" s="16"/>
      <c r="J97" s="7"/>
      <c r="K97" s="7"/>
      <c r="L97" s="7"/>
      <c r="M97" s="7"/>
      <c r="N97" s="8"/>
      <c r="O97" s="8"/>
      <c r="P97" s="8"/>
      <c r="Q97" s="16"/>
      <c r="R97" s="16"/>
      <c r="S97" s="16"/>
      <c r="T97" s="16"/>
      <c r="U97" s="16"/>
      <c r="V97" s="15"/>
      <c r="W97" s="15"/>
      <c r="X97" s="15"/>
      <c r="Y97" s="15"/>
      <c r="Z97" s="8"/>
      <c r="AA97" s="11"/>
      <c r="AB97" s="4"/>
      <c r="AC97" s="8"/>
      <c r="AD97" s="7"/>
      <c r="AE97" s="8"/>
      <c r="AF97" s="4"/>
      <c r="AG97" s="7"/>
    </row>
    <row r="98" spans="1:35">
      <c r="F98" s="16"/>
      <c r="G98" s="16"/>
      <c r="H98" s="16"/>
      <c r="I98" s="16"/>
      <c r="J98" s="7"/>
      <c r="K98" s="7"/>
      <c r="L98" s="7"/>
      <c r="M98" s="7"/>
      <c r="N98" s="8"/>
      <c r="O98" s="8"/>
      <c r="P98" s="8"/>
      <c r="Q98" s="16"/>
      <c r="R98" s="16"/>
      <c r="S98" s="16"/>
      <c r="T98" s="16"/>
      <c r="U98" s="16"/>
      <c r="V98" s="15"/>
      <c r="W98" s="15"/>
      <c r="X98" s="15"/>
      <c r="Y98" s="15"/>
      <c r="Z98" s="8"/>
      <c r="AA98" s="11"/>
      <c r="AB98" s="4"/>
      <c r="AC98" s="8"/>
      <c r="AD98" s="7"/>
      <c r="AE98" s="8"/>
      <c r="AF98" s="4"/>
      <c r="AG98" s="7"/>
    </row>
    <row r="99" spans="1:35">
      <c r="F99" s="16"/>
      <c r="G99" s="16"/>
      <c r="H99" s="16"/>
      <c r="I99" s="16"/>
      <c r="J99" s="7"/>
      <c r="K99" s="7"/>
      <c r="L99" s="7"/>
      <c r="M99" s="7"/>
      <c r="N99" s="8"/>
      <c r="O99" s="8"/>
      <c r="P99" s="8"/>
      <c r="Q99" s="16"/>
      <c r="R99" s="16"/>
      <c r="S99" s="16"/>
      <c r="T99" s="16"/>
      <c r="U99" s="16"/>
      <c r="V99" s="15"/>
      <c r="W99" s="15"/>
      <c r="X99" s="15"/>
      <c r="Y99" s="15"/>
      <c r="Z99" s="8"/>
      <c r="AA99" s="11"/>
      <c r="AB99" s="4"/>
      <c r="AC99" s="8"/>
      <c r="AD99" s="7"/>
      <c r="AE99" s="8"/>
      <c r="AF99" s="4"/>
      <c r="AG99" s="7"/>
    </row>
    <row r="100" spans="1:35">
      <c r="F100" s="16"/>
      <c r="G100" s="16"/>
      <c r="H100" s="16"/>
      <c r="I100" s="16"/>
      <c r="J100" s="7"/>
      <c r="K100" s="7"/>
      <c r="L100" s="7"/>
      <c r="M100" s="7"/>
      <c r="N100" s="8"/>
      <c r="O100" s="8"/>
      <c r="P100" s="8"/>
      <c r="Q100" s="16"/>
      <c r="R100" s="16"/>
      <c r="S100" s="16"/>
      <c r="T100" s="16"/>
      <c r="U100" s="16"/>
      <c r="V100" s="15"/>
      <c r="W100" s="15"/>
      <c r="X100" s="15"/>
      <c r="Y100" s="15"/>
      <c r="Z100" s="8"/>
      <c r="AA100" s="11"/>
      <c r="AB100" s="4"/>
      <c r="AC100" s="8"/>
      <c r="AD100" s="7"/>
      <c r="AE100" s="8"/>
      <c r="AF100" s="4"/>
      <c r="AG100" s="7"/>
    </row>
    <row r="101" spans="1:35">
      <c r="F101" s="16"/>
      <c r="G101" s="16"/>
      <c r="H101" s="16"/>
      <c r="I101" s="16"/>
      <c r="J101" s="7"/>
      <c r="K101" s="7"/>
      <c r="L101" s="7"/>
      <c r="M101" s="7"/>
      <c r="N101" s="8"/>
      <c r="O101" s="8"/>
      <c r="P101" s="8"/>
      <c r="Q101" s="16"/>
      <c r="R101" s="16"/>
      <c r="S101" s="16"/>
      <c r="T101" s="16"/>
      <c r="U101" s="16"/>
      <c r="V101" s="15"/>
      <c r="W101" s="15"/>
      <c r="X101" s="15"/>
      <c r="Y101" s="15"/>
      <c r="Z101" s="8"/>
      <c r="AA101" s="11"/>
      <c r="AB101" s="4"/>
      <c r="AC101" s="8"/>
      <c r="AD101" s="7"/>
      <c r="AE101" s="8"/>
      <c r="AF101" s="4"/>
      <c r="AG101" s="7"/>
    </row>
    <row r="102" spans="1:35">
      <c r="F102" s="16"/>
      <c r="G102" s="16"/>
      <c r="H102" s="16"/>
      <c r="I102" s="16"/>
      <c r="J102" s="7"/>
      <c r="K102" s="7"/>
      <c r="L102" s="7"/>
      <c r="M102" s="7"/>
      <c r="N102" s="8"/>
      <c r="O102" s="8"/>
      <c r="P102" s="8"/>
      <c r="Q102" s="16"/>
      <c r="R102" s="16"/>
      <c r="S102" s="16"/>
      <c r="T102" s="16"/>
      <c r="U102" s="16"/>
      <c r="V102" s="15"/>
      <c r="W102" s="15"/>
      <c r="X102" s="15"/>
      <c r="Y102" s="15"/>
      <c r="Z102" s="8"/>
      <c r="AA102" s="11"/>
      <c r="AB102" s="4"/>
      <c r="AC102" s="8"/>
      <c r="AD102" s="7"/>
      <c r="AE102" s="8"/>
      <c r="AF102" s="4"/>
      <c r="AG102" s="7"/>
    </row>
    <row r="103" spans="1:35">
      <c r="F103" s="16"/>
      <c r="G103" s="16"/>
      <c r="H103" s="16"/>
      <c r="I103" s="16"/>
      <c r="J103" s="7"/>
      <c r="K103" s="7"/>
      <c r="L103" s="7"/>
      <c r="M103" s="7"/>
      <c r="N103" s="8"/>
      <c r="O103" s="8"/>
      <c r="P103" s="8"/>
      <c r="Q103" s="16"/>
      <c r="R103" s="16"/>
      <c r="S103" s="16"/>
      <c r="T103" s="16"/>
      <c r="U103" s="16"/>
      <c r="V103" s="15"/>
      <c r="W103" s="15"/>
      <c r="X103" s="15"/>
      <c r="Y103" s="15"/>
      <c r="Z103" s="8"/>
      <c r="AA103" s="11"/>
      <c r="AB103" s="4"/>
      <c r="AC103" s="8"/>
      <c r="AD103" s="7"/>
      <c r="AE103" s="8"/>
      <c r="AF103" s="4"/>
      <c r="AG103" s="7"/>
    </row>
    <row r="104" spans="1:35">
      <c r="A104" s="14"/>
      <c r="Q104" s="16"/>
      <c r="R104" s="16"/>
      <c r="S104" s="16"/>
      <c r="T104" s="16"/>
      <c r="U104" s="16"/>
      <c r="V104" s="15"/>
      <c r="W104" s="15"/>
      <c r="X104" s="15"/>
      <c r="Y104" s="15"/>
      <c r="AH104" s="14"/>
    </row>
    <row r="105" spans="1:35">
      <c r="J105" s="7"/>
      <c r="K105" s="7"/>
      <c r="L105" s="7"/>
      <c r="M105" s="7"/>
      <c r="N105" s="8"/>
      <c r="O105" s="8"/>
      <c r="P105" s="8"/>
      <c r="Q105" s="16"/>
      <c r="R105" s="16"/>
      <c r="S105" s="16"/>
      <c r="T105" s="16"/>
      <c r="U105" s="16"/>
      <c r="V105" s="15"/>
      <c r="W105" s="15"/>
      <c r="X105" s="15"/>
      <c r="Y105" s="15"/>
      <c r="Z105" s="8"/>
      <c r="AA105" s="11"/>
      <c r="AB105" s="4"/>
      <c r="AC105" s="8"/>
      <c r="AD105" s="7"/>
      <c r="AE105" s="8"/>
      <c r="AF105" s="4"/>
      <c r="AG105" s="9"/>
    </row>
    <row r="106" spans="1:35">
      <c r="J106" s="7"/>
      <c r="K106" s="7"/>
      <c r="L106" s="7"/>
      <c r="M106" s="7"/>
      <c r="N106" s="8"/>
      <c r="O106" s="8"/>
      <c r="P106" s="8"/>
      <c r="Q106" s="16"/>
      <c r="R106" s="16"/>
      <c r="S106" s="16"/>
      <c r="T106" s="16"/>
      <c r="U106" s="16"/>
      <c r="V106" s="15"/>
      <c r="W106" s="15"/>
      <c r="X106" s="15"/>
      <c r="Y106" s="15"/>
      <c r="Z106" s="8"/>
      <c r="AA106" s="11"/>
      <c r="AB106" s="4"/>
      <c r="AC106" s="8"/>
      <c r="AD106" s="7"/>
      <c r="AE106" s="8"/>
      <c r="AF106" s="4"/>
      <c r="AG106" s="9"/>
    </row>
    <row r="107" spans="1:35">
      <c r="J107" s="7"/>
      <c r="K107" s="7"/>
      <c r="L107" s="7"/>
      <c r="M107" s="7"/>
      <c r="N107" s="8"/>
      <c r="O107" s="8"/>
      <c r="P107" s="8"/>
      <c r="Q107" s="16"/>
      <c r="R107" s="16"/>
      <c r="S107" s="16"/>
      <c r="T107" s="16"/>
      <c r="U107" s="16"/>
      <c r="V107" s="15"/>
      <c r="W107" s="15"/>
      <c r="X107" s="15"/>
      <c r="Y107" s="15"/>
      <c r="Z107" s="8"/>
      <c r="AA107" s="11"/>
      <c r="AB107" s="4"/>
      <c r="AC107" s="8"/>
      <c r="AD107" s="7"/>
      <c r="AE107" s="8"/>
      <c r="AF107" s="4"/>
      <c r="AG107" s="9"/>
    </row>
    <row r="108" spans="1:35">
      <c r="J108" s="7"/>
      <c r="K108" s="7"/>
      <c r="L108" s="7"/>
      <c r="M108" s="7"/>
      <c r="N108" s="8"/>
      <c r="O108" s="8"/>
      <c r="P108" s="8"/>
      <c r="Q108" s="16"/>
      <c r="R108" s="16"/>
      <c r="S108" s="16"/>
      <c r="T108" s="16"/>
      <c r="U108" s="16"/>
      <c r="V108" s="15"/>
      <c r="W108" s="15"/>
      <c r="X108" s="15"/>
      <c r="Y108" s="15"/>
      <c r="Z108" s="8"/>
      <c r="AA108" s="11"/>
      <c r="AB108" s="4"/>
      <c r="AC108" s="8"/>
      <c r="AD108" s="7"/>
      <c r="AE108" s="8"/>
      <c r="AF108" s="4"/>
      <c r="AG108" s="9"/>
    </row>
    <row r="109" spans="1:35">
      <c r="J109" s="7"/>
      <c r="K109" s="7"/>
      <c r="L109" s="7"/>
      <c r="M109" s="7"/>
      <c r="N109" s="8"/>
      <c r="O109" s="8"/>
      <c r="P109" s="8"/>
      <c r="Q109" s="16"/>
      <c r="R109" s="16"/>
      <c r="S109" s="16"/>
      <c r="T109" s="16"/>
      <c r="U109" s="16"/>
      <c r="V109" s="15"/>
      <c r="W109" s="15"/>
      <c r="X109" s="15"/>
      <c r="Y109" s="15"/>
      <c r="Z109" s="8"/>
      <c r="AA109" s="11"/>
      <c r="AB109" s="4"/>
      <c r="AC109" s="8"/>
      <c r="AD109" s="7"/>
      <c r="AE109" s="8"/>
      <c r="AF109" s="4"/>
      <c r="AG109" s="9"/>
    </row>
    <row r="110" spans="1:35">
      <c r="J110" s="7"/>
      <c r="K110" s="7"/>
      <c r="L110" s="7"/>
      <c r="M110" s="7"/>
      <c r="N110" s="8"/>
      <c r="O110" s="8"/>
      <c r="P110" s="8"/>
      <c r="Q110" s="16"/>
      <c r="R110" s="16"/>
      <c r="S110" s="16"/>
      <c r="T110" s="16"/>
      <c r="U110" s="16"/>
      <c r="V110" s="15"/>
      <c r="W110" s="15"/>
      <c r="X110" s="15"/>
      <c r="Y110" s="15"/>
      <c r="Z110" s="8"/>
      <c r="AA110" s="11"/>
      <c r="AB110" s="4"/>
      <c r="AC110" s="8"/>
      <c r="AD110" s="7"/>
      <c r="AE110" s="8"/>
      <c r="AF110" s="4"/>
      <c r="AG110" s="9"/>
    </row>
    <row r="111" spans="1:35">
      <c r="J111" s="7"/>
      <c r="K111" s="7"/>
      <c r="L111" s="7"/>
      <c r="M111" s="7"/>
      <c r="N111" s="8"/>
      <c r="O111" s="8"/>
      <c r="P111" s="8"/>
      <c r="Q111" s="16"/>
      <c r="R111" s="16"/>
      <c r="S111" s="16"/>
      <c r="T111" s="16"/>
      <c r="U111" s="16"/>
      <c r="V111" s="15"/>
      <c r="W111" s="15"/>
      <c r="X111" s="15"/>
      <c r="Y111" s="15"/>
      <c r="Z111" s="8"/>
      <c r="AA111" s="11"/>
      <c r="AB111" s="4"/>
      <c r="AC111" s="8"/>
      <c r="AD111" s="7"/>
      <c r="AE111" s="8"/>
      <c r="AF111" s="4"/>
      <c r="AG111" s="9"/>
    </row>
    <row r="112" spans="1:35">
      <c r="A112" s="14"/>
      <c r="B112" s="17"/>
      <c r="N112" s="8"/>
      <c r="O112" s="8"/>
      <c r="P112" s="8"/>
      <c r="Q112" s="16"/>
      <c r="R112" s="16"/>
      <c r="S112" s="16"/>
      <c r="T112" s="16"/>
      <c r="U112" s="16"/>
      <c r="V112" s="15"/>
      <c r="W112" s="15"/>
      <c r="X112" s="15"/>
      <c r="Y112" s="15"/>
      <c r="Z112" s="8"/>
      <c r="AA112" s="11"/>
      <c r="AB112" s="4"/>
      <c r="AC112" s="8"/>
      <c r="AD112" s="7"/>
      <c r="AE112" s="8"/>
      <c r="AF112" s="4"/>
      <c r="AH112" s="14"/>
      <c r="AI112" s="17"/>
    </row>
    <row r="113" spans="1:34">
      <c r="J113" s="7"/>
      <c r="K113" s="7"/>
      <c r="L113" s="7"/>
      <c r="M113" s="7"/>
      <c r="N113" s="8"/>
      <c r="O113" s="8"/>
      <c r="P113" s="8"/>
      <c r="Q113" s="16"/>
      <c r="R113" s="16"/>
      <c r="S113" s="16"/>
      <c r="T113" s="16"/>
      <c r="U113" s="16"/>
      <c r="V113" s="15"/>
      <c r="W113" s="15"/>
      <c r="X113" s="15"/>
      <c r="Y113" s="15"/>
      <c r="Z113" s="8"/>
      <c r="AA113" s="11"/>
      <c r="AB113" s="4"/>
      <c r="AC113" s="8"/>
      <c r="AD113" s="7"/>
      <c r="AE113" s="8"/>
      <c r="AF113" s="4"/>
      <c r="AG113" s="7"/>
    </row>
    <row r="114" spans="1:34">
      <c r="J114" s="7"/>
      <c r="K114" s="7"/>
      <c r="L114" s="7"/>
      <c r="M114" s="7"/>
      <c r="N114" s="8"/>
      <c r="O114" s="8"/>
      <c r="P114" s="8"/>
      <c r="Q114" s="16"/>
      <c r="R114" s="16"/>
      <c r="S114" s="16"/>
      <c r="T114" s="16"/>
      <c r="U114" s="16"/>
      <c r="V114" s="15"/>
      <c r="W114" s="15"/>
      <c r="X114" s="15"/>
      <c r="Y114" s="15"/>
      <c r="Z114" s="8"/>
      <c r="AA114" s="11"/>
      <c r="AB114" s="4"/>
      <c r="AC114" s="8"/>
      <c r="AD114" s="7"/>
      <c r="AE114" s="8"/>
      <c r="AF114" s="4"/>
      <c r="AG114" s="7"/>
    </row>
    <row r="115" spans="1:34">
      <c r="J115" s="7"/>
      <c r="K115" s="7"/>
      <c r="L115" s="7"/>
      <c r="M115" s="7"/>
      <c r="N115" s="8"/>
      <c r="O115" s="8"/>
      <c r="P115" s="8"/>
      <c r="Q115" s="16"/>
      <c r="R115" s="16"/>
      <c r="S115" s="16"/>
      <c r="T115" s="16"/>
      <c r="U115" s="16"/>
      <c r="V115" s="15"/>
      <c r="W115" s="15"/>
      <c r="X115" s="15"/>
      <c r="Y115" s="15"/>
      <c r="Z115" s="8"/>
      <c r="AA115" s="11"/>
      <c r="AB115" s="4"/>
      <c r="AC115" s="8"/>
      <c r="AD115" s="7"/>
      <c r="AE115" s="8"/>
      <c r="AF115" s="4"/>
      <c r="AG115" s="7"/>
    </row>
    <row r="116" spans="1:34">
      <c r="J116" s="7"/>
      <c r="K116" s="7"/>
      <c r="L116" s="7"/>
      <c r="M116" s="7"/>
      <c r="N116" s="8"/>
      <c r="O116" s="8"/>
      <c r="P116" s="8"/>
      <c r="Q116" s="16"/>
      <c r="R116" s="16"/>
      <c r="S116" s="16"/>
      <c r="T116" s="16"/>
      <c r="U116" s="16"/>
      <c r="V116" s="15"/>
      <c r="W116" s="15"/>
      <c r="X116" s="15"/>
      <c r="Y116" s="15"/>
      <c r="Z116" s="8"/>
      <c r="AA116" s="11"/>
      <c r="AB116" s="4"/>
      <c r="AC116" s="8"/>
      <c r="AD116" s="7"/>
      <c r="AE116" s="8"/>
      <c r="AF116" s="4"/>
      <c r="AG116" s="7"/>
    </row>
    <row r="117" spans="1:34">
      <c r="J117" s="7"/>
      <c r="K117" s="7"/>
      <c r="L117" s="7"/>
      <c r="M117" s="7"/>
      <c r="N117" s="8"/>
      <c r="O117" s="8"/>
      <c r="P117" s="8"/>
      <c r="Q117" s="16"/>
      <c r="R117" s="16"/>
      <c r="S117" s="16"/>
      <c r="T117" s="16"/>
      <c r="U117" s="16"/>
      <c r="V117" s="15"/>
      <c r="W117" s="15"/>
      <c r="X117" s="15"/>
      <c r="Y117" s="15"/>
      <c r="Z117" s="8"/>
      <c r="AA117" s="11"/>
      <c r="AB117" s="4"/>
      <c r="AC117" s="8"/>
      <c r="AD117" s="7"/>
      <c r="AE117" s="8"/>
      <c r="AF117" s="4"/>
      <c r="AG117" s="7"/>
    </row>
    <row r="118" spans="1:34">
      <c r="J118" s="7"/>
      <c r="K118" s="7"/>
      <c r="L118" s="7"/>
      <c r="M118" s="7"/>
      <c r="N118" s="8"/>
      <c r="O118" s="8"/>
      <c r="P118" s="8"/>
      <c r="Q118" s="16"/>
      <c r="R118" s="16"/>
      <c r="S118" s="16"/>
      <c r="T118" s="16"/>
      <c r="U118" s="16"/>
      <c r="V118" s="15"/>
      <c r="W118" s="15"/>
      <c r="X118" s="15"/>
      <c r="Y118" s="15"/>
      <c r="Z118" s="8"/>
      <c r="AA118" s="11"/>
      <c r="AB118" s="4"/>
      <c r="AC118" s="8"/>
      <c r="AD118" s="7"/>
      <c r="AE118" s="8"/>
      <c r="AF118" s="4"/>
      <c r="AG118" s="7"/>
    </row>
    <row r="119" spans="1:34">
      <c r="J119" s="7"/>
      <c r="K119" s="7"/>
      <c r="L119" s="7"/>
      <c r="M119" s="7"/>
      <c r="N119" s="8"/>
      <c r="O119" s="8"/>
      <c r="P119" s="8"/>
      <c r="Q119" s="16"/>
      <c r="R119" s="16"/>
      <c r="S119" s="16"/>
      <c r="T119" s="16"/>
      <c r="U119" s="16"/>
      <c r="V119" s="15"/>
      <c r="W119" s="15"/>
      <c r="X119" s="15"/>
      <c r="Y119" s="15"/>
      <c r="Z119" s="8"/>
      <c r="AA119" s="11"/>
      <c r="AB119" s="4"/>
      <c r="AC119" s="8"/>
      <c r="AD119" s="7"/>
      <c r="AE119" s="8"/>
      <c r="AF119" s="4"/>
      <c r="AG119" s="7"/>
    </row>
    <row r="120" spans="1:34">
      <c r="A120" s="14"/>
      <c r="Q120" s="16"/>
      <c r="R120" s="16"/>
      <c r="S120" s="16"/>
      <c r="T120" s="16"/>
      <c r="U120" s="16"/>
      <c r="V120" s="15"/>
      <c r="W120" s="15"/>
      <c r="X120" s="15"/>
      <c r="Y120" s="15"/>
      <c r="AH120" s="14"/>
    </row>
    <row r="121" spans="1:34">
      <c r="J121" s="7"/>
      <c r="K121" s="7"/>
      <c r="L121" s="7"/>
      <c r="M121" s="7"/>
      <c r="N121" s="8"/>
      <c r="O121" s="8"/>
      <c r="P121" s="8"/>
      <c r="Q121" s="16"/>
      <c r="R121" s="16"/>
      <c r="S121" s="16"/>
      <c r="T121" s="16"/>
      <c r="U121" s="16"/>
      <c r="V121" s="15"/>
      <c r="W121" s="15"/>
      <c r="X121" s="15"/>
      <c r="Y121" s="15"/>
      <c r="Z121" s="8"/>
      <c r="AA121" s="11"/>
      <c r="AB121" s="4"/>
      <c r="AC121" s="8"/>
      <c r="AD121" s="7"/>
      <c r="AE121" s="8"/>
      <c r="AF121" s="4"/>
      <c r="AG121" s="9"/>
    </row>
    <row r="122" spans="1:34">
      <c r="J122" s="7"/>
      <c r="K122" s="7"/>
      <c r="L122" s="7"/>
      <c r="M122" s="7"/>
      <c r="N122" s="8"/>
      <c r="O122" s="8"/>
      <c r="P122" s="8"/>
      <c r="Q122" s="16"/>
      <c r="R122" s="16"/>
      <c r="S122" s="16"/>
      <c r="T122" s="16"/>
      <c r="U122" s="16"/>
      <c r="V122" s="15"/>
      <c r="W122" s="15"/>
      <c r="X122" s="15"/>
      <c r="Y122" s="15"/>
      <c r="Z122" s="8"/>
      <c r="AA122" s="11"/>
      <c r="AB122" s="4"/>
      <c r="AC122" s="8"/>
      <c r="AD122" s="7"/>
      <c r="AE122" s="8"/>
      <c r="AF122" s="4"/>
      <c r="AG122" s="9"/>
    </row>
    <row r="123" spans="1:34">
      <c r="J123" s="7"/>
      <c r="K123" s="7"/>
      <c r="L123" s="7"/>
      <c r="M123" s="7"/>
      <c r="N123" s="8"/>
      <c r="O123" s="8"/>
      <c r="P123" s="8"/>
      <c r="Q123" s="16"/>
      <c r="R123" s="16"/>
      <c r="S123" s="16"/>
      <c r="T123" s="16"/>
      <c r="U123" s="16"/>
      <c r="V123" s="15"/>
      <c r="W123" s="15"/>
      <c r="X123" s="15"/>
      <c r="Y123" s="15"/>
      <c r="Z123" s="8"/>
      <c r="AA123" s="11"/>
      <c r="AB123" s="4"/>
      <c r="AC123" s="8"/>
      <c r="AD123" s="7"/>
      <c r="AE123" s="8"/>
      <c r="AF123" s="4"/>
      <c r="AG123" s="9"/>
    </row>
    <row r="124" spans="1:34">
      <c r="J124" s="7"/>
      <c r="K124" s="7"/>
      <c r="L124" s="7"/>
      <c r="M124" s="7"/>
      <c r="N124" s="8"/>
      <c r="O124" s="8"/>
      <c r="P124" s="8"/>
      <c r="Q124" s="16"/>
      <c r="R124" s="16"/>
      <c r="S124" s="16"/>
      <c r="T124" s="16"/>
      <c r="U124" s="16"/>
      <c r="V124" s="15"/>
      <c r="W124" s="15"/>
      <c r="X124" s="15"/>
      <c r="Y124" s="15"/>
      <c r="Z124" s="8"/>
      <c r="AA124" s="11"/>
      <c r="AB124" s="4"/>
      <c r="AC124" s="8"/>
      <c r="AD124" s="7"/>
      <c r="AE124" s="8"/>
      <c r="AF124" s="4"/>
      <c r="AG124" s="9"/>
    </row>
    <row r="125" spans="1:34">
      <c r="J125" s="7"/>
      <c r="K125" s="7"/>
      <c r="L125" s="7"/>
      <c r="M125" s="7"/>
      <c r="N125" s="8"/>
      <c r="O125" s="8"/>
      <c r="P125" s="8"/>
      <c r="Q125" s="16"/>
      <c r="R125" s="16"/>
      <c r="S125" s="16"/>
      <c r="T125" s="16"/>
      <c r="U125" s="16"/>
      <c r="V125" s="15"/>
      <c r="W125" s="15"/>
      <c r="X125" s="15"/>
      <c r="Y125" s="15"/>
      <c r="Z125" s="8"/>
      <c r="AA125" s="11"/>
      <c r="AB125" s="4"/>
      <c r="AC125" s="8"/>
      <c r="AD125" s="7"/>
      <c r="AE125" s="8"/>
      <c r="AF125" s="4"/>
      <c r="AG125" s="9"/>
    </row>
    <row r="126" spans="1:34">
      <c r="J126" s="7"/>
      <c r="K126" s="7"/>
      <c r="L126" s="7"/>
      <c r="M126" s="7"/>
      <c r="N126" s="8"/>
      <c r="O126" s="8"/>
      <c r="P126" s="8"/>
      <c r="Q126" s="16"/>
      <c r="R126" s="16"/>
      <c r="S126" s="16"/>
      <c r="T126" s="16"/>
      <c r="U126" s="16"/>
      <c r="V126" s="15"/>
      <c r="W126" s="15"/>
      <c r="X126" s="15"/>
      <c r="Y126" s="15"/>
      <c r="Z126" s="8"/>
      <c r="AA126" s="11"/>
      <c r="AB126" s="4"/>
      <c r="AC126" s="8"/>
      <c r="AD126" s="7"/>
      <c r="AE126" s="8"/>
      <c r="AF126" s="4"/>
      <c r="AG126" s="9"/>
    </row>
    <row r="127" spans="1:34">
      <c r="J127" s="7"/>
      <c r="K127" s="7"/>
      <c r="L127" s="7"/>
      <c r="M127" s="7"/>
      <c r="N127" s="8"/>
      <c r="O127" s="8"/>
      <c r="P127" s="8"/>
      <c r="Q127" s="16"/>
      <c r="R127" s="16"/>
      <c r="S127" s="16"/>
      <c r="T127" s="16"/>
      <c r="U127" s="16"/>
      <c r="V127" s="15"/>
      <c r="W127" s="15"/>
      <c r="X127" s="15"/>
      <c r="Y127" s="15"/>
      <c r="Z127" s="8"/>
      <c r="AA127" s="11"/>
      <c r="AB127" s="4"/>
      <c r="AC127" s="8"/>
      <c r="AD127" s="7"/>
      <c r="AE127" s="8"/>
      <c r="AF127" s="4"/>
      <c r="AG127" s="9"/>
    </row>
    <row r="128" spans="1:34">
      <c r="B128" s="8"/>
      <c r="C128" s="8"/>
      <c r="D128" s="8"/>
      <c r="E128" s="7"/>
    </row>
    <row r="129" spans="2:34">
      <c r="B129" s="8"/>
      <c r="J129" s="7"/>
      <c r="K129" s="7"/>
      <c r="L129" s="7"/>
      <c r="M129" s="7"/>
      <c r="N129" s="8"/>
      <c r="O129" s="8"/>
      <c r="P129" s="8"/>
      <c r="Q129" s="16"/>
      <c r="R129" s="16"/>
      <c r="S129" s="16"/>
      <c r="T129" s="16"/>
      <c r="U129" s="16"/>
      <c r="V129" s="15"/>
      <c r="W129" s="15"/>
      <c r="X129" s="15"/>
      <c r="Y129" s="15"/>
      <c r="Z129" s="8"/>
      <c r="AA129" s="11"/>
      <c r="AB129" s="4"/>
      <c r="AC129" s="8"/>
      <c r="AD129" s="7"/>
      <c r="AE129" s="8"/>
      <c r="AF129" s="4"/>
      <c r="AG129" s="9"/>
    </row>
    <row r="130" spans="2:34">
      <c r="B130" s="8"/>
      <c r="J130" s="7"/>
      <c r="K130" s="7"/>
      <c r="L130" s="7"/>
      <c r="M130" s="7"/>
      <c r="N130" s="8"/>
      <c r="O130" s="8"/>
      <c r="P130" s="8"/>
      <c r="Q130" s="16"/>
      <c r="R130" s="16"/>
      <c r="S130" s="16"/>
      <c r="T130" s="16"/>
      <c r="U130" s="16"/>
      <c r="V130" s="15"/>
      <c r="W130" s="15"/>
      <c r="X130" s="15"/>
      <c r="Y130" s="15"/>
      <c r="Z130" s="8"/>
      <c r="AA130" s="11"/>
      <c r="AB130" s="4"/>
      <c r="AC130" s="8"/>
      <c r="AD130" s="7"/>
      <c r="AE130" s="8"/>
      <c r="AF130" s="4"/>
      <c r="AG130" s="9"/>
    </row>
    <row r="131" spans="2:34">
      <c r="B131" s="8"/>
      <c r="J131" s="7"/>
      <c r="K131" s="7"/>
      <c r="L131" s="7"/>
      <c r="M131" s="7"/>
      <c r="N131" s="8"/>
      <c r="O131" s="8"/>
      <c r="P131" s="8"/>
      <c r="Q131" s="16"/>
      <c r="R131" s="16"/>
      <c r="S131" s="16"/>
      <c r="T131" s="16"/>
      <c r="U131" s="16"/>
      <c r="V131" s="15"/>
      <c r="W131" s="15"/>
      <c r="X131" s="15"/>
      <c r="Y131" s="15"/>
      <c r="Z131" s="8"/>
      <c r="AA131" s="11"/>
      <c r="AB131" s="4"/>
      <c r="AC131" s="8"/>
      <c r="AD131" s="7"/>
      <c r="AE131" s="8"/>
      <c r="AF131" s="4"/>
      <c r="AG131" s="9"/>
    </row>
    <row r="132" spans="2:34">
      <c r="B132" s="8"/>
      <c r="J132" s="7"/>
      <c r="K132" s="7"/>
      <c r="L132" s="7"/>
      <c r="M132" s="7"/>
      <c r="N132" s="8"/>
      <c r="O132" s="8"/>
      <c r="P132" s="8"/>
      <c r="Q132" s="16"/>
      <c r="R132" s="16"/>
      <c r="S132" s="16"/>
      <c r="T132" s="16"/>
      <c r="U132" s="16"/>
      <c r="V132" s="15"/>
      <c r="W132" s="15"/>
      <c r="X132" s="15"/>
      <c r="Y132" s="15"/>
      <c r="Z132" s="8"/>
      <c r="AA132" s="11"/>
      <c r="AB132" s="4"/>
      <c r="AC132" s="8"/>
      <c r="AD132" s="7"/>
      <c r="AE132" s="8"/>
      <c r="AF132" s="4"/>
      <c r="AG132" s="9"/>
    </row>
    <row r="133" spans="2:34">
      <c r="B133" s="8"/>
      <c r="J133" s="7"/>
      <c r="K133" s="7"/>
      <c r="L133" s="7"/>
      <c r="M133" s="7"/>
      <c r="N133" s="8"/>
      <c r="O133" s="8"/>
      <c r="P133" s="8"/>
      <c r="Q133" s="16"/>
      <c r="R133" s="16"/>
      <c r="S133" s="16"/>
      <c r="T133" s="16"/>
      <c r="U133" s="16"/>
      <c r="V133" s="15"/>
      <c r="W133" s="15"/>
      <c r="X133" s="15"/>
      <c r="Y133" s="15"/>
      <c r="Z133" s="8"/>
      <c r="AA133" s="11"/>
      <c r="AB133" s="4"/>
      <c r="AC133" s="8"/>
      <c r="AD133" s="7"/>
      <c r="AE133" s="8"/>
      <c r="AF133" s="4"/>
      <c r="AG133" s="9"/>
    </row>
    <row r="134" spans="2:34">
      <c r="B134" s="8"/>
      <c r="J134" s="7"/>
      <c r="K134" s="7"/>
      <c r="L134" s="7"/>
      <c r="M134" s="7"/>
      <c r="N134" s="8"/>
      <c r="O134" s="8"/>
      <c r="P134" s="8"/>
      <c r="Q134" s="16"/>
      <c r="R134" s="16"/>
      <c r="S134" s="16"/>
      <c r="T134" s="16"/>
      <c r="U134" s="16"/>
      <c r="V134" s="15"/>
      <c r="W134" s="15"/>
      <c r="X134" s="15"/>
      <c r="Y134" s="15"/>
      <c r="Z134" s="8"/>
      <c r="AA134" s="11"/>
      <c r="AB134" s="4"/>
      <c r="AC134" s="8"/>
      <c r="AD134" s="7"/>
      <c r="AE134" s="8"/>
      <c r="AF134" s="4"/>
      <c r="AG134" s="9"/>
    </row>
    <row r="135" spans="2:34">
      <c r="B135" s="8"/>
      <c r="J135" s="7"/>
      <c r="K135" s="7"/>
      <c r="L135" s="7"/>
      <c r="M135" s="7"/>
      <c r="N135" s="8"/>
      <c r="O135" s="8"/>
      <c r="P135" s="8"/>
      <c r="Q135" s="16"/>
      <c r="R135" s="16"/>
      <c r="S135" s="16"/>
      <c r="T135" s="16"/>
      <c r="U135" s="16"/>
      <c r="V135" s="15"/>
      <c r="W135" s="15"/>
      <c r="X135" s="15"/>
      <c r="Y135" s="15"/>
      <c r="Z135" s="8"/>
      <c r="AA135" s="11"/>
      <c r="AB135" s="4"/>
      <c r="AC135" s="8"/>
      <c r="AD135" s="7"/>
      <c r="AE135" s="8"/>
      <c r="AF135" s="4"/>
      <c r="AG135" s="9"/>
    </row>
    <row r="138" spans="2:34">
      <c r="AH138" s="6"/>
    </row>
    <row r="140" spans="2:34">
      <c r="J140" s="7"/>
      <c r="K140" s="7"/>
      <c r="L140" s="7"/>
      <c r="M140" s="7"/>
      <c r="N140" s="8"/>
      <c r="O140" s="8"/>
      <c r="P140" s="8"/>
      <c r="Q140" s="16"/>
      <c r="R140" s="16"/>
      <c r="S140" s="16"/>
      <c r="T140" s="16"/>
      <c r="U140" s="16"/>
      <c r="V140" s="15"/>
      <c r="W140" s="15"/>
      <c r="X140" s="15"/>
      <c r="Y140" s="15"/>
      <c r="Z140" s="8"/>
      <c r="AA140" s="11"/>
      <c r="AB140" s="4"/>
      <c r="AC140" s="8"/>
      <c r="AD140" s="7"/>
      <c r="AE140" s="8"/>
      <c r="AF140" s="4"/>
      <c r="AH140" s="4"/>
    </row>
    <row r="141" spans="2:34">
      <c r="J141" s="7"/>
      <c r="K141" s="7"/>
      <c r="L141" s="7"/>
      <c r="M141" s="7"/>
      <c r="N141" s="8"/>
      <c r="O141" s="8"/>
      <c r="P141" s="8"/>
      <c r="Q141" s="16"/>
      <c r="R141" s="16"/>
      <c r="S141" s="16"/>
      <c r="T141" s="16"/>
      <c r="U141" s="16"/>
      <c r="V141" s="15"/>
      <c r="W141" s="15"/>
      <c r="X141" s="15"/>
      <c r="Y141" s="15"/>
      <c r="Z141" s="8"/>
      <c r="AA141" s="11"/>
      <c r="AB141" s="4"/>
      <c r="AC141" s="8"/>
      <c r="AD141" s="7"/>
      <c r="AE141" s="8"/>
      <c r="AF141" s="4"/>
    </row>
    <row r="142" spans="2:34">
      <c r="AH142" s="4"/>
    </row>
    <row r="143" spans="2:34">
      <c r="AH143" s="4"/>
    </row>
  </sheetData>
  <pageMargins left="0" right="0" top="0.39416666666666711" bottom="0.39416666666666711" header="0" footer="0"/>
  <pageSetup fitToWidth="0" fitToHeight="0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FF6C-F3EB-466A-8CAB-E117E3F125F0}">
  <dimension ref="A1:AY143"/>
  <sheetViews>
    <sheetView zoomScaleNormal="100" workbookViewId="0">
      <selection activeCell="AI1" sqref="AI1:BI35"/>
    </sheetView>
  </sheetViews>
  <sheetFormatPr defaultColWidth="9" defaultRowHeight="14.25"/>
  <cols>
    <col min="1" max="1" width="23.125" customWidth="1"/>
    <col min="2" max="2" width="21" customWidth="1"/>
    <col min="3" max="3" width="13" customWidth="1"/>
    <col min="4" max="4" width="17.625" customWidth="1"/>
    <col min="5" max="5" width="18.25" customWidth="1"/>
    <col min="6" max="6" width="31.375" customWidth="1"/>
    <col min="7" max="7" width="22.75" customWidth="1"/>
    <col min="8" max="8" width="22.625" customWidth="1"/>
    <col min="9" max="9" width="30" customWidth="1"/>
    <col min="10" max="10" width="12.125" customWidth="1"/>
    <col min="11" max="11" width="20.625" customWidth="1"/>
    <col min="12" max="12" width="14.875" customWidth="1"/>
    <col min="13" max="13" width="23.25" customWidth="1"/>
    <col min="14" max="14" width="9.875" customWidth="1"/>
    <col min="15" max="16" width="13" customWidth="1"/>
    <col min="17" max="17" width="23.25" customWidth="1"/>
    <col min="18" max="18" width="14.25" customWidth="1"/>
    <col min="19" max="19" width="19.125" customWidth="1"/>
    <col min="20" max="20" width="16.125" customWidth="1"/>
    <col min="21" max="21" width="21.625" customWidth="1"/>
    <col min="22" max="24" width="22.25" customWidth="1"/>
    <col min="25" max="25" width="32.25" customWidth="1"/>
    <col min="26" max="26" width="10.75" customWidth="1"/>
    <col min="27" max="27" width="21.75" customWidth="1"/>
    <col min="28" max="28" width="16.75" customWidth="1"/>
    <col min="29" max="29" width="20" customWidth="1"/>
    <col min="30" max="30" width="10.75" customWidth="1"/>
    <col min="31" max="31" width="17" customWidth="1"/>
    <col min="32" max="32" width="24.25" customWidth="1"/>
    <col min="33" max="33" width="25" customWidth="1"/>
    <col min="34" max="34" width="23.25" customWidth="1"/>
    <col min="35" max="35" width="17.75" customWidth="1"/>
    <col min="36" max="36" width="21.5" customWidth="1"/>
    <col min="37" max="1025" width="10.75" customWidth="1"/>
    <col min="1026" max="1026" width="9" customWidth="1"/>
  </cols>
  <sheetData>
    <row r="1" spans="1:51" ht="15">
      <c r="A1" t="s">
        <v>47</v>
      </c>
      <c r="B1">
        <v>2</v>
      </c>
      <c r="H1" t="s">
        <v>72</v>
      </c>
      <c r="K1" t="s">
        <v>86</v>
      </c>
      <c r="L1" s="27">
        <v>130.68</v>
      </c>
      <c r="M1" t="s">
        <v>87</v>
      </c>
      <c r="N1" t="s">
        <v>72</v>
      </c>
      <c r="O1" s="8">
        <v>2.70590029233333E-10</v>
      </c>
      <c r="R1" t="s">
        <v>39</v>
      </c>
    </row>
    <row r="2" spans="1:51">
      <c r="A2" t="s">
        <v>48</v>
      </c>
      <c r="B2" s="8">
        <f>O6</f>
        <v>6.3942155849131362E-20</v>
      </c>
      <c r="C2" t="s">
        <v>49</v>
      </c>
      <c r="D2" s="8">
        <f>B2*(100^2)</f>
        <v>6.3942155849131364E-16</v>
      </c>
      <c r="E2" t="s">
        <v>50</v>
      </c>
      <c r="H2" s="8">
        <v>2.7058999999999999E-10</v>
      </c>
      <c r="I2" t="s">
        <v>73</v>
      </c>
      <c r="J2" s="7"/>
      <c r="L2">
        <f>L1/6.02E+23</f>
        <v>2.1707641196013289E-22</v>
      </c>
      <c r="M2" t="s">
        <v>57</v>
      </c>
      <c r="N2" t="s">
        <v>48</v>
      </c>
      <c r="O2">
        <f>O1*SQRT(3)*O1/2</f>
        <v>6.3409482793925798E-20</v>
      </c>
      <c r="X2" t="s">
        <v>0</v>
      </c>
    </row>
    <row r="3" spans="1:51">
      <c r="A3" t="s">
        <v>51</v>
      </c>
      <c r="B3" s="8">
        <v>1.5999999999999999E-19</v>
      </c>
      <c r="C3" t="s">
        <v>52</v>
      </c>
      <c r="H3" s="8">
        <f>H2*H2/2*(3^0.5)</f>
        <v>6.3409469092974345E-20</v>
      </c>
      <c r="I3" t="s">
        <v>49</v>
      </c>
      <c r="J3" s="7"/>
      <c r="L3">
        <f>L2/1.6E-19</f>
        <v>1.3567275747508308E-3</v>
      </c>
      <c r="M3" t="s">
        <v>88</v>
      </c>
      <c r="X3" t="s">
        <v>1</v>
      </c>
    </row>
    <row r="4" spans="1:51">
      <c r="A4" t="s">
        <v>53</v>
      </c>
      <c r="B4" s="8">
        <v>6.6200000000000001E-34</v>
      </c>
      <c r="C4" t="s">
        <v>54</v>
      </c>
      <c r="D4" t="s">
        <v>55</v>
      </c>
      <c r="E4">
        <v>8.6099585062240669E-5</v>
      </c>
      <c r="G4" t="s">
        <v>74</v>
      </c>
      <c r="H4" s="8">
        <v>1000</v>
      </c>
      <c r="J4" s="7"/>
      <c r="L4">
        <f>L3*B6</f>
        <v>0.40701827242524924</v>
      </c>
      <c r="M4" t="s">
        <v>89</v>
      </c>
      <c r="X4" t="s">
        <v>2</v>
      </c>
      <c r="Y4" t="s">
        <v>3</v>
      </c>
    </row>
    <row r="5" spans="1:51">
      <c r="A5" t="s">
        <v>56</v>
      </c>
      <c r="B5" s="8">
        <v>1.3800000000000001E-23</v>
      </c>
      <c r="C5" t="s">
        <v>57</v>
      </c>
      <c r="D5" t="s">
        <v>58</v>
      </c>
      <c r="E5" s="8">
        <v>8.6250000000000009E-5</v>
      </c>
      <c r="H5" s="8"/>
      <c r="J5" s="7"/>
      <c r="O5">
        <f>18.51664226 *16.03588259*0.5291*0.5291</f>
        <v>83.124802603870762</v>
      </c>
    </row>
    <row r="6" spans="1:51">
      <c r="A6" t="s">
        <v>59</v>
      </c>
      <c r="B6">
        <v>300</v>
      </c>
      <c r="C6" t="s">
        <v>60</v>
      </c>
      <c r="J6" s="7"/>
      <c r="O6">
        <f>O5/13/100000000000000000000</f>
        <v>6.3942155849131362E-20</v>
      </c>
      <c r="AO6" s="24"/>
      <c r="AX6" s="18"/>
      <c r="AY6" s="18"/>
    </row>
    <row r="7" spans="1:51">
      <c r="B7" s="1"/>
      <c r="C7" s="1"/>
      <c r="D7" s="1"/>
      <c r="E7" s="1"/>
      <c r="AO7" s="24"/>
      <c r="AP7" s="17"/>
      <c r="AX7" s="18"/>
      <c r="AY7" s="18"/>
    </row>
    <row r="8" spans="1:51">
      <c r="B8" s="1"/>
      <c r="C8" s="1"/>
      <c r="D8" s="1"/>
      <c r="E8" s="1"/>
      <c r="V8">
        <v>1.5</v>
      </c>
      <c r="W8">
        <f>V8-0.2</f>
        <v>1.3</v>
      </c>
      <c r="X8">
        <f t="shared" ref="X8:AD8" si="0">W8-0.2</f>
        <v>1.1000000000000001</v>
      </c>
      <c r="Y8">
        <f t="shared" si="0"/>
        <v>0.90000000000000013</v>
      </c>
      <c r="Z8">
        <f t="shared" si="0"/>
        <v>0.70000000000000018</v>
      </c>
      <c r="AA8">
        <f>Z8-0.2</f>
        <v>0.50000000000000022</v>
      </c>
      <c r="AB8">
        <f t="shared" si="0"/>
        <v>0.30000000000000021</v>
      </c>
      <c r="AC8">
        <f t="shared" si="0"/>
        <v>0.1000000000000002</v>
      </c>
      <c r="AD8">
        <f t="shared" si="0"/>
        <v>-9.9999999999999811E-2</v>
      </c>
      <c r="AO8" s="24"/>
      <c r="AX8" s="18"/>
      <c r="AY8" s="18"/>
    </row>
    <row r="9" spans="1:51">
      <c r="A9" t="s">
        <v>4</v>
      </c>
      <c r="B9" s="1"/>
      <c r="C9" s="1"/>
      <c r="D9" s="1"/>
      <c r="E9" s="1"/>
      <c r="F9">
        <v>-16.809909999999999</v>
      </c>
      <c r="G9">
        <v>6.4589999999999996</v>
      </c>
      <c r="H9">
        <v>0.24199999999999999</v>
      </c>
      <c r="I9">
        <v>1.1100000000000001E-3</v>
      </c>
      <c r="J9">
        <f>F9*627.5096+G9+H9+B9+D9-0.29815*(C9+E9+I9)</f>
        <v>-10541.679231082497</v>
      </c>
      <c r="K9" t="s">
        <v>29</v>
      </c>
      <c r="L9" t="s">
        <v>38</v>
      </c>
      <c r="U9" t="s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O9" s="24"/>
      <c r="AX9" s="18"/>
      <c r="AY9" s="6"/>
    </row>
    <row r="10" spans="1:51">
      <c r="A10" t="s">
        <v>29</v>
      </c>
      <c r="B10" s="1"/>
      <c r="C10" s="1"/>
      <c r="D10" s="1"/>
      <c r="E10" s="12">
        <f>(H$20+I$20)</f>
        <v>-0.14013323160494667</v>
      </c>
      <c r="K10">
        <v>-1.1653116527471199</v>
      </c>
      <c r="L10">
        <f>K10-2*(H$20+I$20)</f>
        <v>-0.88504518953722655</v>
      </c>
      <c r="U10" t="s">
        <v>25</v>
      </c>
      <c r="V10">
        <v>-1.403672059269055</v>
      </c>
      <c r="W10">
        <v>-1.1318461505453223</v>
      </c>
      <c r="X10">
        <v>-0.84439289141522278</v>
      </c>
      <c r="Y10">
        <v>-0.54131228188381775</v>
      </c>
      <c r="Z10">
        <v>-0.22260432194224963</v>
      </c>
      <c r="AA10">
        <v>0.11173098840188923</v>
      </c>
      <c r="AB10">
        <v>0.46169364915492578</v>
      </c>
      <c r="AC10">
        <v>0.82728366030800238</v>
      </c>
      <c r="AD10">
        <v>1.2085010218598535</v>
      </c>
      <c r="AO10" s="24"/>
      <c r="AP10" s="17"/>
      <c r="AX10" s="18"/>
      <c r="AY10" s="18"/>
    </row>
    <row r="11" spans="1:51">
      <c r="E11">
        <f>4.66/27.2</f>
        <v>0.17132352941176471</v>
      </c>
      <c r="J11" t="s">
        <v>5</v>
      </c>
      <c r="K11" t="s">
        <v>6</v>
      </c>
      <c r="U11" t="s">
        <v>26</v>
      </c>
      <c r="V11">
        <v>2.7128891315242862</v>
      </c>
      <c r="W11">
        <v>2.822191464345214</v>
      </c>
      <c r="X11">
        <v>2.9393182733164513</v>
      </c>
      <c r="Y11">
        <v>3.0642695584202833</v>
      </c>
      <c r="Z11">
        <v>3.1970453196693636</v>
      </c>
      <c r="AA11">
        <v>3.3376455570598962</v>
      </c>
      <c r="AB11">
        <v>3.4860702705982081</v>
      </c>
      <c r="AC11">
        <v>3.6423194602741757</v>
      </c>
      <c r="AD11">
        <v>3.8063931260928614</v>
      </c>
      <c r="AO11" s="24"/>
      <c r="AX11" s="18"/>
      <c r="AY11" s="18"/>
    </row>
    <row r="12" spans="1:51">
      <c r="C12">
        <v>-1233.5484164598799</v>
      </c>
      <c r="D12">
        <v>-1527.77089179312</v>
      </c>
      <c r="K12" t="s">
        <v>30</v>
      </c>
      <c r="L12" t="s">
        <v>31</v>
      </c>
      <c r="U12" t="s">
        <v>27</v>
      </c>
      <c r="V12">
        <v>-1.3526834151454512</v>
      </c>
      <c r="W12">
        <v>-1.1835622978826945</v>
      </c>
      <c r="X12">
        <v>-1.0012053585024145</v>
      </c>
      <c r="Y12">
        <v>-0.80561259698816168</v>
      </c>
      <c r="Z12">
        <v>-0.59678401335512044</v>
      </c>
      <c r="AA12">
        <v>-0.37471960760455619</v>
      </c>
      <c r="AB12">
        <v>-0.13941937972128432</v>
      </c>
      <c r="AC12">
        <v>0.10911667027191826</v>
      </c>
      <c r="AD12">
        <v>0.37088854239403229</v>
      </c>
      <c r="AO12" s="24"/>
      <c r="AX12" s="18"/>
      <c r="AY12" s="18"/>
    </row>
    <row r="13" spans="1:51">
      <c r="A13" t="s">
        <v>7</v>
      </c>
      <c r="D13">
        <v>-0.15398547600000001</v>
      </c>
      <c r="E13">
        <v>-0.14477606500000001</v>
      </c>
      <c r="H13" t="s">
        <v>8</v>
      </c>
      <c r="I13" s="6">
        <v>13</v>
      </c>
      <c r="K13">
        <f>0.5*E97</f>
        <v>0</v>
      </c>
      <c r="L13">
        <f>K13*630-(-4.66*23.06)-0.0592*23.06*I13</f>
        <v>89.712623999999991</v>
      </c>
      <c r="O13" t="s">
        <v>24</v>
      </c>
      <c r="P13" s="4" t="e">
        <f>#REF!</f>
        <v>#REF!</v>
      </c>
      <c r="U13" t="s">
        <v>28</v>
      </c>
      <c r="V13">
        <v>3.3866367385084941</v>
      </c>
      <c r="W13">
        <v>3.3746967741969023</v>
      </c>
      <c r="X13">
        <v>3.371191047654619</v>
      </c>
      <c r="Y13">
        <v>3.3761195588702559</v>
      </c>
      <c r="Z13">
        <v>3.389482307842548</v>
      </c>
      <c r="AA13">
        <v>3.4112792945854142</v>
      </c>
      <c r="AB13">
        <v>3.4415105191064472</v>
      </c>
      <c r="AC13">
        <v>3.4801759813689506</v>
      </c>
      <c r="AD13">
        <v>3.5272756814045589</v>
      </c>
      <c r="AO13" s="24"/>
      <c r="AP13" s="17"/>
      <c r="AX13" s="18"/>
      <c r="AY13" s="18"/>
    </row>
    <row r="14" spans="1:51">
      <c r="A14" t="s">
        <v>9</v>
      </c>
      <c r="C14">
        <f>-0.1488986+4.66/27.2</f>
        <v>2.2424929411764716E-2</v>
      </c>
      <c r="D14">
        <f>D13+4.66/27.2</f>
        <v>1.7338053411764698E-2</v>
      </c>
      <c r="E14">
        <f>E13+4.66/27.2</f>
        <v>2.6547464411764699E-2</v>
      </c>
      <c r="H14" t="s">
        <v>10</v>
      </c>
      <c r="I14" s="13">
        <f>-AI36</f>
        <v>0.08</v>
      </c>
      <c r="O14" t="s">
        <v>28</v>
      </c>
      <c r="P14" s="4" t="e">
        <f>#REF!</f>
        <v>#REF!</v>
      </c>
      <c r="U14" t="s">
        <v>36</v>
      </c>
      <c r="AO14" s="24"/>
      <c r="AX14" s="18"/>
      <c r="AY14" s="18"/>
    </row>
    <row r="15" spans="1:51">
      <c r="C15">
        <f>-C14*27.2</f>
        <v>-0.60995808000000029</v>
      </c>
      <c r="D15">
        <f>-D14*27.2</f>
        <v>-0.47159505279999975</v>
      </c>
      <c r="E15">
        <f>-E14*27.2</f>
        <v>-0.7220910319999998</v>
      </c>
      <c r="L15" s="2"/>
      <c r="O15" t="s">
        <v>25</v>
      </c>
      <c r="P15" s="4" t="e">
        <f>#REF!</f>
        <v>#REF!</v>
      </c>
      <c r="U15" t="s">
        <v>24</v>
      </c>
      <c r="V15">
        <v>-3.5663614113835376</v>
      </c>
      <c r="W15">
        <v>-3.7331230898904009</v>
      </c>
      <c r="X15">
        <v>-3.848278211156392</v>
      </c>
      <c r="Y15">
        <v>-3.9118267751612659</v>
      </c>
      <c r="Z15">
        <v>-3.9237687819708218</v>
      </c>
      <c r="AA15">
        <v>-3.8841042314939527</v>
      </c>
      <c r="AB15">
        <v>-3.7928331237660884</v>
      </c>
      <c r="AC15">
        <v>-3.6499554588125371</v>
      </c>
      <c r="AD15">
        <v>-3.4554712366231759</v>
      </c>
      <c r="AO15" s="24"/>
    </row>
    <row r="16" spans="1:51">
      <c r="I16" s="4">
        <f>AF123</f>
        <v>0</v>
      </c>
      <c r="L16" s="2"/>
      <c r="O16" t="s">
        <v>26</v>
      </c>
      <c r="P16" s="4" t="e">
        <f>#REF!</f>
        <v>#REF!</v>
      </c>
      <c r="U16" t="s">
        <v>25</v>
      </c>
      <c r="V16">
        <v>-3.0462243078863653</v>
      </c>
      <c r="W16">
        <v>-3.2127958224813007</v>
      </c>
      <c r="X16">
        <v>-3.3243789344307277</v>
      </c>
      <c r="Y16">
        <v>-3.3809736436789692</v>
      </c>
      <c r="Z16">
        <v>-3.3825799502563947</v>
      </c>
      <c r="AA16">
        <v>-3.3291978541680654</v>
      </c>
      <c r="AB16">
        <v>-3.2208273553734887</v>
      </c>
      <c r="AC16">
        <v>-3.0574684539232808</v>
      </c>
      <c r="AD16">
        <v>-2.8391211498123794</v>
      </c>
      <c r="AO16" s="24"/>
      <c r="AP16" s="25"/>
    </row>
    <row r="17" spans="1:45">
      <c r="F17">
        <f>I14/27.212+(I13*1.36/627.5096)</f>
        <v>3.1114747227921184E-2</v>
      </c>
      <c r="L17" s="2"/>
      <c r="O17" t="s">
        <v>27</v>
      </c>
      <c r="P17" s="4" t="e">
        <f>#REF!</f>
        <v>#REF!</v>
      </c>
      <c r="U17" t="s">
        <v>26</v>
      </c>
      <c r="V17">
        <v>-2.9069135051129549</v>
      </c>
      <c r="W17">
        <v>-2.9748772065175455</v>
      </c>
      <c r="X17">
        <v>-2.9941653914739499</v>
      </c>
      <c r="Y17">
        <v>-2.9647780599062452</v>
      </c>
      <c r="Z17">
        <v>-2.8867152118701083</v>
      </c>
      <c r="AA17">
        <v>-2.7599768473503543</v>
      </c>
      <c r="AB17">
        <v>-2.584562966331799</v>
      </c>
      <c r="AC17">
        <v>-2.3604735688195038</v>
      </c>
      <c r="AD17">
        <v>-2.0877086548337145</v>
      </c>
      <c r="AO17" s="24"/>
    </row>
    <row r="18" spans="1:45">
      <c r="F18">
        <f>I14</f>
        <v>0.08</v>
      </c>
      <c r="L18" s="2"/>
      <c r="U18" t="s">
        <v>27</v>
      </c>
      <c r="V18">
        <v>-5.2666987744716769</v>
      </c>
      <c r="W18">
        <v>-5.3410404970231671</v>
      </c>
      <c r="X18">
        <v>-5.3686658085840149</v>
      </c>
      <c r="Y18">
        <v>-5.3495747090631127</v>
      </c>
      <c r="Z18">
        <v>-5.283767198556629</v>
      </c>
      <c r="AA18">
        <v>-5.1712432770392578</v>
      </c>
      <c r="AB18">
        <v>-5.0120029444654435</v>
      </c>
      <c r="AC18">
        <v>-4.8060462008503713</v>
      </c>
      <c r="AD18">
        <v>-4.553373046259841</v>
      </c>
      <c r="AO18" s="24"/>
    </row>
    <row r="19" spans="1:45">
      <c r="G19" s="8"/>
      <c r="H19" t="s">
        <v>40</v>
      </c>
      <c r="I19" t="s">
        <v>23</v>
      </c>
      <c r="J19" t="s">
        <v>22</v>
      </c>
      <c r="Q19" t="s">
        <v>32</v>
      </c>
      <c r="R19" s="4">
        <f>AF25/50</f>
        <v>0</v>
      </c>
      <c r="U19" t="s">
        <v>28</v>
      </c>
      <c r="V19">
        <v>-2.3841007545529664</v>
      </c>
      <c r="W19">
        <v>-2.4749515371994399</v>
      </c>
      <c r="X19">
        <v>-2.5226864287194433</v>
      </c>
      <c r="Y19">
        <v>-2.5273054290471761</v>
      </c>
      <c r="Z19">
        <v>-2.4888085382484384</v>
      </c>
      <c r="AA19">
        <v>-2.4071957562979232</v>
      </c>
      <c r="AB19">
        <v>-2.2824670831956295</v>
      </c>
      <c r="AC19">
        <v>-2.1146225189364962</v>
      </c>
      <c r="AD19">
        <v>-1.9036620635458308</v>
      </c>
      <c r="AO19" s="24"/>
      <c r="AP19" s="17"/>
    </row>
    <row r="20" spans="1:45">
      <c r="A20" t="s">
        <v>11</v>
      </c>
      <c r="F20" s="3"/>
      <c r="H20" s="18">
        <f xml:space="preserve"> (-4.66)/27.212</f>
        <v>-0.17124797883286785</v>
      </c>
      <c r="I20" s="19">
        <f>I14/27.212+(I13*1.36/627.5096)</f>
        <v>3.1114747227921184E-2</v>
      </c>
      <c r="J20">
        <f>-4.66*23.06+I20*627.5096</f>
        <v>-87.934797412906065</v>
      </c>
      <c r="K20">
        <f>J20/627.5096</f>
        <v>-0.14013299145209263</v>
      </c>
      <c r="Q20" t="s">
        <v>33</v>
      </c>
      <c r="AO20" s="24"/>
      <c r="AS20" s="6"/>
    </row>
    <row r="21" spans="1:45">
      <c r="I21" t="s">
        <v>12</v>
      </c>
      <c r="Q21" t="s">
        <v>9</v>
      </c>
      <c r="AO21" s="24"/>
    </row>
    <row r="22" spans="1:45">
      <c r="Q22" t="s">
        <v>7</v>
      </c>
      <c r="R22">
        <f>L10/2*627.5096</f>
        <v>-277.68717643421462</v>
      </c>
      <c r="AP22" s="17"/>
    </row>
    <row r="23" spans="1:45">
      <c r="Z23" t="s">
        <v>13</v>
      </c>
      <c r="AA23" t="s">
        <v>14</v>
      </c>
      <c r="AB23" t="s">
        <v>15</v>
      </c>
      <c r="AF23" t="s">
        <v>6</v>
      </c>
      <c r="AH23" s="39"/>
      <c r="AI23" s="40"/>
      <c r="AJ23" s="39"/>
      <c r="AK23" s="39"/>
    </row>
    <row r="24" spans="1:45">
      <c r="AA24" t="s">
        <v>20</v>
      </c>
      <c r="AB24" t="s">
        <v>21</v>
      </c>
      <c r="AC24" t="s">
        <v>34</v>
      </c>
      <c r="AD24" t="s">
        <v>37</v>
      </c>
      <c r="AE24" t="s">
        <v>35</v>
      </c>
      <c r="AH24" s="39" t="s">
        <v>191</v>
      </c>
      <c r="AI24" s="39"/>
      <c r="AJ24" s="39"/>
      <c r="AK24" s="39"/>
    </row>
    <row r="25" spans="1:45" ht="18.75">
      <c r="F25" s="5"/>
      <c r="G25" s="5"/>
      <c r="H25" s="5"/>
      <c r="J25" s="7"/>
      <c r="K25" s="7"/>
      <c r="L25" s="7"/>
      <c r="M25" s="7"/>
      <c r="N25" s="8"/>
      <c r="O25" s="8"/>
      <c r="P25" s="8"/>
      <c r="Q25" s="16"/>
      <c r="R25" s="16"/>
      <c r="S25" s="16"/>
      <c r="T25" s="16"/>
      <c r="U25" s="16"/>
      <c r="V25" s="15"/>
      <c r="W25" s="15"/>
      <c r="X25" s="15"/>
      <c r="Y25" s="15"/>
      <c r="Z25" s="8"/>
      <c r="AA25" s="11"/>
      <c r="AB25" s="4"/>
      <c r="AC25" s="8"/>
      <c r="AD25" s="7"/>
      <c r="AE25" s="8"/>
      <c r="AF25" s="4"/>
      <c r="AG25" t="s">
        <v>77</v>
      </c>
      <c r="AH25" s="41" t="s">
        <v>193</v>
      </c>
      <c r="AI25" s="37"/>
      <c r="AJ25" s="37"/>
      <c r="AK25" s="39"/>
    </row>
    <row r="26" spans="1:45">
      <c r="F26" s="5"/>
      <c r="G26" s="5"/>
      <c r="H26" s="5"/>
      <c r="J26" s="7"/>
      <c r="K26" s="7"/>
      <c r="L26" s="7"/>
      <c r="M26" s="7"/>
      <c r="N26" s="8"/>
      <c r="O26" s="8"/>
      <c r="P26" s="8"/>
      <c r="Q26" s="16"/>
      <c r="R26" s="16"/>
      <c r="S26" s="16"/>
      <c r="T26" s="16"/>
      <c r="U26" s="16"/>
      <c r="V26" s="15"/>
      <c r="W26" s="15"/>
      <c r="X26" s="15"/>
      <c r="Y26" s="15"/>
      <c r="Z26" s="8"/>
      <c r="AA26" s="11"/>
      <c r="AB26" s="4"/>
      <c r="AC26" s="8"/>
      <c r="AD26" s="7"/>
      <c r="AE26" s="8"/>
      <c r="AF26" s="4"/>
      <c r="AG26">
        <v>-69.142207283931398</v>
      </c>
      <c r="AH26" s="39" t="s">
        <v>189</v>
      </c>
      <c r="AI26" s="39"/>
      <c r="AJ26" s="39"/>
      <c r="AK26" s="39"/>
    </row>
    <row r="27" spans="1:45">
      <c r="F27" s="5"/>
      <c r="G27" s="5"/>
      <c r="H27" s="5"/>
      <c r="I27" s="5"/>
      <c r="J27" s="7"/>
      <c r="K27" s="7"/>
      <c r="L27" s="7"/>
      <c r="M27" s="7"/>
      <c r="N27" s="8"/>
      <c r="O27" s="8"/>
      <c r="P27" s="8"/>
      <c r="Q27" s="16"/>
      <c r="R27" s="16"/>
      <c r="S27" s="16"/>
      <c r="T27" s="16"/>
      <c r="U27" s="16"/>
      <c r="V27" s="15"/>
      <c r="W27" s="15"/>
      <c r="X27" s="15"/>
      <c r="Y27" s="15"/>
      <c r="Z27" s="8"/>
      <c r="AA27" s="11"/>
      <c r="AB27" s="4"/>
      <c r="AC27" s="8"/>
      <c r="AD27" s="7"/>
      <c r="AE27" s="8"/>
      <c r="AF27" s="4"/>
      <c r="AG27" t="s">
        <v>78</v>
      </c>
      <c r="AH27" s="39" t="s">
        <v>192</v>
      </c>
      <c r="AI27" s="39"/>
      <c r="AJ27" s="39"/>
      <c r="AK27" s="39"/>
    </row>
    <row r="28" spans="1:45">
      <c r="F28" s="5"/>
      <c r="G28" s="5"/>
      <c r="H28" s="5"/>
      <c r="J28" s="7"/>
      <c r="K28" s="7"/>
      <c r="L28" s="7"/>
      <c r="M28" s="7"/>
      <c r="N28" s="8"/>
      <c r="O28" s="8"/>
      <c r="P28" s="8"/>
      <c r="Q28" s="16"/>
      <c r="R28" s="16"/>
      <c r="S28" s="16"/>
      <c r="T28" s="16"/>
      <c r="U28" s="16"/>
      <c r="V28" s="15"/>
      <c r="W28" s="15"/>
      <c r="X28" s="15"/>
      <c r="Y28" s="15"/>
      <c r="Z28" s="8"/>
      <c r="AA28" s="11"/>
      <c r="AB28" s="4"/>
      <c r="AC28" s="8"/>
      <c r="AD28" s="7"/>
      <c r="AE28" s="8"/>
      <c r="AF28" s="4"/>
      <c r="AG28">
        <v>-68.679620411672303</v>
      </c>
    </row>
    <row r="29" spans="1:45">
      <c r="J29" s="7"/>
      <c r="K29" s="7"/>
      <c r="L29" s="7"/>
      <c r="M29" s="7"/>
      <c r="N29" s="8"/>
      <c r="O29" s="8"/>
      <c r="P29" s="8"/>
      <c r="Q29" s="16"/>
      <c r="R29" s="16"/>
      <c r="S29" s="16"/>
      <c r="T29" s="16"/>
      <c r="U29" s="16"/>
      <c r="V29" s="15"/>
      <c r="W29" s="15"/>
      <c r="X29" s="15"/>
      <c r="Y29" s="15"/>
      <c r="Z29" s="8"/>
      <c r="AA29" s="11"/>
      <c r="AB29" s="4"/>
      <c r="AC29" s="8"/>
      <c r="AD29" s="7"/>
      <c r="AE29" s="8"/>
      <c r="AF29" s="4"/>
      <c r="AG29" t="s">
        <v>79</v>
      </c>
    </row>
    <row r="30" spans="1:45">
      <c r="F30" s="5"/>
      <c r="G30" s="5"/>
      <c r="H30" s="5"/>
      <c r="J30" s="7"/>
      <c r="K30" s="7"/>
      <c r="L30" s="7"/>
      <c r="M30" s="7"/>
      <c r="N30" s="8"/>
      <c r="O30" s="8"/>
      <c r="P30" s="8"/>
      <c r="Q30" s="16"/>
      <c r="R30" s="16"/>
      <c r="S30" s="16"/>
      <c r="T30" s="16"/>
      <c r="U30" s="16"/>
      <c r="V30" s="15"/>
      <c r="W30" s="15"/>
      <c r="X30" s="15"/>
      <c r="Y30" s="15"/>
      <c r="Z30" s="8"/>
      <c r="AA30" s="11"/>
      <c r="AB30" s="4"/>
      <c r="AC30" s="8"/>
      <c r="AD30" s="7"/>
      <c r="AE30" s="8"/>
      <c r="AF30" s="4"/>
      <c r="AG30">
        <f>27.2*(AG26-AG28)+AJ27-AI27</f>
        <v>-12.582362925447386</v>
      </c>
      <c r="AJ30" s="6"/>
    </row>
    <row r="31" spans="1:45">
      <c r="A31" s="14" t="s">
        <v>41</v>
      </c>
      <c r="F31" t="s">
        <v>43</v>
      </c>
      <c r="J31" t="s">
        <v>42</v>
      </c>
      <c r="Q31" s="16"/>
      <c r="R31" s="16"/>
      <c r="S31" s="16"/>
      <c r="T31" s="16"/>
      <c r="U31" s="16"/>
      <c r="V31" s="15"/>
      <c r="W31" s="15"/>
      <c r="X31" s="15"/>
      <c r="Y31" s="15"/>
      <c r="Z31" s="8"/>
      <c r="AA31" s="11"/>
      <c r="AB31" s="4"/>
      <c r="AC31" s="8"/>
      <c r="AD31" s="7"/>
      <c r="AE31" s="8"/>
      <c r="AF31" s="4"/>
      <c r="AJ31" s="31"/>
    </row>
    <row r="32" spans="1:45">
      <c r="A32" t="s">
        <v>198</v>
      </c>
      <c r="B32">
        <v>0</v>
      </c>
      <c r="C32">
        <v>-1</v>
      </c>
      <c r="D32">
        <v>-2</v>
      </c>
      <c r="E32">
        <v>-0.5</v>
      </c>
      <c r="F32">
        <v>0</v>
      </c>
      <c r="G32">
        <v>-1</v>
      </c>
      <c r="H32">
        <v>-2</v>
      </c>
      <c r="I32">
        <v>-0.5</v>
      </c>
      <c r="J32">
        <v>0</v>
      </c>
      <c r="K32">
        <v>-1</v>
      </c>
      <c r="L32">
        <v>-2</v>
      </c>
      <c r="M32">
        <v>-0.5</v>
      </c>
      <c r="N32" t="s">
        <v>16</v>
      </c>
      <c r="O32" t="s">
        <v>17</v>
      </c>
      <c r="P32" t="s">
        <v>18</v>
      </c>
      <c r="Q32" s="16"/>
      <c r="R32" s="16"/>
      <c r="S32" s="16"/>
      <c r="T32" s="16"/>
      <c r="U32" s="16"/>
      <c r="V32" s="15"/>
      <c r="W32" s="15"/>
      <c r="X32" s="15"/>
      <c r="Y32" s="15"/>
      <c r="Z32" s="8"/>
      <c r="AA32" s="11"/>
      <c r="AB32" s="4"/>
      <c r="AC32" s="8"/>
      <c r="AD32" s="7"/>
      <c r="AE32" s="8"/>
      <c r="AF32" s="4"/>
      <c r="AH32" s="14"/>
      <c r="AI32" s="17"/>
    </row>
    <row r="33" spans="1:41">
      <c r="A33">
        <v>0</v>
      </c>
      <c r="B33">
        <v>754</v>
      </c>
      <c r="C33">
        <f t="shared" ref="C33:C46" si="1">B33-1</f>
        <v>753</v>
      </c>
      <c r="D33">
        <f t="shared" ref="D33:D46" si="2">B33-2</f>
        <v>752</v>
      </c>
      <c r="E33">
        <f t="shared" ref="E33:E46" si="3">B33-0.5</f>
        <v>753.5</v>
      </c>
      <c r="F33">
        <v>-3885.5039698068799</v>
      </c>
      <c r="G33">
        <v>-3885.3317594619698</v>
      </c>
      <c r="H33">
        <v>-3885.1298792457901</v>
      </c>
      <c r="J33" s="7">
        <f t="shared" ref="J33:M35" si="4">F33-B33*($H$20+$I$20)</f>
        <v>-3779.8435131767501</v>
      </c>
      <c r="K33" s="7">
        <f t="shared" si="4"/>
        <v>-3779.8114360634449</v>
      </c>
      <c r="L33" s="7">
        <f t="shared" si="4"/>
        <v>-3779.7496890788702</v>
      </c>
      <c r="M33" s="7">
        <f t="shared" si="4"/>
        <v>105.59039001432731</v>
      </c>
      <c r="N33" s="8">
        <f t="array" ref="N33:P33">LINEST(TRANSPOSE(J33:L33),TRANSPOSE(B33:D33)^{1,2},TRUE,FALSE)</f>
        <v>1.4834935634780765E-2</v>
      </c>
      <c r="O33" s="8">
        <v>-22.388325114919763</v>
      </c>
      <c r="P33" s="8">
        <v>4667.0553561297293</v>
      </c>
      <c r="Q33" s="26"/>
      <c r="R33" s="26"/>
      <c r="S33" s="26"/>
      <c r="T33" s="26"/>
      <c r="U33" s="16"/>
      <c r="V33" s="15"/>
      <c r="W33" s="15"/>
      <c r="X33" s="15"/>
      <c r="Y33" s="15"/>
      <c r="Z33" s="8">
        <f>B33</f>
        <v>754</v>
      </c>
      <c r="AA33" s="11">
        <f>-(O33/(2*N33))</f>
        <v>754.58113422581846</v>
      </c>
      <c r="AB33" s="4">
        <f>N33*AA33^2+(O33)*AA33+P33</f>
        <v>-3779.8485231865361</v>
      </c>
      <c r="AC33" s="8">
        <f>1/2/N33/27.2/6240000000000000000</f>
        <v>1.9857786827956406E-19</v>
      </c>
      <c r="AD33" s="7">
        <f>27.2*(-O33-I$20-2*Z33*N33)</f>
        <v>-0.37733389196542361</v>
      </c>
      <c r="AE33" s="8">
        <f>Z33-AA33</f>
        <v>-0.58113422581845953</v>
      </c>
      <c r="AF33" s="4">
        <f>AB33*627.5096</f>
        <v>-2371891.2348453738</v>
      </c>
      <c r="AG33" s="7">
        <f>AG$30*(13-A33)+AF33/23+A33*0.15</f>
        <v>-103289.27658087315</v>
      </c>
      <c r="AH33" s="3">
        <f>AG33-MIN(AG$33:AG$46)</f>
        <v>0</v>
      </c>
      <c r="AK33" s="8"/>
      <c r="AN33" s="8"/>
      <c r="AO33" s="8"/>
    </row>
    <row r="34" spans="1:41">
      <c r="A34">
        <v>1</v>
      </c>
      <c r="B34">
        <f>B33+1</f>
        <v>755</v>
      </c>
      <c r="C34">
        <f t="shared" si="1"/>
        <v>754</v>
      </c>
      <c r="D34">
        <f t="shared" si="2"/>
        <v>753</v>
      </c>
      <c r="E34">
        <f t="shared" si="3"/>
        <v>754.5</v>
      </c>
      <c r="F34">
        <v>-3886.1100700705601</v>
      </c>
      <c r="G34">
        <v>-3885.9376713811898</v>
      </c>
      <c r="H34">
        <v>-3885.7348767971498</v>
      </c>
      <c r="J34" s="7">
        <f t="shared" si="4"/>
        <v>-3780.3094802088253</v>
      </c>
      <c r="K34" s="7">
        <f t="shared" si="4"/>
        <v>-3780.27721475106</v>
      </c>
      <c r="L34" s="7">
        <f t="shared" si="4"/>
        <v>-3780.214553398625</v>
      </c>
      <c r="M34" s="7">
        <f t="shared" si="4"/>
        <v>105.73052324593226</v>
      </c>
      <c r="N34" s="8">
        <f t="array" ref="N34:P34">LINEST(TRANSPOSE(J34:L34),TRANSPOSE(B34:D34)^{1,2},TRUE,FALSE)</f>
        <v>1.5197947334853617E-2</v>
      </c>
      <c r="O34" s="8">
        <v>-22.965967986059443</v>
      </c>
      <c r="P34" s="8">
        <v>4895.7864197161216</v>
      </c>
      <c r="Q34" s="26"/>
      <c r="R34" s="26"/>
      <c r="S34" s="26"/>
      <c r="T34" s="26"/>
      <c r="U34" s="16"/>
      <c r="V34" s="15"/>
      <c r="W34" s="15"/>
      <c r="X34" s="15"/>
      <c r="Y34" s="15"/>
      <c r="Z34" s="8">
        <f>B34</f>
        <v>755</v>
      </c>
      <c r="AA34" s="11">
        <f>-(O34/(2*N34))</f>
        <v>755.56150709218934</v>
      </c>
      <c r="AB34" s="4">
        <f>N34*AA34^2+(O34)*AA34+P34</f>
        <v>-3780.3142719729003</v>
      </c>
      <c r="AC34" s="8">
        <f>1/2/N34/27.2/6240000000000000000</f>
        <v>1.9383472185506691E-19</v>
      </c>
      <c r="AD34" s="7">
        <f>27.2*(-O34-I$20-2*Z34*N34)</f>
        <v>-0.38208484089032024</v>
      </c>
      <c r="AE34" s="8">
        <f>Z34-AA34</f>
        <v>-0.5615070921893448</v>
      </c>
      <c r="AF34" s="4">
        <f>AB34*627.5096</f>
        <v>-2372183.4966800059</v>
      </c>
      <c r="AG34" s="7">
        <f t="shared" ref="AG34:AG35" si="5">AG$30*(13-A34)+AF34/23+A34*0.15</f>
        <v>-103289.25125423606</v>
      </c>
      <c r="AH34" s="3">
        <f>AG34-MIN(AG$33:AG$46)</f>
        <v>2.5326637085527182E-2</v>
      </c>
      <c r="AK34" s="8"/>
      <c r="AN34" s="8"/>
      <c r="AO34" s="8"/>
    </row>
    <row r="35" spans="1:41">
      <c r="A35">
        <v>2</v>
      </c>
      <c r="B35">
        <f t="shared" ref="B35:B47" si="6">B34+1</f>
        <v>756</v>
      </c>
      <c r="C35">
        <f t="shared" si="1"/>
        <v>755</v>
      </c>
      <c r="D35">
        <f t="shared" si="2"/>
        <v>754</v>
      </c>
      <c r="E35">
        <f t="shared" si="3"/>
        <v>755.5</v>
      </c>
      <c r="F35" s="17">
        <v>-3886.7161144062202</v>
      </c>
      <c r="G35">
        <v>-3886.5432687133398</v>
      </c>
      <c r="H35">
        <v>-3886.33956655254</v>
      </c>
      <c r="J35" s="7">
        <f t="shared" si="4"/>
        <v>-3780.7753913128804</v>
      </c>
      <c r="K35" s="7">
        <f t="shared" si="4"/>
        <v>-3780.742678851605</v>
      </c>
      <c r="L35" s="7">
        <f t="shared" si="4"/>
        <v>-3780.6791099224101</v>
      </c>
      <c r="M35" s="7"/>
      <c r="N35" s="8">
        <f t="array" ref="N35:P35">LINEST(TRANSPOSE(J35:L35),TRANSPOSE(B35:D35)^{1,2},TRUE,FALSE)</f>
        <v>1.5428233959708977E-2</v>
      </c>
      <c r="O35" s="8">
        <v>-23.344773974395686</v>
      </c>
      <c r="P35" s="8">
        <v>5050.082608934028</v>
      </c>
      <c r="Q35" s="16"/>
      <c r="R35" s="16"/>
      <c r="S35" s="16"/>
      <c r="T35" s="16"/>
      <c r="U35" s="16"/>
      <c r="V35" s="15"/>
      <c r="W35" s="15"/>
      <c r="X35" s="15"/>
      <c r="Y35" s="15"/>
      <c r="Z35" s="8">
        <f>B35</f>
        <v>756</v>
      </c>
      <c r="AA35" s="11">
        <f>-(O35/(2*N35))</f>
        <v>756.56014924847693</v>
      </c>
      <c r="AB35" s="4">
        <f>N35*AA35^2+(O35)*AA35+P35</f>
        <v>-3780.7802321863528</v>
      </c>
      <c r="AC35" s="8">
        <f>1/2/N35/27.2/6240000000000000000</f>
        <v>1.909414844312404E-19</v>
      </c>
      <c r="AD35" s="7">
        <f>27.2*(-O35-I$20-2*Z35*N35)</f>
        <v>-0.37619014161205655</v>
      </c>
      <c r="AE35" s="8">
        <f>Z35-AA35</f>
        <v>-0.56014924847693237</v>
      </c>
      <c r="AF35" s="4">
        <f>AB35*627.5096</f>
        <v>-2372475.8911871654</v>
      </c>
      <c r="AG35" s="7">
        <f t="shared" si="5"/>
        <v>-103289.23169596972</v>
      </c>
      <c r="AH35" s="3">
        <f>AG35-MIN(AG$33:AG$46)</f>
        <v>4.4884903429192491E-2</v>
      </c>
      <c r="AK35" s="8"/>
      <c r="AO35" s="23"/>
    </row>
    <row r="36" spans="1:41">
      <c r="A36">
        <v>3</v>
      </c>
      <c r="B36">
        <f t="shared" si="6"/>
        <v>757</v>
      </c>
      <c r="C36">
        <f t="shared" si="1"/>
        <v>756</v>
      </c>
      <c r="D36">
        <f t="shared" si="2"/>
        <v>755</v>
      </c>
      <c r="E36">
        <f t="shared" si="3"/>
        <v>756.5</v>
      </c>
      <c r="G36" s="17"/>
      <c r="J36" s="7"/>
      <c r="K36" s="7"/>
      <c r="L36" s="7"/>
      <c r="M36" s="7"/>
      <c r="N36" s="8"/>
      <c r="O36" s="8"/>
      <c r="P36" s="8"/>
      <c r="Q36" s="16"/>
      <c r="R36" s="16"/>
      <c r="S36" s="16"/>
      <c r="T36" s="16"/>
      <c r="U36" s="16"/>
      <c r="V36" s="15"/>
      <c r="W36" s="15"/>
      <c r="X36" s="15"/>
      <c r="Y36" s="15"/>
      <c r="Z36" s="8">
        <f>B36</f>
        <v>757</v>
      </c>
      <c r="AA36" s="11" t="e">
        <f>-(O36/(2*N36))</f>
        <v>#DIV/0!</v>
      </c>
      <c r="AB36" s="4" t="e">
        <f>N36*AA36^2+(O36)*AA36+P36</f>
        <v>#DIV/0!</v>
      </c>
      <c r="AC36" s="8" t="e">
        <f>1/2/N36/27.2/6240000000000000000</f>
        <v>#DIV/0!</v>
      </c>
      <c r="AD36" s="7">
        <f>27.2*(-O36-I$20-2*Z36*N36)</f>
        <v>-0.84632112459945619</v>
      </c>
      <c r="AE36" s="8" t="e">
        <f>Z36-AA36</f>
        <v>#DIV/0!</v>
      </c>
      <c r="AF36" s="4" t="e">
        <f>AB36*627.5096</f>
        <v>#DIV/0!</v>
      </c>
      <c r="AG36" s="7"/>
      <c r="AH36" s="3"/>
      <c r="AI36" s="31">
        <v>-0.08</v>
      </c>
      <c r="AK36" s="21"/>
      <c r="AL36" s="7"/>
      <c r="AO36" s="8"/>
    </row>
    <row r="37" spans="1:41">
      <c r="A37">
        <v>4</v>
      </c>
      <c r="B37">
        <f t="shared" si="6"/>
        <v>758</v>
      </c>
      <c r="C37">
        <f t="shared" si="1"/>
        <v>757</v>
      </c>
      <c r="D37">
        <f t="shared" si="2"/>
        <v>756</v>
      </c>
      <c r="E37">
        <f t="shared" si="3"/>
        <v>757.5</v>
      </c>
      <c r="F37">
        <v>-3887.9280438842302</v>
      </c>
      <c r="G37">
        <v>-3887.7552156104098</v>
      </c>
      <c r="H37">
        <v>-3887.5494994010901</v>
      </c>
      <c r="J37" s="7">
        <f>F37-B37*($H$20+$I$20)</f>
        <v>-3781.7070543276805</v>
      </c>
      <c r="K37" s="7">
        <f>G37-C37*($H$20+$I$20)</f>
        <v>-3781.674359285465</v>
      </c>
      <c r="L37" s="7">
        <f>H37-D37*($H$20+$I$20)</f>
        <v>-3781.6087763077503</v>
      </c>
      <c r="M37" s="7">
        <f>I37-E37*($H$20+$I$20)</f>
        <v>106.15092294074711</v>
      </c>
      <c r="N37" s="8">
        <f t="array" ref="N37:P37">LINEST(TRANSPOSE(J37:L37),TRANSPOSE(B37:D37)^{1,2},TRUE,FALSE)</f>
        <v>1.6443967749635722E-2</v>
      </c>
      <c r="O37" s="8">
        <v>-24.945306182913551</v>
      </c>
      <c r="P37" s="8">
        <v>5678.7231462190939</v>
      </c>
      <c r="Q37" s="16"/>
      <c r="R37" s="16"/>
      <c r="S37" s="16"/>
      <c r="T37" s="16"/>
      <c r="U37" s="16"/>
      <c r="V37" s="15"/>
      <c r="W37" s="15"/>
      <c r="X37" s="15"/>
      <c r="Y37" s="15"/>
      <c r="Z37" s="8">
        <f>B37</f>
        <v>758</v>
      </c>
      <c r="AA37" s="11">
        <f>-(O37/(2*N37))</f>
        <v>758.49413483148419</v>
      </c>
      <c r="AB37" s="4">
        <f>N37*AA37^2+(O37)*AA37+P37</f>
        <v>-3781.711069438652</v>
      </c>
      <c r="AC37" s="8">
        <f>1/2/N37/27.2/6240000000000000000</f>
        <v>1.7914714619192595E-19</v>
      </c>
      <c r="AD37" s="7">
        <f>27.2*(-O37-I$20-2*Z37*N37)</f>
        <v>-0.40429189912980518</v>
      </c>
      <c r="AE37" s="8">
        <f>Z37-AA37</f>
        <v>-0.49413483148418891</v>
      </c>
      <c r="AF37" s="4">
        <f>AB37*627.5096</f>
        <v>-2373060.0004990208</v>
      </c>
      <c r="AG37" s="7">
        <f>AG$30*(13-A37)+AF37/23+A37*0.15</f>
        <v>-103289.16302715601</v>
      </c>
      <c r="AH37" s="3">
        <f>AG37-MIN(AG$33:AG$46)</f>
        <v>0.11355371713580098</v>
      </c>
      <c r="AI37" t="s">
        <v>196</v>
      </c>
      <c r="AK37" s="21"/>
      <c r="AL37" s="7"/>
      <c r="AO37" s="8"/>
    </row>
    <row r="38" spans="1:41">
      <c r="A38">
        <v>5</v>
      </c>
      <c r="B38">
        <f t="shared" si="6"/>
        <v>759</v>
      </c>
      <c r="C38">
        <f t="shared" si="1"/>
        <v>758</v>
      </c>
      <c r="D38">
        <f t="shared" si="2"/>
        <v>757</v>
      </c>
      <c r="E38">
        <f t="shared" si="3"/>
        <v>758.5</v>
      </c>
      <c r="J38" s="7"/>
      <c r="K38" s="7"/>
      <c r="L38" s="7"/>
      <c r="M38" s="7"/>
      <c r="N38" s="8"/>
      <c r="O38" s="8"/>
      <c r="P38" s="8"/>
      <c r="Q38" s="16"/>
      <c r="R38" s="16"/>
      <c r="S38" s="16"/>
      <c r="T38" s="16"/>
      <c r="U38" s="16"/>
      <c r="V38" s="15"/>
      <c r="W38" s="15"/>
      <c r="X38" s="15"/>
      <c r="Y38" s="15"/>
      <c r="Z38" s="8"/>
      <c r="AA38" s="11"/>
      <c r="AB38" s="4"/>
      <c r="AC38" s="8"/>
      <c r="AD38" s="7"/>
      <c r="AE38" s="8"/>
      <c r="AF38" s="4"/>
      <c r="AG38" s="7"/>
      <c r="AH38" s="3"/>
      <c r="AK38" s="21"/>
      <c r="AL38" s="7"/>
      <c r="AO38" s="8"/>
    </row>
    <row r="39" spans="1:41">
      <c r="A39">
        <v>6</v>
      </c>
      <c r="B39">
        <f t="shared" si="6"/>
        <v>760</v>
      </c>
      <c r="C39">
        <f t="shared" si="1"/>
        <v>759</v>
      </c>
      <c r="D39">
        <f t="shared" si="2"/>
        <v>758</v>
      </c>
      <c r="E39">
        <f t="shared" si="3"/>
        <v>759.5</v>
      </c>
      <c r="F39">
        <v>-3889.13777179099</v>
      </c>
      <c r="G39">
        <v>-3888.9649174676401</v>
      </c>
      <c r="H39">
        <v>-3888.7574289477502</v>
      </c>
      <c r="J39" s="7">
        <f t="shared" ref="J39:M40" si="7">F39-B39*($H$20+$I$20)</f>
        <v>-3782.6365157712307</v>
      </c>
      <c r="K39" s="7">
        <f t="shared" si="7"/>
        <v>-3782.6037946794854</v>
      </c>
      <c r="L39" s="7">
        <f t="shared" si="7"/>
        <v>-3782.5364393912005</v>
      </c>
      <c r="M39" s="7">
        <f t="shared" si="7"/>
        <v>106.43118940395699</v>
      </c>
      <c r="N39" s="8">
        <f t="array" ref="N39:P39">LINEST(TRANSPOSE(J39:L39),TRANSPOSE(B39:D39)^{1,2},TRUE,FALSE)</f>
        <v>1.7317098269818209E-2</v>
      </c>
      <c r="O39" s="8">
        <v>-26.337393363599173</v>
      </c>
      <c r="P39" s="8">
        <v>6231.4264799171451</v>
      </c>
      <c r="Q39" s="16"/>
      <c r="R39" s="16"/>
      <c r="S39" s="16"/>
      <c r="T39" s="16"/>
      <c r="U39" s="16"/>
      <c r="V39" s="15"/>
      <c r="W39" s="15"/>
      <c r="X39" s="15"/>
      <c r="Y39" s="15"/>
      <c r="Z39" s="8">
        <f>B39</f>
        <v>760</v>
      </c>
      <c r="AA39" s="11">
        <f>-(O39/(2*N39))</f>
        <v>760.44476254726646</v>
      </c>
      <c r="AB39" s="4">
        <f>N39*AA39^2+(O39)*AA39+P39</f>
        <v>-3782.6399413309173</v>
      </c>
      <c r="AC39" s="8">
        <f>1/2/N39/27.2/6240000000000000000</f>
        <v>1.7011452198973006E-19</v>
      </c>
      <c r="AD39" s="7">
        <f>27.2*(-O39-I$20-2*Z39*N39)</f>
        <v>-0.4273325020659911</v>
      </c>
      <c r="AE39" s="8">
        <f>Z39-AA39</f>
        <v>-0.44476254726646403</v>
      </c>
      <c r="AF39" s="4">
        <f>AB39*627.5096</f>
        <v>-2373642.8765285872</v>
      </c>
      <c r="AG39" s="7">
        <f>AG$30*(13-A39)+AF39/23+A39*0.15</f>
        <v>-103289.04073737323</v>
      </c>
      <c r="AH39" s="3">
        <f>AG39-MIN(AG$33:AG$46)</f>
        <v>0.23584349991870113</v>
      </c>
      <c r="AK39" s="21"/>
      <c r="AL39" s="7"/>
      <c r="AO39" s="8"/>
    </row>
    <row r="40" spans="1:41">
      <c r="A40" s="14">
        <v>7</v>
      </c>
      <c r="B40">
        <f t="shared" si="6"/>
        <v>761</v>
      </c>
      <c r="C40">
        <f t="shared" si="1"/>
        <v>760</v>
      </c>
      <c r="D40">
        <f t="shared" si="2"/>
        <v>759</v>
      </c>
      <c r="E40">
        <f t="shared" si="3"/>
        <v>760.5</v>
      </c>
      <c r="F40">
        <v>-3889.7294638134599</v>
      </c>
      <c r="G40">
        <v>-3889.5568435714199</v>
      </c>
      <c r="J40" s="7">
        <f t="shared" si="7"/>
        <v>-3783.0880745620957</v>
      </c>
      <c r="K40" s="7">
        <f t="shared" si="7"/>
        <v>-3783.0555875516602</v>
      </c>
      <c r="L40" s="7">
        <f t="shared" si="7"/>
        <v>106.36112278815453</v>
      </c>
      <c r="M40" s="7">
        <f t="shared" si="7"/>
        <v>106.57132263556194</v>
      </c>
      <c r="N40" s="8">
        <f t="array" ref="N40:P40">LINEST(TRANSPOSE(J40:L40),TRANSPOSE(B40:D40)^{1,2},TRUE,FALSE)</f>
        <v>1944.6921116652215</v>
      </c>
      <c r="O40" s="8">
        <v>-2957876.7343298113</v>
      </c>
      <c r="P40" s="8">
        <v>1124728371.3372374</v>
      </c>
      <c r="Q40" s="16"/>
      <c r="R40" s="16"/>
      <c r="S40" s="16"/>
      <c r="T40" s="16"/>
      <c r="U40" s="16"/>
      <c r="V40" s="15"/>
      <c r="W40" s="15"/>
      <c r="X40" s="15"/>
      <c r="Y40" s="15"/>
      <c r="Z40" s="8">
        <f>B40</f>
        <v>761</v>
      </c>
      <c r="AA40" s="11">
        <f>-(O40/(2*N40))</f>
        <v>760.50000835273852</v>
      </c>
      <c r="AB40" s="4">
        <f>N40*AA40^2+(O40)*AA40+P40</f>
        <v>-4269.2448585033417</v>
      </c>
      <c r="AC40" s="8">
        <f>1/2/N40/27.2/6240000000000000000</f>
        <v>1.514836141283449E-24</v>
      </c>
      <c r="AD40" s="7">
        <f>27.2*(-O40-I$20-2*Z40*N40)</f>
        <v>-52895.588111761957</v>
      </c>
      <c r="AE40" s="8">
        <f>Z40-AA40</f>
        <v>0.49999164726148138</v>
      </c>
      <c r="AF40" s="4">
        <f>AB40*627.5096</f>
        <v>-2678992.1334614884</v>
      </c>
      <c r="AG40" s="7"/>
      <c r="AH40" s="3"/>
      <c r="AK40" s="21"/>
      <c r="AL40" s="7"/>
      <c r="AO40" s="8"/>
    </row>
    <row r="41" spans="1:41">
      <c r="A41">
        <v>8</v>
      </c>
      <c r="B41">
        <f t="shared" si="6"/>
        <v>762</v>
      </c>
      <c r="C41">
        <f t="shared" si="1"/>
        <v>761</v>
      </c>
      <c r="D41">
        <f t="shared" si="2"/>
        <v>760</v>
      </c>
      <c r="E41">
        <f t="shared" si="3"/>
        <v>761.5</v>
      </c>
      <c r="J41" s="7"/>
      <c r="K41" s="7"/>
      <c r="L41" s="7"/>
      <c r="M41" s="7"/>
      <c r="N41" s="8"/>
      <c r="O41" s="8"/>
      <c r="P41" s="8"/>
      <c r="Q41" s="16"/>
      <c r="R41" s="16"/>
      <c r="S41" s="16"/>
      <c r="T41" s="16"/>
      <c r="U41" s="16"/>
      <c r="V41" s="15"/>
      <c r="W41" s="15"/>
      <c r="X41" s="15"/>
      <c r="Y41" s="15"/>
      <c r="Z41" s="8"/>
      <c r="AA41" s="11"/>
      <c r="AB41" s="4"/>
      <c r="AC41" s="8"/>
      <c r="AD41" s="7"/>
      <c r="AE41" s="8"/>
      <c r="AF41" s="4"/>
      <c r="AG41" s="7"/>
      <c r="AH41" s="3"/>
      <c r="AK41" s="8"/>
      <c r="AN41" s="8"/>
      <c r="AO41" s="8"/>
    </row>
    <row r="42" spans="1:41" ht="15">
      <c r="A42">
        <v>9</v>
      </c>
      <c r="B42">
        <f t="shared" si="6"/>
        <v>763</v>
      </c>
      <c r="C42">
        <f t="shared" si="1"/>
        <v>762</v>
      </c>
      <c r="D42">
        <f t="shared" si="2"/>
        <v>761</v>
      </c>
      <c r="E42">
        <f t="shared" si="3"/>
        <v>762.5</v>
      </c>
      <c r="F42">
        <v>-3890.9469578431699</v>
      </c>
      <c r="G42" s="29">
        <v>-3890.77501458197</v>
      </c>
      <c r="H42">
        <v>-3890.5670360438498</v>
      </c>
      <c r="J42" s="7">
        <f t="shared" ref="J42:M43" si="8">F42-B42*($H$20+$I$20)</f>
        <v>-3784.0253021285957</v>
      </c>
      <c r="K42" s="7">
        <f t="shared" si="8"/>
        <v>-3783.9934920990008</v>
      </c>
      <c r="L42" s="7">
        <f t="shared" si="8"/>
        <v>-3783.9256467924856</v>
      </c>
      <c r="M42" s="7">
        <f t="shared" si="8"/>
        <v>106.85158909877184</v>
      </c>
      <c r="N42" s="8">
        <f t="array" ref="N42:P42">LINEST(TRANSPOSE(J42:L42),TRANSPOSE(B42:D42)^{1,2},TRUE,FALSE)</f>
        <v>1.8017638460148692E-2</v>
      </c>
      <c r="O42" s="8">
        <v>-27.508708681321668</v>
      </c>
      <c r="P42" s="8">
        <v>6715.8088570135315</v>
      </c>
      <c r="Q42" s="16"/>
      <c r="R42" s="16"/>
      <c r="S42" s="16"/>
      <c r="T42" s="16"/>
      <c r="U42" s="16"/>
      <c r="V42" s="15"/>
      <c r="W42" s="15"/>
      <c r="X42" s="15"/>
      <c r="Y42" s="15"/>
      <c r="Z42" s="8">
        <f t="shared" ref="Z42:Z47" si="9">B42</f>
        <v>763</v>
      </c>
      <c r="AA42" s="11">
        <f t="shared" ref="AA42:AA47" si="10">-(O42/(2*N42))</f>
        <v>763.38274691673018</v>
      </c>
      <c r="AB42" s="4">
        <f t="shared" ref="AB42:AB47" si="11">N42*AA42^2+(O42)*AA42+P42</f>
        <v>-3784.0279416261892</v>
      </c>
      <c r="AC42" s="8">
        <f t="shared" ref="AC42:AC47" si="12">1/2/N42/27.2/6240000000000000000</f>
        <v>1.635003333502894E-19</v>
      </c>
      <c r="AD42" s="7">
        <f t="shared" ref="AD42:AD47" si="13">27.2*(-O42-I$20-2*Z42*N42)</f>
        <v>-0.47116808573386493</v>
      </c>
      <c r="AE42" s="8">
        <f t="shared" ref="AE42:AE47" si="14">Z42-AA42</f>
        <v>-0.38274691673018424</v>
      </c>
      <c r="AF42" s="4">
        <f t="shared" ref="AF42:AF47" si="15">AB42*627.5096</f>
        <v>-2374513.860038673</v>
      </c>
      <c r="AG42" s="7">
        <f t="shared" ref="AG42:AG44" si="16">AG$30*(13-A42)+AF42/23+A42*0.15</f>
        <v>-103288.71249686148</v>
      </c>
      <c r="AH42" s="3">
        <f>AG42-MIN(AG$33:AG$46)</f>
        <v>0.56408401166845579</v>
      </c>
      <c r="AK42" s="8"/>
      <c r="AN42" s="8"/>
      <c r="AO42" s="8"/>
    </row>
    <row r="43" spans="1:41">
      <c r="A43">
        <v>10</v>
      </c>
      <c r="B43">
        <f t="shared" si="6"/>
        <v>764</v>
      </c>
      <c r="C43">
        <f t="shared" si="1"/>
        <v>763</v>
      </c>
      <c r="D43">
        <f t="shared" si="2"/>
        <v>762</v>
      </c>
      <c r="E43">
        <f t="shared" si="3"/>
        <v>763.5</v>
      </c>
      <c r="F43">
        <v>-3891.5492975058401</v>
      </c>
      <c r="G43">
        <v>-3891.3776326943698</v>
      </c>
      <c r="H43">
        <v>-3891.1696435415402</v>
      </c>
      <c r="J43" s="7">
        <f t="shared" si="8"/>
        <v>-3784.4875085596609</v>
      </c>
      <c r="K43" s="7">
        <f t="shared" si="8"/>
        <v>-3784.4559769797957</v>
      </c>
      <c r="L43" s="7">
        <f t="shared" si="8"/>
        <v>-3784.388121058571</v>
      </c>
      <c r="M43" s="7">
        <f t="shared" si="8"/>
        <v>106.99172233037679</v>
      </c>
      <c r="N43" s="8">
        <f t="array" ref="N43:P43">LINEST(TRANSPOSE(J43:L43),TRANSPOSE(B43:D43)^{1,2},TRUE,FALSE)</f>
        <v>1.8162170679709745E-2</v>
      </c>
      <c r="O43" s="8">
        <v>-27.765166207782052</v>
      </c>
      <c r="P43" s="8">
        <v>6826.9130971219674</v>
      </c>
      <c r="Q43" s="16"/>
      <c r="R43" s="16"/>
      <c r="S43" s="16"/>
      <c r="T43" s="16"/>
      <c r="U43" s="16"/>
      <c r="V43" s="15"/>
      <c r="W43" s="15"/>
      <c r="X43" s="15"/>
      <c r="Y43" s="15"/>
      <c r="Z43" s="8">
        <f t="shared" si="9"/>
        <v>764</v>
      </c>
      <c r="AA43" s="11">
        <f t="shared" si="10"/>
        <v>764.36805647907761</v>
      </c>
      <c r="AB43" s="4">
        <f t="shared" si="11"/>
        <v>-3784.4899689084959</v>
      </c>
      <c r="AC43" s="8">
        <f t="shared" si="12"/>
        <v>1.6219921871510491E-19</v>
      </c>
      <c r="AD43" s="7">
        <f t="shared" si="13"/>
        <v>-0.48267319475219211</v>
      </c>
      <c r="AE43" s="8">
        <f t="shared" si="14"/>
        <v>-0.36805647907760886</v>
      </c>
      <c r="AF43" s="4">
        <f t="shared" si="15"/>
        <v>-2374803.7865937827</v>
      </c>
      <c r="AG43" s="7">
        <f t="shared" si="16"/>
        <v>-103288.58563633212</v>
      </c>
      <c r="AH43" s="3">
        <f>AG43-MIN(AG$33:AG$46)</f>
        <v>0.6909445410274202</v>
      </c>
      <c r="AK43" s="7"/>
      <c r="AN43" s="7"/>
      <c r="AO43" s="8"/>
    </row>
    <row r="44" spans="1:41">
      <c r="A44">
        <v>11</v>
      </c>
      <c r="B44">
        <f t="shared" si="6"/>
        <v>765</v>
      </c>
      <c r="C44">
        <f t="shared" si="1"/>
        <v>764</v>
      </c>
      <c r="D44">
        <f t="shared" si="2"/>
        <v>763</v>
      </c>
      <c r="E44">
        <f t="shared" si="3"/>
        <v>764.5</v>
      </c>
      <c r="F44">
        <v>-3892.1501244800302</v>
      </c>
      <c r="G44">
        <v>-3891.9783963006998</v>
      </c>
      <c r="H44">
        <v>-3891.7700351285198</v>
      </c>
      <c r="J44" s="7">
        <f>F44-B44*($H$20+$I$20)</f>
        <v>-3784.948202302246</v>
      </c>
      <c r="K44" s="7">
        <f>G44-C44*($H$20+$I$20)</f>
        <v>-3784.9166073545207</v>
      </c>
      <c r="L44" s="7">
        <f>H44-D44*($H$20+$I$20)</f>
        <v>-3784.8483794139456</v>
      </c>
      <c r="M44" s="7">
        <f>I44-E44*($H$20+$I$20)</f>
        <v>107.13185556198174</v>
      </c>
      <c r="N44" s="8">
        <f t="array" ref="N44:P44">LINEST(TRANSPOSE(J44:L44),TRANSPOSE(B44:D44)^{1,2},TRUE,FALSE)</f>
        <v>1.8316496424853862E-2</v>
      </c>
      <c r="O44" s="8">
        <v>-28.037517981326914</v>
      </c>
      <c r="P44" s="8">
        <v>6944.4814331777397</v>
      </c>
      <c r="Q44" s="16"/>
      <c r="R44" s="16"/>
      <c r="S44" s="16"/>
      <c r="T44" s="16"/>
      <c r="U44" s="16"/>
      <c r="V44" s="15"/>
      <c r="W44" s="15"/>
      <c r="X44" s="15"/>
      <c r="Y44" s="15"/>
      <c r="Z44" s="8">
        <f t="shared" si="9"/>
        <v>765</v>
      </c>
      <c r="AA44" s="11">
        <f t="shared" si="10"/>
        <v>765.3624724672369</v>
      </c>
      <c r="AB44" s="4">
        <f t="shared" si="11"/>
        <v>-3784.9506088387498</v>
      </c>
      <c r="AC44" s="8">
        <f t="shared" si="12"/>
        <v>1.6083260827228915E-19</v>
      </c>
      <c r="AD44" s="7">
        <f t="shared" si="13"/>
        <v>-0.48514724922573577</v>
      </c>
      <c r="AE44" s="8">
        <f t="shared" si="14"/>
        <v>-0.36247246723689841</v>
      </c>
      <c r="AF44" s="4">
        <f t="shared" si="15"/>
        <v>-2375092.8425721601</v>
      </c>
      <c r="AG44" s="7">
        <f t="shared" si="16"/>
        <v>-103288.42092464046</v>
      </c>
      <c r="AH44" s="3">
        <f>AG44-MIN(AG$33:AG$46)</f>
        <v>0.85565623268485069</v>
      </c>
      <c r="AK44" s="8"/>
      <c r="AN44" s="7"/>
      <c r="AO44" s="8"/>
    </row>
    <row r="45" spans="1:41">
      <c r="A45">
        <v>12</v>
      </c>
      <c r="B45">
        <f t="shared" si="6"/>
        <v>766</v>
      </c>
      <c r="C45">
        <f t="shared" si="1"/>
        <v>765</v>
      </c>
      <c r="D45">
        <f t="shared" si="2"/>
        <v>764</v>
      </c>
      <c r="E45">
        <f t="shared" si="3"/>
        <v>765.5</v>
      </c>
      <c r="J45" s="7">
        <f t="shared" ref="J45:M47" si="17">F45-B45*($H$20+$I$20)</f>
        <v>107.34205540938915</v>
      </c>
      <c r="K45" s="7">
        <f t="shared" si="17"/>
        <v>107.20192217778421</v>
      </c>
      <c r="L45" s="7">
        <f t="shared" si="17"/>
        <v>107.06178894617926</v>
      </c>
      <c r="M45" s="7">
        <f t="shared" si="17"/>
        <v>107.27198879358667</v>
      </c>
      <c r="N45" s="8">
        <f t="array" ref="N45:P45">LINEST(TRANSPOSE(J45:L45),TRANSPOSE(B45:D45)^{1,2},TRUE,FALSE)</f>
        <v>-7.1052964197490108E-15</v>
      </c>
      <c r="O45" s="8">
        <v>0.14013323161581306</v>
      </c>
      <c r="P45" s="8">
        <v>-4.1545939509473851E-9</v>
      </c>
      <c r="Q45" s="26"/>
      <c r="R45" s="26"/>
      <c r="S45" s="26"/>
      <c r="T45" s="26"/>
      <c r="U45" s="16"/>
      <c r="V45" s="15"/>
      <c r="W45" s="15"/>
      <c r="X45" s="15"/>
      <c r="Y45" s="15"/>
      <c r="Z45" s="8">
        <f t="shared" si="9"/>
        <v>766</v>
      </c>
      <c r="AA45" s="11">
        <f t="shared" si="10"/>
        <v>9861181246873.5234</v>
      </c>
      <c r="AB45" s="4">
        <f t="shared" si="11"/>
        <v>690939597836.81982</v>
      </c>
      <c r="AC45" s="8">
        <f t="shared" si="12"/>
        <v>-4.1460478499268128E-7</v>
      </c>
      <c r="AD45" s="7">
        <f t="shared" si="13"/>
        <v>-4.6579450242534906</v>
      </c>
      <c r="AE45" s="8">
        <f t="shared" si="14"/>
        <v>-9861181246107.5234</v>
      </c>
      <c r="AF45" s="4">
        <f t="shared" si="15"/>
        <v>433571230662743.69</v>
      </c>
      <c r="AG45" s="7"/>
      <c r="AH45" s="3"/>
      <c r="AK45" s="8"/>
      <c r="AN45" s="7"/>
      <c r="AO45" s="8"/>
    </row>
    <row r="46" spans="1:41">
      <c r="A46">
        <v>13</v>
      </c>
      <c r="B46">
        <f t="shared" si="6"/>
        <v>767</v>
      </c>
      <c r="C46">
        <f t="shared" si="1"/>
        <v>766</v>
      </c>
      <c r="D46">
        <f t="shared" si="2"/>
        <v>765</v>
      </c>
      <c r="E46">
        <f t="shared" si="3"/>
        <v>766.5</v>
      </c>
      <c r="F46">
        <v>-3893.3499674874101</v>
      </c>
      <c r="G46">
        <v>-3893.1786091348399</v>
      </c>
      <c r="H46">
        <v>-3892.9699445076799</v>
      </c>
      <c r="J46" s="7">
        <f t="shared" si="17"/>
        <v>-3785.8677788464161</v>
      </c>
      <c r="K46" s="7">
        <f t="shared" si="17"/>
        <v>-3785.8365537254508</v>
      </c>
      <c r="L46" s="7">
        <f t="shared" si="17"/>
        <v>-3785.7680223298958</v>
      </c>
      <c r="M46" s="7">
        <f t="shared" si="17"/>
        <v>107.41212202519162</v>
      </c>
      <c r="N46" s="8">
        <f t="array" ref="N46:P46">LINEST(TRANSPOSE(J46:L46),TRANSPOSE(B46:D46)^{1,2},TRUE,FALSE)</f>
        <v>1.8653137294900812E-2</v>
      </c>
      <c r="O46" s="8">
        <v>-28.62648459404819</v>
      </c>
      <c r="P46" s="8">
        <v>7197.2104187086406</v>
      </c>
      <c r="Q46" s="26"/>
      <c r="R46" s="26"/>
      <c r="S46" s="26"/>
      <c r="T46" s="26"/>
      <c r="U46" s="16"/>
      <c r="V46" s="15"/>
      <c r="W46" s="15"/>
      <c r="X46" s="15"/>
      <c r="Y46" s="15"/>
      <c r="Z46" s="8">
        <f t="shared" si="9"/>
        <v>767</v>
      </c>
      <c r="AA46" s="11">
        <f t="shared" si="10"/>
        <v>767.33699381159272</v>
      </c>
      <c r="AB46" s="4">
        <f t="shared" si="11"/>
        <v>-3785.8698971867652</v>
      </c>
      <c r="AC46" s="8">
        <f t="shared" si="12"/>
        <v>1.5792999578814127E-19</v>
      </c>
      <c r="AD46" s="7">
        <f t="shared" si="13"/>
        <v>-0.50436316876607634</v>
      </c>
      <c r="AE46" s="8">
        <f t="shared" si="14"/>
        <v>-0.33699381159271979</v>
      </c>
      <c r="AF46" s="4">
        <f t="shared" si="15"/>
        <v>-2375669.7048357083</v>
      </c>
      <c r="AG46" s="7">
        <f>AG$30*(13-A46)+AF46/23+A46*0.15</f>
        <v>-103288.03716676992</v>
      </c>
      <c r="AH46" s="3">
        <f>AG46-MIN(AG$33:AG$46)</f>
        <v>1.2394141032273183</v>
      </c>
      <c r="AK46" s="8"/>
      <c r="AN46" s="7"/>
      <c r="AO46" s="8"/>
    </row>
    <row r="47" spans="1:41">
      <c r="A47">
        <v>14</v>
      </c>
      <c r="B47">
        <f t="shared" si="6"/>
        <v>768</v>
      </c>
      <c r="C47">
        <f>B47-1</f>
        <v>767</v>
      </c>
      <c r="D47">
        <f>B47-2</f>
        <v>766</v>
      </c>
      <c r="E47">
        <f>B47-0.5</f>
        <v>767.5</v>
      </c>
      <c r="J47" s="7">
        <f t="shared" si="17"/>
        <v>107.62232187259904</v>
      </c>
      <c r="K47" s="7">
        <f t="shared" si="17"/>
        <v>107.4821886409941</v>
      </c>
      <c r="L47" s="7">
        <f t="shared" si="17"/>
        <v>107.34205540938915</v>
      </c>
      <c r="M47" s="7">
        <f t="shared" si="17"/>
        <v>107.55225525679657</v>
      </c>
      <c r="N47" s="8">
        <f t="array" ref="N47:P47">LINEST(TRANSPOSE(J47:M47),TRANSPOSE(B47:E47)^{1,2},TRUE,FALSE)</f>
        <v>5.6032050479920628E-18</v>
      </c>
      <c r="O47" s="8">
        <v>0.14013323160494048</v>
      </c>
      <c r="P47" s="8">
        <v>1.4490440140284746E-12</v>
      </c>
      <c r="Q47" s="26"/>
      <c r="R47" s="26"/>
      <c r="S47" s="26"/>
      <c r="T47" s="26"/>
      <c r="U47" s="16"/>
      <c r="V47" s="15"/>
      <c r="W47" s="15"/>
      <c r="X47" s="15"/>
      <c r="Y47" s="15"/>
      <c r="Z47" s="8">
        <f t="shared" si="9"/>
        <v>768</v>
      </c>
      <c r="AA47" s="11">
        <f t="shared" si="10"/>
        <v>-1.2504738841848912E+16</v>
      </c>
      <c r="AB47" s="4">
        <f t="shared" si="11"/>
        <v>-876164732142054.38</v>
      </c>
      <c r="AC47" s="8">
        <f t="shared" si="12"/>
        <v>5.2575086386941715E-4</v>
      </c>
      <c r="AD47" s="7">
        <f t="shared" si="13"/>
        <v>-4.6579450242540714</v>
      </c>
      <c r="AE47" s="8">
        <f t="shared" si="14"/>
        <v>1.250473884184968E+16</v>
      </c>
      <c r="AF47" s="4">
        <f t="shared" si="15"/>
        <v>-5.4980178060056768E+17</v>
      </c>
      <c r="AG47" s="7"/>
      <c r="AH47" s="3"/>
      <c r="AK47" s="8"/>
      <c r="AN47" s="7"/>
      <c r="AO47" s="8"/>
    </row>
    <row r="48" spans="1:41">
      <c r="A48" s="14"/>
      <c r="B48" s="17"/>
      <c r="N48" s="8"/>
      <c r="O48" s="8"/>
      <c r="P48" s="8"/>
      <c r="Q48" s="16"/>
      <c r="R48" s="16"/>
      <c r="S48" s="16"/>
      <c r="T48" s="16"/>
      <c r="U48" s="16"/>
      <c r="V48" s="15"/>
      <c r="W48" s="15"/>
      <c r="X48" s="15"/>
      <c r="Y48" s="15"/>
      <c r="Z48" s="8"/>
      <c r="AA48" s="11"/>
      <c r="AB48" s="4"/>
      <c r="AC48" s="8"/>
      <c r="AD48" s="7"/>
      <c r="AE48" s="8"/>
      <c r="AF48" s="4"/>
      <c r="AH48" s="14"/>
      <c r="AI48" s="32">
        <f>AH33-AH35</f>
        <v>-4.4884903429192491E-2</v>
      </c>
      <c r="AK48" s="8"/>
      <c r="AN48" s="8"/>
      <c r="AO48" s="8"/>
    </row>
    <row r="49" spans="1:41">
      <c r="J49" s="7"/>
      <c r="K49" s="7"/>
      <c r="L49" s="7"/>
      <c r="M49" s="7"/>
      <c r="N49" s="8"/>
      <c r="O49" s="8"/>
      <c r="P49" s="8"/>
      <c r="Q49" s="26"/>
      <c r="R49" s="26"/>
      <c r="S49" s="26"/>
      <c r="T49" s="26"/>
      <c r="U49" s="16"/>
      <c r="V49" s="15"/>
      <c r="W49" s="15"/>
      <c r="X49" s="15"/>
      <c r="Y49" s="15"/>
      <c r="Z49" s="8"/>
      <c r="AA49" s="8">
        <v>1.9857786827652073E-19</v>
      </c>
      <c r="AB49" s="7">
        <v>-0.37733389197837253</v>
      </c>
      <c r="AC49" s="8"/>
      <c r="AD49" s="7"/>
      <c r="AE49" s="8"/>
      <c r="AF49" s="4"/>
      <c r="AG49" s="7"/>
      <c r="AK49" s="8"/>
      <c r="AN49" s="8"/>
      <c r="AO49" s="8"/>
    </row>
    <row r="50" spans="1:41">
      <c r="J50" s="7"/>
      <c r="K50" s="7"/>
      <c r="L50" s="7"/>
      <c r="M50" s="7"/>
      <c r="N50" s="8"/>
      <c r="O50" s="8"/>
      <c r="P50" s="8"/>
      <c r="Q50" s="26"/>
      <c r="R50" s="26"/>
      <c r="S50" s="26"/>
      <c r="T50" s="26"/>
      <c r="U50" s="16"/>
      <c r="V50" s="15"/>
      <c r="W50" s="15"/>
      <c r="X50" s="15"/>
      <c r="Y50" s="15"/>
      <c r="Z50" s="8"/>
      <c r="AA50" s="8">
        <v>1.9094148443124045E-19</v>
      </c>
      <c r="AB50" s="7">
        <v>-0.37619014160635517</v>
      </c>
      <c r="AC50" s="8"/>
      <c r="AD50" s="7"/>
      <c r="AE50" s="8"/>
      <c r="AF50" s="4"/>
      <c r="AG50" s="7"/>
      <c r="AK50" s="8"/>
      <c r="AN50" s="8"/>
      <c r="AO50" s="8"/>
    </row>
    <row r="51" spans="1:41">
      <c r="J51" s="7"/>
      <c r="K51" s="7"/>
      <c r="L51" s="7"/>
      <c r="M51" s="7"/>
      <c r="N51" s="8"/>
      <c r="O51" s="8"/>
      <c r="P51" s="8"/>
      <c r="Q51" s="26"/>
      <c r="R51" s="26"/>
      <c r="S51" s="26"/>
      <c r="T51" s="26"/>
      <c r="U51" s="16"/>
      <c r="V51" s="15"/>
      <c r="W51" s="15"/>
      <c r="X51" s="15"/>
      <c r="Y51" s="15"/>
      <c r="Z51" s="8"/>
      <c r="AA51" s="8">
        <v>1.7011452198973006E-19</v>
      </c>
      <c r="AB51" s="7">
        <v>-0.42733250207275547</v>
      </c>
      <c r="AC51" s="8"/>
      <c r="AD51" s="7"/>
      <c r="AE51" s="8"/>
      <c r="AF51" s="4"/>
      <c r="AG51" s="7"/>
      <c r="AK51" s="8"/>
      <c r="AN51" s="8"/>
      <c r="AO51" s="8"/>
    </row>
    <row r="52" spans="1:41">
      <c r="J52" s="7"/>
      <c r="K52" s="7"/>
      <c r="L52" s="7"/>
      <c r="M52" s="7"/>
      <c r="N52" s="8"/>
      <c r="O52" s="8"/>
      <c r="P52" s="8"/>
      <c r="Q52" s="26"/>
      <c r="R52" s="26"/>
      <c r="S52" s="26"/>
      <c r="T52" s="26"/>
      <c r="U52" s="16"/>
      <c r="V52" s="15"/>
      <c r="W52" s="15"/>
      <c r="X52" s="15"/>
      <c r="Y52" s="15"/>
      <c r="Z52" s="8"/>
      <c r="AA52" s="8">
        <v>1.6350033335235272E-19</v>
      </c>
      <c r="AB52" s="7">
        <v>-0.47116808572217223</v>
      </c>
      <c r="AC52" s="8"/>
      <c r="AD52" s="7"/>
      <c r="AE52" s="8"/>
      <c r="AF52" s="4"/>
      <c r="AG52" s="7"/>
      <c r="AK52" s="8"/>
      <c r="AN52" s="8"/>
      <c r="AO52" s="8"/>
    </row>
    <row r="53" spans="1:41">
      <c r="J53" s="7"/>
      <c r="K53" s="7"/>
      <c r="L53" s="7"/>
      <c r="M53" s="7"/>
      <c r="N53" s="8"/>
      <c r="O53" s="8"/>
      <c r="P53" s="8"/>
      <c r="Q53" s="16"/>
      <c r="R53" s="16"/>
      <c r="S53" s="16"/>
      <c r="T53" s="16"/>
      <c r="U53" s="16"/>
      <c r="V53" s="15"/>
      <c r="W53" s="15"/>
      <c r="X53" s="15"/>
      <c r="Y53" s="15"/>
      <c r="Z53" s="8"/>
      <c r="AA53" s="8">
        <v>1.608326082702929E-19</v>
      </c>
      <c r="AB53" s="7">
        <v>-0.48514724923868469</v>
      </c>
      <c r="AC53" s="8"/>
      <c r="AD53" s="7"/>
      <c r="AE53" s="8"/>
      <c r="AF53" s="4"/>
      <c r="AG53" s="7"/>
      <c r="AI53" s="7">
        <v>2</v>
      </c>
      <c r="AJ53" s="5">
        <v>4.8377859706281938E-2</v>
      </c>
      <c r="AK53" s="8">
        <f>AC69</f>
        <v>1.2740492443830589</v>
      </c>
      <c r="AN53" s="8"/>
      <c r="AO53" s="8"/>
    </row>
    <row r="54" spans="1:41">
      <c r="J54" s="7"/>
      <c r="K54" s="7"/>
      <c r="L54" s="7"/>
      <c r="M54" s="7"/>
      <c r="N54" s="8"/>
      <c r="O54" s="8"/>
      <c r="P54" s="8"/>
      <c r="Q54" s="16"/>
      <c r="R54" s="16"/>
      <c r="S54" s="16"/>
      <c r="T54" s="16"/>
      <c r="U54" s="16"/>
      <c r="V54" s="15"/>
      <c r="W54" s="15"/>
      <c r="X54" s="15"/>
      <c r="Y54" s="15"/>
      <c r="Z54" s="8"/>
      <c r="AA54" s="8">
        <v>1.5792999578621616E-19</v>
      </c>
      <c r="AB54" s="7">
        <v>-0.50436316877902521</v>
      </c>
      <c r="AC54" s="8"/>
      <c r="AD54" s="7"/>
      <c r="AE54" s="8"/>
      <c r="AF54" s="4"/>
      <c r="AG54" s="7"/>
      <c r="AI54" s="7">
        <v>6</v>
      </c>
      <c r="AJ54">
        <v>2.4842533586448647E-2</v>
      </c>
      <c r="AK54">
        <f>AD69</f>
        <v>1.2083152061939473</v>
      </c>
      <c r="AN54" s="8"/>
      <c r="AO54" s="8"/>
    </row>
    <row r="55" spans="1:41">
      <c r="J55" s="7"/>
      <c r="K55" s="7"/>
      <c r="L55" s="7"/>
      <c r="M55" s="7"/>
      <c r="N55" s="8"/>
      <c r="O55" s="8"/>
      <c r="P55" s="8"/>
      <c r="Q55" s="16"/>
      <c r="R55" s="16"/>
      <c r="S55" s="16"/>
      <c r="T55" s="16"/>
      <c r="U55" s="16"/>
      <c r="V55" s="15"/>
      <c r="W55" s="15"/>
      <c r="X55" s="15"/>
      <c r="Y55" s="15"/>
      <c r="Z55" s="8"/>
      <c r="AA55" s="11"/>
      <c r="AB55" s="4"/>
      <c r="AC55" s="8"/>
      <c r="AD55" s="7"/>
      <c r="AE55" s="8"/>
      <c r="AF55" s="4"/>
      <c r="AG55" s="7"/>
      <c r="AI55" s="7">
        <v>9</v>
      </c>
      <c r="AJ55">
        <v>-3.8676664935427742E-2</v>
      </c>
      <c r="AK55">
        <f>AE69</f>
        <v>1.0852174603714957</v>
      </c>
      <c r="AN55" s="8"/>
      <c r="AO55" s="8"/>
    </row>
    <row r="56" spans="1:41">
      <c r="A56" s="14"/>
      <c r="Q56" s="16"/>
      <c r="R56" s="16"/>
      <c r="S56" s="16"/>
      <c r="T56" s="16"/>
      <c r="U56" s="16"/>
      <c r="V56" s="15"/>
      <c r="W56" s="15"/>
      <c r="X56" s="15"/>
      <c r="Y56" s="15"/>
      <c r="AH56" s="14"/>
      <c r="AI56" s="7">
        <v>10</v>
      </c>
      <c r="AJ56">
        <v>-5.6570862963814111E-2</v>
      </c>
      <c r="AK56">
        <v>1.0598336348462907</v>
      </c>
      <c r="AN56" s="8"/>
      <c r="AO56" s="8"/>
    </row>
    <row r="57" spans="1:41">
      <c r="J57" s="7"/>
      <c r="K57" s="7"/>
      <c r="L57" s="7"/>
      <c r="M57" s="7"/>
      <c r="N57" s="8"/>
      <c r="O57" s="8"/>
      <c r="P57" s="8"/>
      <c r="Q57" s="16"/>
      <c r="R57" s="16"/>
      <c r="S57" s="16"/>
      <c r="T57" s="16"/>
      <c r="U57" s="16"/>
      <c r="V57" s="15"/>
      <c r="W57" s="15"/>
      <c r="X57" s="15"/>
      <c r="Y57" s="15"/>
      <c r="Z57" s="8"/>
      <c r="AA57" s="11"/>
      <c r="AB57" s="8"/>
      <c r="AC57" s="7" t="s">
        <v>29</v>
      </c>
      <c r="AD57" s="4" t="s">
        <v>135</v>
      </c>
      <c r="AE57" s="9" t="s">
        <v>136</v>
      </c>
      <c r="AF57" s="9" t="s">
        <v>183</v>
      </c>
      <c r="AG57" s="9" t="s">
        <v>137</v>
      </c>
      <c r="AH57" t="s">
        <v>93</v>
      </c>
      <c r="AI57" s="7">
        <v>11</v>
      </c>
      <c r="AJ57">
        <v>-9.4753893705123354E-2</v>
      </c>
      <c r="AK57">
        <f>AG69</f>
        <v>1.0298486649269762</v>
      </c>
      <c r="AN57" s="8"/>
      <c r="AO57" s="8"/>
    </row>
    <row r="58" spans="1:41">
      <c r="J58" s="7"/>
      <c r="K58" s="7"/>
      <c r="L58" s="7"/>
      <c r="M58" s="7"/>
      <c r="N58" s="8"/>
      <c r="O58" s="8"/>
      <c r="P58" s="8"/>
      <c r="Q58" s="16"/>
      <c r="R58" s="16"/>
      <c r="S58" s="16"/>
      <c r="T58" s="16"/>
      <c r="U58" s="16"/>
      <c r="V58" s="15"/>
      <c r="W58" s="15"/>
      <c r="X58" s="15"/>
      <c r="Y58" s="15"/>
      <c r="Z58" s="8"/>
      <c r="AA58" s="11"/>
      <c r="AB58" s="8"/>
      <c r="AC58" s="7"/>
      <c r="AD58" s="4"/>
      <c r="AE58" s="9">
        <v>-2332.3617441708998</v>
      </c>
      <c r="AF58" s="9"/>
      <c r="AG58" s="9"/>
      <c r="AH58" s="9">
        <v>-2332.3617441708998</v>
      </c>
      <c r="AI58" s="7">
        <v>13</v>
      </c>
      <c r="AJ58" s="31">
        <v>-0.12228198686529515</v>
      </c>
      <c r="AK58">
        <f>AH69</f>
        <v>0.93217707246585635</v>
      </c>
      <c r="AN58" s="8"/>
      <c r="AO58" s="8"/>
    </row>
    <row r="59" spans="1:41" ht="15">
      <c r="G59" s="29"/>
      <c r="J59" s="7"/>
      <c r="K59" s="7"/>
      <c r="L59" s="7"/>
      <c r="M59" s="7"/>
      <c r="N59" s="8"/>
      <c r="O59" s="8"/>
      <c r="P59" s="8"/>
      <c r="Q59" s="16"/>
      <c r="R59" s="16"/>
      <c r="S59" s="16"/>
      <c r="T59" s="16"/>
      <c r="U59" s="16"/>
      <c r="V59" s="15"/>
      <c r="W59" s="15"/>
      <c r="X59" s="15"/>
      <c r="Y59" s="15"/>
      <c r="Z59" s="8"/>
      <c r="AA59" s="11"/>
      <c r="AB59" s="8"/>
      <c r="AC59" s="7"/>
      <c r="AD59" s="4"/>
      <c r="AE59" s="9">
        <v>-2334.7645768736002</v>
      </c>
      <c r="AF59" s="9"/>
      <c r="AG59" s="9"/>
      <c r="AH59" s="9">
        <v>-2334.7645768736002</v>
      </c>
      <c r="AK59" s="8"/>
      <c r="AN59" s="8"/>
      <c r="AO59" s="8"/>
    </row>
    <row r="60" spans="1:41">
      <c r="J60" s="7"/>
      <c r="K60" s="7"/>
      <c r="L60" s="7"/>
      <c r="M60" s="7"/>
      <c r="N60" s="8"/>
      <c r="O60" s="8"/>
      <c r="P60" s="8"/>
      <c r="Q60" s="16"/>
      <c r="R60" s="16"/>
      <c r="S60" s="16"/>
      <c r="T60" s="16"/>
      <c r="U60" s="16"/>
      <c r="V60" s="15"/>
      <c r="W60" s="15"/>
      <c r="X60" s="15"/>
      <c r="Y60" s="15"/>
      <c r="Z60" s="8"/>
      <c r="AA60" s="11"/>
      <c r="AB60" s="8"/>
      <c r="AC60" s="7"/>
      <c r="AD60" s="4"/>
      <c r="AE60" s="9"/>
      <c r="AF60" s="9"/>
      <c r="AG60" s="9"/>
      <c r="AH60">
        <v>-2.3318061686</v>
      </c>
      <c r="AK60" s="8"/>
      <c r="AN60" s="8"/>
      <c r="AO60" s="8"/>
    </row>
    <row r="61" spans="1:41">
      <c r="J61" s="7"/>
      <c r="K61" s="7"/>
      <c r="L61" s="7"/>
      <c r="M61" s="7"/>
      <c r="N61" s="8"/>
      <c r="O61" s="8"/>
      <c r="P61" s="8"/>
      <c r="Q61" s="16"/>
      <c r="R61" s="16"/>
      <c r="S61" s="16"/>
      <c r="T61" s="16"/>
      <c r="U61" s="16"/>
      <c r="V61" s="15"/>
      <c r="W61" s="15"/>
      <c r="X61" s="15"/>
      <c r="Y61" s="15"/>
      <c r="Z61" s="8"/>
      <c r="AA61" s="11"/>
      <c r="AB61" s="8"/>
      <c r="AC61" s="7"/>
      <c r="AD61" s="4"/>
      <c r="AE61" s="9"/>
      <c r="AF61" s="9"/>
      <c r="AG61" s="9"/>
      <c r="AH61">
        <f>AH58+AH60-AH59</f>
        <v>7.1026534100383287E-2</v>
      </c>
      <c r="AK61" s="8"/>
      <c r="AN61" s="8"/>
      <c r="AO61" s="8"/>
    </row>
    <row r="62" spans="1:41">
      <c r="J62" s="7"/>
      <c r="K62" s="7"/>
      <c r="L62" s="7"/>
      <c r="M62" s="7"/>
      <c r="N62" s="8"/>
      <c r="O62" s="8"/>
      <c r="P62" s="8"/>
      <c r="Q62" s="16"/>
      <c r="R62" s="16"/>
      <c r="S62" s="16"/>
      <c r="T62" s="16"/>
      <c r="U62" s="16"/>
      <c r="V62" s="15"/>
      <c r="W62" s="15"/>
      <c r="X62" s="15"/>
      <c r="Y62" s="15"/>
      <c r="Z62" s="8"/>
      <c r="AA62" s="11"/>
      <c r="AB62" s="8"/>
      <c r="AC62" s="7"/>
      <c r="AD62" s="4"/>
      <c r="AE62" s="9"/>
      <c r="AF62" s="9"/>
      <c r="AG62" s="9"/>
      <c r="AH62">
        <f>AH61*13.6</f>
        <v>0.96596086376521273</v>
      </c>
      <c r="AK62" s="8"/>
      <c r="AN62" s="8"/>
      <c r="AO62" s="8"/>
    </row>
    <row r="63" spans="1:41">
      <c r="E63" s="17"/>
      <c r="J63" s="7"/>
      <c r="K63" s="7"/>
      <c r="L63" s="7"/>
      <c r="M63" s="7"/>
      <c r="N63" s="8"/>
      <c r="O63" s="8"/>
      <c r="P63" s="8"/>
      <c r="Q63" s="16"/>
      <c r="R63" s="16"/>
      <c r="S63" s="16"/>
      <c r="T63" s="16"/>
      <c r="U63" s="16"/>
      <c r="V63" s="15"/>
      <c r="W63" s="15"/>
      <c r="X63" s="15"/>
      <c r="Y63" s="15"/>
      <c r="Z63" s="8"/>
      <c r="AA63" s="11"/>
      <c r="AB63" s="8"/>
      <c r="AC63" s="7"/>
      <c r="AD63" s="4"/>
      <c r="AE63" s="9"/>
      <c r="AF63" s="9"/>
      <c r="AG63" s="9"/>
      <c r="AK63" s="8"/>
      <c r="AN63" s="8"/>
      <c r="AO63" s="8"/>
    </row>
    <row r="64" spans="1:41">
      <c r="A64" s="14"/>
      <c r="B64" s="17"/>
      <c r="N64" s="8"/>
      <c r="O64" s="8"/>
      <c r="P64" s="8"/>
      <c r="Q64" s="16"/>
      <c r="R64" s="16"/>
      <c r="S64" s="16"/>
      <c r="T64" s="16"/>
      <c r="U64" s="16"/>
      <c r="V64" s="15"/>
      <c r="W64" s="15"/>
      <c r="X64" s="15"/>
      <c r="Y64" s="15"/>
      <c r="Z64" s="8"/>
      <c r="AA64" s="11"/>
      <c r="AB64" s="8"/>
      <c r="AC64" s="7"/>
      <c r="AD64" s="4"/>
      <c r="AI64" s="17"/>
      <c r="AK64" s="8"/>
      <c r="AN64" s="8"/>
      <c r="AO64" s="8"/>
    </row>
    <row r="65" spans="1:41">
      <c r="G65" s="16"/>
      <c r="H65" s="16"/>
      <c r="I65" s="16"/>
      <c r="J65" s="7"/>
      <c r="K65" s="7"/>
      <c r="L65" s="7"/>
      <c r="M65" s="7"/>
      <c r="N65" s="8"/>
      <c r="O65" s="8"/>
      <c r="P65" s="8"/>
      <c r="Q65" s="16"/>
      <c r="R65" s="16"/>
      <c r="S65" s="16"/>
      <c r="T65" s="16"/>
      <c r="U65" s="16"/>
      <c r="V65" s="15"/>
      <c r="W65" s="15"/>
      <c r="X65" s="15"/>
      <c r="Y65" s="15"/>
      <c r="Z65" s="8"/>
      <c r="AA65" s="11"/>
      <c r="AB65" s="8"/>
      <c r="AC65" s="7">
        <v>-3886.7161144062202</v>
      </c>
      <c r="AD65" s="5">
        <v>-3889.13777179099</v>
      </c>
      <c r="AE65" s="5">
        <v>-3890.9469578431699</v>
      </c>
      <c r="AF65" s="7">
        <v>-3891.5492975058401</v>
      </c>
      <c r="AG65" s="7">
        <v>-3892.1501244800302</v>
      </c>
      <c r="AH65">
        <v>-3893.3499674874101</v>
      </c>
      <c r="AK65" s="8"/>
      <c r="AN65" s="8"/>
      <c r="AO65" s="8"/>
    </row>
    <row r="66" spans="1:41">
      <c r="F66" s="17"/>
      <c r="G66" s="16"/>
      <c r="H66" s="16"/>
      <c r="I66" s="16"/>
      <c r="J66" s="7"/>
      <c r="K66" s="7"/>
      <c r="L66" s="7"/>
      <c r="M66" s="7"/>
      <c r="N66" s="8"/>
      <c r="O66" s="8"/>
      <c r="P66" s="8"/>
      <c r="Q66" s="16"/>
      <c r="R66" s="16"/>
      <c r="S66" s="16"/>
      <c r="T66" s="16"/>
      <c r="U66" s="16"/>
      <c r="V66" s="15"/>
      <c r="W66" s="15"/>
      <c r="X66" s="15"/>
      <c r="Y66" s="15"/>
      <c r="Z66" s="8"/>
      <c r="AA66" s="11"/>
      <c r="AB66" s="8"/>
      <c r="AC66" s="7">
        <v>-3885.5039698068799</v>
      </c>
      <c r="AD66" s="5">
        <v>-3887.9280438842302</v>
      </c>
      <c r="AE66" s="7">
        <v>-3889.7417555888301</v>
      </c>
      <c r="AF66" s="3">
        <v>-3890.3450284803798</v>
      </c>
      <c r="AG66" s="3">
        <v>-3890.9469578431699</v>
      </c>
      <c r="AH66">
        <v>-3892.1503917179198</v>
      </c>
      <c r="AK66" s="8"/>
      <c r="AN66" s="8"/>
      <c r="AO66" s="8"/>
    </row>
    <row r="67" spans="1:41">
      <c r="G67" s="16"/>
      <c r="H67" s="16"/>
      <c r="I67" s="16"/>
      <c r="J67" s="7"/>
      <c r="K67" s="7"/>
      <c r="L67" s="7"/>
      <c r="M67" s="7"/>
      <c r="N67" s="8"/>
      <c r="O67" s="8"/>
      <c r="P67" s="8"/>
      <c r="Q67" s="16"/>
      <c r="R67" s="16"/>
      <c r="S67" s="16"/>
      <c r="T67" s="16"/>
      <c r="U67" s="16"/>
      <c r="V67" s="15"/>
      <c r="W67" s="15"/>
      <c r="X67" s="15"/>
      <c r="Y67" s="15"/>
      <c r="Z67" s="8"/>
      <c r="AA67" s="11"/>
      <c r="AC67">
        <v>-1.16530455359108</v>
      </c>
      <c r="AD67">
        <v>-1.16530455359108</v>
      </c>
      <c r="AE67">
        <v>-1.16530455359108</v>
      </c>
      <c r="AF67">
        <v>-1.16530455359108</v>
      </c>
      <c r="AG67">
        <v>-1.16530455359108</v>
      </c>
      <c r="AH67">
        <v>-1.16530455359108</v>
      </c>
      <c r="AK67" s="8"/>
      <c r="AN67" s="8"/>
      <c r="AO67" s="8"/>
    </row>
    <row r="68" spans="1:41">
      <c r="F68" s="16"/>
      <c r="G68" s="16"/>
      <c r="H68" s="16"/>
      <c r="I68" s="16"/>
      <c r="J68" s="7"/>
      <c r="K68" s="7"/>
      <c r="L68" s="7"/>
      <c r="M68" s="7"/>
      <c r="N68" s="8"/>
      <c r="O68" s="8"/>
      <c r="P68" s="8"/>
      <c r="Q68" s="16"/>
      <c r="R68" s="16"/>
      <c r="S68" s="16"/>
      <c r="T68" s="16"/>
      <c r="U68" s="16"/>
      <c r="V68" s="15"/>
      <c r="W68" s="15"/>
      <c r="X68" s="15"/>
      <c r="Y68" s="15"/>
      <c r="Z68" s="8"/>
      <c r="AA68" s="11"/>
      <c r="AC68">
        <f t="shared" ref="AC68:AH68" si="18">-AC65+AC67+AC66</f>
        <v>4.6840045749377168E-2</v>
      </c>
      <c r="AD68">
        <f t="shared" si="18"/>
        <v>4.4423353168895119E-2</v>
      </c>
      <c r="AE68">
        <f t="shared" si="18"/>
        <v>3.9897700748952047E-2</v>
      </c>
      <c r="AF68">
        <f t="shared" si="18"/>
        <v>3.8964471869348927E-2</v>
      </c>
      <c r="AG68">
        <f t="shared" si="18"/>
        <v>3.7862083269374125E-2</v>
      </c>
      <c r="AH68">
        <f t="shared" si="18"/>
        <v>3.4271215899480012E-2</v>
      </c>
      <c r="AK68" s="8"/>
      <c r="AN68" s="8"/>
      <c r="AO68" s="8"/>
    </row>
    <row r="69" spans="1:41">
      <c r="F69" s="16"/>
      <c r="G69" s="16"/>
      <c r="H69" s="16"/>
      <c r="I69" s="16"/>
      <c r="J69" s="7"/>
      <c r="K69" s="7"/>
      <c r="L69" s="7"/>
      <c r="M69" s="7"/>
      <c r="N69" s="8"/>
      <c r="O69" s="8"/>
      <c r="P69" s="8"/>
      <c r="Q69" s="16"/>
      <c r="R69" s="16"/>
      <c r="S69" s="16"/>
      <c r="T69" s="16"/>
      <c r="U69" s="16"/>
      <c r="V69" s="15"/>
      <c r="W69" s="15"/>
      <c r="X69" s="15"/>
      <c r="Y69" s="15"/>
      <c r="Z69" s="8"/>
      <c r="AA69" s="11"/>
      <c r="AC69">
        <f t="shared" ref="AC69:AH69" si="19">AC68*27.2</f>
        <v>1.2740492443830589</v>
      </c>
      <c r="AD69">
        <f t="shared" si="19"/>
        <v>1.2083152061939473</v>
      </c>
      <c r="AE69">
        <f t="shared" si="19"/>
        <v>1.0852174603714957</v>
      </c>
      <c r="AF69">
        <f t="shared" si="19"/>
        <v>1.0598336348462907</v>
      </c>
      <c r="AG69">
        <f t="shared" si="19"/>
        <v>1.0298486649269762</v>
      </c>
      <c r="AH69">
        <f t="shared" si="19"/>
        <v>0.93217707246585635</v>
      </c>
      <c r="AJ69" s="7"/>
      <c r="AK69" s="8"/>
      <c r="AN69" s="8"/>
      <c r="AO69" s="8"/>
    </row>
    <row r="70" spans="1:41">
      <c r="F70" s="16"/>
      <c r="G70" s="16"/>
      <c r="H70" s="16"/>
      <c r="I70" s="16"/>
      <c r="J70" s="7"/>
      <c r="K70" s="7"/>
      <c r="L70" s="7"/>
      <c r="M70" s="7"/>
      <c r="N70" s="8"/>
      <c r="O70" s="8"/>
      <c r="P70" s="8"/>
      <c r="Q70" s="16"/>
      <c r="R70" s="16"/>
      <c r="S70" s="16"/>
      <c r="T70" s="16"/>
      <c r="U70" s="16"/>
      <c r="V70" s="15"/>
      <c r="W70" s="15"/>
      <c r="X70" s="15"/>
      <c r="Y70" s="15"/>
      <c r="Z70" s="8"/>
      <c r="AA70" s="11"/>
      <c r="AB70" s="4"/>
      <c r="AC70" s="8"/>
      <c r="AD70" s="7"/>
      <c r="AE70" s="8"/>
      <c r="AF70" s="4"/>
      <c r="AG70" s="10"/>
      <c r="AJ70" s="7"/>
      <c r="AK70" s="8"/>
      <c r="AN70" s="8"/>
      <c r="AO70" s="8"/>
    </row>
    <row r="71" spans="1:41">
      <c r="F71" s="16"/>
      <c r="G71" s="16"/>
      <c r="H71" s="16"/>
      <c r="I71" s="16"/>
      <c r="J71" s="7"/>
      <c r="K71" s="7"/>
      <c r="L71" s="7"/>
      <c r="M71" s="7"/>
      <c r="N71" s="8"/>
      <c r="O71" s="8"/>
      <c r="P71" s="8"/>
      <c r="Q71" s="16"/>
      <c r="R71" s="16"/>
      <c r="S71" s="16"/>
      <c r="T71" s="16"/>
      <c r="U71" s="16"/>
      <c r="V71" s="15"/>
      <c r="W71" s="15"/>
      <c r="X71" s="15"/>
      <c r="Y71" s="15"/>
      <c r="Z71" s="8"/>
      <c r="AA71" s="11"/>
      <c r="AB71" s="4"/>
      <c r="AC71" s="8"/>
      <c r="AD71" s="7"/>
      <c r="AE71" s="8"/>
      <c r="AF71" s="4"/>
      <c r="AG71" s="10"/>
      <c r="AJ71" s="7"/>
      <c r="AK71" s="8"/>
      <c r="AN71" s="8"/>
      <c r="AO71" s="8"/>
    </row>
    <row r="72" spans="1:41">
      <c r="A72" s="14"/>
      <c r="Q72" s="16"/>
      <c r="R72" s="16"/>
      <c r="S72" s="16"/>
      <c r="T72" s="16"/>
      <c r="U72" s="16"/>
      <c r="V72" s="15"/>
      <c r="W72" s="15"/>
      <c r="X72" s="15"/>
      <c r="Y72" s="15"/>
      <c r="AH72" s="14"/>
      <c r="AK72" s="8"/>
      <c r="AN72" s="8"/>
      <c r="AO72" s="8"/>
    </row>
    <row r="73" spans="1:41">
      <c r="J73" s="7"/>
      <c r="K73" s="7"/>
      <c r="L73" s="7"/>
      <c r="M73" s="7"/>
      <c r="N73" s="8"/>
      <c r="O73" s="8"/>
      <c r="P73" s="8"/>
      <c r="Q73" s="16"/>
      <c r="R73" s="16"/>
      <c r="S73" s="16"/>
      <c r="T73" s="16"/>
      <c r="U73" s="16"/>
      <c r="V73" s="15"/>
      <c r="W73" s="15"/>
      <c r="X73" s="15"/>
      <c r="Y73" s="15"/>
      <c r="Z73" s="8"/>
      <c r="AA73" s="11"/>
      <c r="AB73" s="4"/>
      <c r="AC73" s="8"/>
      <c r="AD73" s="7"/>
      <c r="AE73" s="8"/>
      <c r="AF73" s="4" t="s">
        <v>145</v>
      </c>
      <c r="AG73" s="9"/>
      <c r="AH73" t="s">
        <v>182</v>
      </c>
      <c r="AK73" s="8"/>
      <c r="AN73" s="8"/>
      <c r="AO73" s="8"/>
    </row>
    <row r="74" spans="1:41">
      <c r="J74" s="7"/>
      <c r="K74" s="7"/>
      <c r="L74" s="7"/>
      <c r="M74" s="7"/>
      <c r="N74" s="8"/>
      <c r="O74" s="8"/>
      <c r="P74" s="8"/>
      <c r="Q74" s="16"/>
      <c r="R74" s="16"/>
      <c r="S74" s="16"/>
      <c r="T74" s="16"/>
      <c r="U74" s="16"/>
      <c r="V74" s="15"/>
      <c r="W74" s="15"/>
      <c r="X74" s="15"/>
      <c r="Y74" s="15"/>
      <c r="Z74" s="8"/>
      <c r="AA74" s="11"/>
      <c r="AB74" s="4"/>
      <c r="AC74" s="8"/>
      <c r="AD74" s="7"/>
      <c r="AE74" s="8"/>
      <c r="AF74" s="4" t="s">
        <v>146</v>
      </c>
      <c r="AG74" s="9"/>
      <c r="AK74" s="8"/>
      <c r="AN74" s="8"/>
      <c r="AO74" s="8"/>
    </row>
    <row r="75" spans="1:41">
      <c r="J75" s="7"/>
      <c r="K75" s="7"/>
      <c r="L75" s="7"/>
      <c r="M75" s="7"/>
      <c r="N75" s="8"/>
      <c r="O75" s="8"/>
      <c r="P75" s="8"/>
      <c r="Q75" s="16"/>
      <c r="R75" s="16"/>
      <c r="S75" s="16"/>
      <c r="T75" s="16"/>
      <c r="U75" s="16"/>
      <c r="V75" s="15"/>
      <c r="W75" s="15"/>
      <c r="X75" s="15"/>
      <c r="Y75" s="15"/>
      <c r="Z75" s="8"/>
      <c r="AA75" s="11"/>
      <c r="AB75" s="4"/>
      <c r="AC75" s="8"/>
      <c r="AD75" s="7"/>
      <c r="AE75" s="8"/>
      <c r="AF75" s="4" t="s">
        <v>147</v>
      </c>
      <c r="AG75" s="9"/>
      <c r="AK75" s="8"/>
      <c r="AN75" s="8"/>
      <c r="AO75" s="8"/>
    </row>
    <row r="76" spans="1:41">
      <c r="J76" s="7"/>
      <c r="K76" s="7"/>
      <c r="L76" s="7"/>
      <c r="M76" s="7"/>
      <c r="N76" s="8"/>
      <c r="O76" s="8"/>
      <c r="P76" s="8"/>
      <c r="Q76" s="16"/>
      <c r="R76" s="16"/>
      <c r="S76" s="16"/>
      <c r="T76" s="16"/>
      <c r="U76" s="16"/>
      <c r="V76" s="15"/>
      <c r="W76" s="15"/>
      <c r="X76" s="15"/>
      <c r="Y76" s="15"/>
      <c r="Z76" s="8"/>
      <c r="AA76" s="11"/>
      <c r="AB76" s="4"/>
      <c r="AC76" s="8"/>
      <c r="AD76" s="7"/>
      <c r="AE76" s="8"/>
      <c r="AF76" s="4"/>
      <c r="AG76" s="9"/>
      <c r="AK76" s="8"/>
      <c r="AN76" s="8"/>
      <c r="AO76" s="8"/>
    </row>
    <row r="77" spans="1:41">
      <c r="J77" s="7"/>
      <c r="K77" s="7"/>
      <c r="L77" s="7"/>
      <c r="M77" s="7"/>
      <c r="N77" s="8"/>
      <c r="O77" s="8"/>
      <c r="P77" s="8"/>
      <c r="Q77" s="16"/>
      <c r="R77" s="16"/>
      <c r="S77" s="16"/>
      <c r="T77" s="16"/>
      <c r="U77" s="16"/>
      <c r="V77" s="15"/>
      <c r="W77" s="15"/>
      <c r="X77" s="15"/>
      <c r="Y77" s="15"/>
      <c r="Z77" s="8"/>
      <c r="AA77" s="11"/>
      <c r="AB77" s="4"/>
      <c r="AC77" s="8"/>
      <c r="AD77" s="7"/>
      <c r="AE77" s="8"/>
      <c r="AF77" s="4"/>
      <c r="AG77" s="9"/>
      <c r="AK77" s="8"/>
      <c r="AN77" s="8"/>
      <c r="AO77" s="8"/>
    </row>
    <row r="78" spans="1:41">
      <c r="J78" s="7"/>
      <c r="K78" s="7"/>
      <c r="L78" s="7"/>
      <c r="M78" s="7"/>
      <c r="N78" s="8"/>
      <c r="O78" s="8"/>
      <c r="P78" s="8"/>
      <c r="Q78" s="16"/>
      <c r="R78" s="16"/>
      <c r="S78" s="16"/>
      <c r="T78" s="16"/>
      <c r="U78" s="16"/>
      <c r="V78" s="15"/>
      <c r="W78" s="15"/>
      <c r="X78" s="15"/>
      <c r="Y78" s="15"/>
      <c r="Z78" s="8"/>
      <c r="AA78" s="11"/>
      <c r="AB78" s="4"/>
      <c r="AC78" s="8"/>
      <c r="AD78" s="7"/>
      <c r="AE78" s="8"/>
      <c r="AF78" s="4"/>
      <c r="AG78" s="9"/>
      <c r="AK78" s="8"/>
      <c r="AN78" s="8"/>
      <c r="AO78" s="8"/>
    </row>
    <row r="79" spans="1:41">
      <c r="J79" s="7"/>
      <c r="K79" s="7"/>
      <c r="L79" s="7"/>
      <c r="M79" s="7"/>
      <c r="N79" s="8"/>
      <c r="O79" s="8"/>
      <c r="P79" s="8"/>
      <c r="Q79" s="16"/>
      <c r="R79" s="16"/>
      <c r="S79" s="16"/>
      <c r="T79" s="16"/>
      <c r="U79" s="16"/>
      <c r="V79" s="15"/>
      <c r="W79" s="15"/>
      <c r="X79" s="15"/>
      <c r="Y79" s="15"/>
      <c r="Z79" s="8"/>
      <c r="AA79" s="11"/>
      <c r="AB79" s="4"/>
      <c r="AC79" s="8"/>
      <c r="AD79" s="7"/>
      <c r="AE79" s="8"/>
      <c r="AF79" s="4"/>
      <c r="AG79" s="9"/>
      <c r="AK79" s="8"/>
      <c r="AN79" s="8"/>
      <c r="AO79" s="8"/>
    </row>
    <row r="80" spans="1:41">
      <c r="A80" s="14"/>
      <c r="N80" s="8"/>
      <c r="O80" s="8"/>
      <c r="P80" s="8"/>
      <c r="Q80" s="16"/>
      <c r="R80" s="16"/>
      <c r="S80" s="16"/>
      <c r="T80" s="16"/>
      <c r="U80" s="16"/>
      <c r="V80" s="15"/>
      <c r="W80" s="15"/>
      <c r="X80" s="15"/>
      <c r="Y80" s="15"/>
      <c r="Z80" s="8"/>
      <c r="AA80" s="11"/>
      <c r="AB80" s="4"/>
      <c r="AC80" s="8"/>
      <c r="AD80" s="7"/>
      <c r="AE80" s="8"/>
      <c r="AF80" s="4"/>
      <c r="AH80" s="14"/>
      <c r="AI80" s="17"/>
      <c r="AK80" s="8"/>
      <c r="AN80" s="8"/>
      <c r="AO80" s="8"/>
    </row>
    <row r="81" spans="1:41">
      <c r="J81" s="7"/>
      <c r="K81" s="7"/>
      <c r="L81" s="7"/>
      <c r="M81" s="7"/>
      <c r="N81" s="8"/>
      <c r="O81" s="8"/>
      <c r="P81" s="8"/>
      <c r="Q81" s="16"/>
      <c r="R81" s="16"/>
      <c r="S81" s="16"/>
      <c r="T81" s="16"/>
      <c r="U81" s="16"/>
      <c r="V81" s="15"/>
      <c r="W81" s="15"/>
      <c r="X81" s="15"/>
      <c r="Y81" s="15"/>
      <c r="Z81" s="8"/>
      <c r="AA81" s="11"/>
      <c r="AB81" s="4"/>
      <c r="AC81" s="8"/>
      <c r="AD81" s="7"/>
      <c r="AE81" s="8"/>
      <c r="AF81" s="4"/>
      <c r="AG81" s="7"/>
      <c r="AK81" s="8"/>
      <c r="AN81" s="8"/>
      <c r="AO81" s="8"/>
    </row>
    <row r="82" spans="1:41">
      <c r="J82" s="7"/>
      <c r="K82" s="7"/>
      <c r="L82" s="7"/>
      <c r="M82" s="7"/>
      <c r="N82" s="8"/>
      <c r="O82" s="8"/>
      <c r="P82" s="8"/>
      <c r="Q82" s="16"/>
      <c r="R82" s="16"/>
      <c r="S82" s="16"/>
      <c r="T82" s="16"/>
      <c r="U82" s="16"/>
      <c r="V82" s="15"/>
      <c r="W82" s="15"/>
      <c r="X82" s="15"/>
      <c r="Y82" s="15"/>
      <c r="Z82" s="8"/>
      <c r="AA82" s="11"/>
      <c r="AB82" s="4"/>
      <c r="AC82" s="8"/>
      <c r="AD82" s="7"/>
      <c r="AE82" s="8"/>
      <c r="AF82" s="4"/>
      <c r="AG82" s="7"/>
      <c r="AK82" s="8"/>
      <c r="AN82" s="8"/>
      <c r="AO82" s="8"/>
    </row>
    <row r="83" spans="1:41">
      <c r="J83" s="7"/>
      <c r="K83" s="7"/>
      <c r="L83" s="7"/>
      <c r="M83" s="7"/>
      <c r="N83" s="8"/>
      <c r="O83" s="8"/>
      <c r="P83" s="8"/>
      <c r="Q83" s="16"/>
      <c r="R83" s="16"/>
      <c r="S83" s="16"/>
      <c r="T83" s="16"/>
      <c r="U83" s="16"/>
      <c r="V83" s="15"/>
      <c r="W83" s="15"/>
      <c r="X83" s="15"/>
      <c r="Y83" s="15"/>
      <c r="Z83" s="8"/>
      <c r="AA83" s="11"/>
      <c r="AB83" s="4"/>
      <c r="AC83" s="8"/>
      <c r="AD83" s="7"/>
      <c r="AE83" s="8"/>
      <c r="AF83" s="4"/>
      <c r="AG83" s="10"/>
      <c r="AK83" s="8"/>
      <c r="AN83" s="8"/>
      <c r="AO83" s="8"/>
    </row>
    <row r="84" spans="1:41">
      <c r="J84" s="7"/>
      <c r="K84" s="7"/>
      <c r="L84" s="7"/>
      <c r="M84" s="7"/>
      <c r="N84" s="8"/>
      <c r="O84" s="8"/>
      <c r="P84" s="8"/>
      <c r="Q84" s="16"/>
      <c r="R84" s="16"/>
      <c r="S84" s="16"/>
      <c r="T84" s="16"/>
      <c r="U84" s="16"/>
      <c r="V84" s="15"/>
      <c r="W84" s="15"/>
      <c r="X84" s="15"/>
      <c r="Y84" s="15"/>
      <c r="Z84" s="8"/>
      <c r="AA84" s="11"/>
      <c r="AB84" s="4"/>
      <c r="AC84" s="8"/>
      <c r="AD84" s="7"/>
      <c r="AE84" s="8"/>
      <c r="AF84" s="4"/>
      <c r="AG84" s="10"/>
      <c r="AK84" s="8"/>
      <c r="AN84" s="8"/>
      <c r="AO84" s="8"/>
    </row>
    <row r="85" spans="1:41">
      <c r="J85" s="7"/>
      <c r="K85" s="7"/>
      <c r="L85" s="7"/>
      <c r="M85" s="7"/>
      <c r="N85" s="8"/>
      <c r="O85" s="8"/>
      <c r="P85" s="8"/>
      <c r="Q85" s="16"/>
      <c r="R85" s="16"/>
      <c r="S85" s="16"/>
      <c r="T85" s="16"/>
      <c r="U85" s="16"/>
      <c r="V85" s="15"/>
      <c r="W85" s="15"/>
      <c r="X85" s="15"/>
      <c r="Y85" s="15"/>
      <c r="Z85" s="8"/>
      <c r="AA85" s="11"/>
      <c r="AB85" s="4"/>
      <c r="AC85" s="8"/>
      <c r="AD85" s="7"/>
      <c r="AE85" s="8"/>
      <c r="AF85" s="4"/>
      <c r="AG85" s="10"/>
      <c r="AK85" s="8"/>
      <c r="AN85" s="8"/>
      <c r="AO85" s="8"/>
    </row>
    <row r="86" spans="1:41">
      <c r="J86" s="7"/>
      <c r="K86" s="7"/>
      <c r="L86" s="7"/>
      <c r="M86" s="7"/>
      <c r="N86" s="8"/>
      <c r="O86" s="8"/>
      <c r="P86" s="8"/>
      <c r="Q86" s="16"/>
      <c r="R86" s="16"/>
      <c r="S86" s="16"/>
      <c r="T86" s="16"/>
      <c r="U86" s="16"/>
      <c r="V86" s="15"/>
      <c r="W86" s="15"/>
      <c r="X86" s="15"/>
      <c r="Y86" s="15"/>
      <c r="Z86" s="8"/>
      <c r="AA86" s="11"/>
      <c r="AB86" s="4"/>
      <c r="AC86" s="8"/>
      <c r="AD86" s="7"/>
      <c r="AE86" s="8"/>
      <c r="AF86" s="4"/>
      <c r="AG86" s="10"/>
      <c r="AK86" s="8"/>
      <c r="AN86" s="8"/>
      <c r="AO86" s="8"/>
    </row>
    <row r="87" spans="1:41">
      <c r="J87" s="7"/>
      <c r="K87" s="7"/>
      <c r="L87" s="7"/>
      <c r="M87" s="7"/>
      <c r="N87" s="8"/>
      <c r="O87" s="8"/>
      <c r="P87" s="8"/>
      <c r="Q87" s="16"/>
      <c r="R87" s="16"/>
      <c r="S87" s="16"/>
      <c r="T87" s="16"/>
      <c r="U87" s="16"/>
      <c r="V87" s="15"/>
      <c r="W87" s="15"/>
      <c r="X87" s="15"/>
      <c r="Y87" s="15"/>
      <c r="Z87" s="8"/>
      <c r="AA87" s="11"/>
      <c r="AB87" s="4"/>
      <c r="AC87" s="8"/>
      <c r="AD87" s="7"/>
      <c r="AE87" s="8"/>
      <c r="AF87" s="4"/>
      <c r="AG87" s="10"/>
      <c r="AK87" s="8"/>
      <c r="AN87" s="8"/>
      <c r="AO87" s="8"/>
    </row>
    <row r="88" spans="1:41">
      <c r="A88" s="14"/>
      <c r="Q88" s="16"/>
      <c r="R88" s="16"/>
      <c r="S88" s="16"/>
      <c r="T88" s="16"/>
      <c r="U88" s="16"/>
      <c r="V88" s="15"/>
      <c r="W88" s="15"/>
      <c r="X88" s="15"/>
      <c r="Y88" s="15"/>
      <c r="AH88" s="14"/>
      <c r="AK88" s="8"/>
      <c r="AN88" s="8"/>
      <c r="AO88" s="8"/>
    </row>
    <row r="89" spans="1:41">
      <c r="J89" s="7"/>
      <c r="K89" s="7"/>
      <c r="L89" s="7"/>
      <c r="M89" s="7"/>
      <c r="N89" s="8"/>
      <c r="O89" s="8"/>
      <c r="P89" s="8"/>
      <c r="Q89" s="16"/>
      <c r="R89" s="16"/>
      <c r="S89" s="16"/>
      <c r="T89" s="16"/>
      <c r="U89" s="16"/>
      <c r="V89" s="15"/>
      <c r="W89" s="15"/>
      <c r="X89" s="15"/>
      <c r="Y89" s="15"/>
      <c r="Z89" s="8"/>
      <c r="AA89" s="11"/>
      <c r="AB89" s="4"/>
      <c r="AC89" s="8"/>
      <c r="AD89" s="7"/>
      <c r="AE89" s="8"/>
      <c r="AF89" s="4"/>
      <c r="AG89" s="9"/>
      <c r="AK89" s="8"/>
      <c r="AN89" s="8"/>
      <c r="AO89" s="8"/>
    </row>
    <row r="90" spans="1:41">
      <c r="J90" s="7"/>
      <c r="K90" s="7"/>
      <c r="L90" s="7"/>
      <c r="M90" s="7"/>
      <c r="N90" s="8"/>
      <c r="O90" s="8"/>
      <c r="P90" s="8"/>
      <c r="Q90" s="16"/>
      <c r="R90" s="16"/>
      <c r="S90" s="16"/>
      <c r="T90" s="16"/>
      <c r="U90" s="16"/>
      <c r="V90" s="15"/>
      <c r="W90" s="15"/>
      <c r="X90" s="15"/>
      <c r="Y90" s="15"/>
      <c r="Z90" s="8"/>
      <c r="AA90" s="11"/>
      <c r="AB90" s="4"/>
      <c r="AC90" s="8"/>
      <c r="AD90" s="7"/>
      <c r="AE90" s="8"/>
      <c r="AF90" s="4"/>
      <c r="AG90" s="9"/>
      <c r="AK90" s="8"/>
      <c r="AN90" s="8"/>
      <c r="AO90" s="8"/>
    </row>
    <row r="91" spans="1:41">
      <c r="J91" s="7"/>
      <c r="K91" s="7"/>
      <c r="L91" s="7"/>
      <c r="M91" s="7"/>
      <c r="N91" s="8"/>
      <c r="O91" s="8"/>
      <c r="P91" s="8"/>
      <c r="Q91" s="16"/>
      <c r="R91" s="16"/>
      <c r="S91" s="16"/>
      <c r="T91" s="16"/>
      <c r="U91" s="16"/>
      <c r="V91" s="15"/>
      <c r="W91" s="15"/>
      <c r="X91" s="15"/>
      <c r="Y91" s="15"/>
      <c r="Z91" s="8"/>
      <c r="AA91" s="11"/>
      <c r="AB91" s="4"/>
      <c r="AC91" s="8"/>
      <c r="AD91" s="7"/>
      <c r="AE91" s="8"/>
      <c r="AF91" s="4"/>
      <c r="AG91" s="9"/>
      <c r="AK91" s="8"/>
      <c r="AN91" s="8"/>
      <c r="AO91" s="8"/>
    </row>
    <row r="92" spans="1:41">
      <c r="J92" s="7"/>
      <c r="K92" s="7"/>
      <c r="L92" s="7"/>
      <c r="M92" s="7"/>
      <c r="N92" s="8"/>
      <c r="O92" s="8"/>
      <c r="P92" s="8"/>
      <c r="Q92" s="16"/>
      <c r="R92" s="16"/>
      <c r="S92" s="16"/>
      <c r="T92" s="16"/>
      <c r="U92" s="16"/>
      <c r="V92" s="15"/>
      <c r="W92" s="15"/>
      <c r="X92" s="15"/>
      <c r="Y92" s="15"/>
      <c r="Z92" s="8"/>
      <c r="AA92" s="11"/>
      <c r="AB92" s="4"/>
      <c r="AC92" s="8"/>
      <c r="AD92" s="7"/>
      <c r="AE92" s="8"/>
      <c r="AF92" s="4"/>
      <c r="AG92" s="9"/>
      <c r="AK92" s="8"/>
      <c r="AN92" s="8"/>
      <c r="AO92" s="8"/>
    </row>
    <row r="93" spans="1:41">
      <c r="J93" s="7"/>
      <c r="K93" s="7"/>
      <c r="L93" s="7"/>
      <c r="M93" s="7"/>
      <c r="N93" s="8"/>
      <c r="O93" s="8"/>
      <c r="P93" s="8"/>
      <c r="Q93" s="16"/>
      <c r="R93" s="16"/>
      <c r="S93" s="16"/>
      <c r="T93" s="16"/>
      <c r="U93" s="16"/>
      <c r="V93" s="15"/>
      <c r="W93" s="15"/>
      <c r="X93" s="15"/>
      <c r="Y93" s="15"/>
      <c r="Z93" s="8"/>
      <c r="AA93" s="11"/>
      <c r="AB93" s="4"/>
      <c r="AC93" s="8"/>
      <c r="AD93" s="7"/>
      <c r="AE93" s="8"/>
      <c r="AF93" s="4"/>
      <c r="AG93" s="9"/>
      <c r="AK93" s="8"/>
      <c r="AN93" s="8"/>
      <c r="AO93" s="8"/>
    </row>
    <row r="94" spans="1:41">
      <c r="J94" s="7"/>
      <c r="K94" s="7"/>
      <c r="L94" s="7"/>
      <c r="M94" s="7"/>
      <c r="N94" s="8"/>
      <c r="O94" s="8"/>
      <c r="P94" s="8"/>
      <c r="Q94" s="16"/>
      <c r="R94" s="16"/>
      <c r="S94" s="16"/>
      <c r="T94" s="16"/>
      <c r="U94" s="16"/>
      <c r="V94" s="15"/>
      <c r="W94" s="15"/>
      <c r="X94" s="15"/>
      <c r="Y94" s="15"/>
      <c r="Z94" s="8"/>
      <c r="AA94" s="11"/>
      <c r="AB94" s="4"/>
      <c r="AC94" s="8"/>
      <c r="AD94" s="7"/>
      <c r="AE94" s="8"/>
      <c r="AF94" s="4"/>
      <c r="AG94" s="9"/>
      <c r="AK94" s="8"/>
      <c r="AN94" s="8"/>
      <c r="AO94" s="8"/>
    </row>
    <row r="95" spans="1:41">
      <c r="J95" s="7"/>
      <c r="K95" s="7"/>
      <c r="L95" s="7"/>
      <c r="M95" s="7"/>
      <c r="N95" s="8"/>
      <c r="O95" s="8"/>
      <c r="P95" s="8"/>
      <c r="Q95" s="16"/>
      <c r="R95" s="16"/>
      <c r="S95" s="16"/>
      <c r="T95" s="16"/>
      <c r="U95" s="16"/>
      <c r="V95" s="15"/>
      <c r="W95" s="15"/>
      <c r="X95" s="15"/>
      <c r="Y95" s="15"/>
      <c r="Z95" s="8"/>
      <c r="AA95" s="11"/>
      <c r="AB95" s="4"/>
      <c r="AC95" s="8"/>
      <c r="AD95" s="7"/>
      <c r="AE95" s="8"/>
      <c r="AF95" s="4"/>
      <c r="AG95" s="9"/>
      <c r="AK95" s="8"/>
      <c r="AN95" s="8"/>
      <c r="AO95" s="8"/>
    </row>
    <row r="96" spans="1:41">
      <c r="A96" s="14"/>
      <c r="N96" s="8"/>
      <c r="O96" s="8"/>
      <c r="P96" s="8"/>
      <c r="Q96" s="16"/>
      <c r="R96" s="16"/>
      <c r="S96" s="16"/>
      <c r="T96" s="16"/>
      <c r="U96" s="16"/>
      <c r="V96" s="15"/>
      <c r="W96" s="15"/>
      <c r="X96" s="15"/>
      <c r="Y96" s="15"/>
      <c r="Z96" s="8"/>
      <c r="AA96" s="11"/>
      <c r="AB96" s="4"/>
      <c r="AC96" s="8"/>
      <c r="AD96" s="7"/>
      <c r="AE96" s="8"/>
      <c r="AF96" s="4"/>
      <c r="AH96" s="14"/>
      <c r="AI96" s="17"/>
    </row>
    <row r="97" spans="1:35">
      <c r="F97" s="16"/>
      <c r="G97" s="16"/>
      <c r="H97" s="16"/>
      <c r="I97" s="16"/>
      <c r="J97" s="7"/>
      <c r="K97" s="7"/>
      <c r="L97" s="7"/>
      <c r="M97" s="7"/>
      <c r="N97" s="8"/>
      <c r="O97" s="8"/>
      <c r="P97" s="8"/>
      <c r="Q97" s="16"/>
      <c r="R97" s="16"/>
      <c r="S97" s="16"/>
      <c r="T97" s="16"/>
      <c r="U97" s="16"/>
      <c r="V97" s="15"/>
      <c r="W97" s="15"/>
      <c r="X97" s="15"/>
      <c r="Y97" s="15"/>
      <c r="Z97" s="8"/>
      <c r="AA97" s="11"/>
      <c r="AB97" s="4"/>
      <c r="AC97" s="8"/>
      <c r="AD97" s="7"/>
      <c r="AE97" s="8"/>
      <c r="AF97" s="4"/>
      <c r="AG97" s="7"/>
    </row>
    <row r="98" spans="1:35">
      <c r="F98" s="16"/>
      <c r="G98" s="16"/>
      <c r="H98" s="16"/>
      <c r="I98" s="16"/>
      <c r="J98" s="7"/>
      <c r="K98" s="7"/>
      <c r="L98" s="7"/>
      <c r="M98" s="7"/>
      <c r="N98" s="8"/>
      <c r="O98" s="8"/>
      <c r="P98" s="8"/>
      <c r="Q98" s="16"/>
      <c r="R98" s="16"/>
      <c r="S98" s="16"/>
      <c r="T98" s="16"/>
      <c r="U98" s="16"/>
      <c r="V98" s="15"/>
      <c r="W98" s="15"/>
      <c r="X98" s="15"/>
      <c r="Y98" s="15"/>
      <c r="Z98" s="8"/>
      <c r="AA98" s="11"/>
      <c r="AB98" s="4"/>
      <c r="AC98" s="8"/>
      <c r="AD98" s="7"/>
      <c r="AE98" s="8"/>
      <c r="AF98" s="4"/>
      <c r="AG98" s="7"/>
    </row>
    <row r="99" spans="1:35">
      <c r="F99" s="16"/>
      <c r="G99" s="16"/>
      <c r="H99" s="16"/>
      <c r="I99" s="16"/>
      <c r="J99" s="7"/>
      <c r="K99" s="7"/>
      <c r="L99" s="7"/>
      <c r="M99" s="7"/>
      <c r="N99" s="8"/>
      <c r="O99" s="8"/>
      <c r="P99" s="8"/>
      <c r="Q99" s="16"/>
      <c r="R99" s="16"/>
      <c r="S99" s="16"/>
      <c r="T99" s="16"/>
      <c r="U99" s="16"/>
      <c r="V99" s="15"/>
      <c r="W99" s="15"/>
      <c r="X99" s="15"/>
      <c r="Y99" s="15"/>
      <c r="Z99" s="8"/>
      <c r="AA99" s="11"/>
      <c r="AB99" s="4"/>
      <c r="AC99" s="8"/>
      <c r="AD99" s="7"/>
      <c r="AE99" s="8"/>
      <c r="AF99" s="4"/>
      <c r="AG99" s="7"/>
    </row>
    <row r="100" spans="1:35">
      <c r="F100" s="16"/>
      <c r="G100" s="16"/>
      <c r="H100" s="16"/>
      <c r="I100" s="16"/>
      <c r="J100" s="7"/>
      <c r="K100" s="7"/>
      <c r="L100" s="7"/>
      <c r="M100" s="7"/>
      <c r="N100" s="8"/>
      <c r="O100" s="8"/>
      <c r="P100" s="8"/>
      <c r="Q100" s="16"/>
      <c r="R100" s="16"/>
      <c r="S100" s="16"/>
      <c r="T100" s="16"/>
      <c r="U100" s="16"/>
      <c r="V100" s="15"/>
      <c r="W100" s="15"/>
      <c r="X100" s="15"/>
      <c r="Y100" s="15"/>
      <c r="Z100" s="8"/>
      <c r="AA100" s="11"/>
      <c r="AB100" s="4"/>
      <c r="AC100" s="8"/>
      <c r="AD100" s="7"/>
      <c r="AE100" s="8"/>
      <c r="AF100" s="4"/>
      <c r="AG100" s="7"/>
    </row>
    <row r="101" spans="1:35">
      <c r="F101" s="16"/>
      <c r="G101" s="16"/>
      <c r="H101" s="16"/>
      <c r="I101" s="16"/>
      <c r="J101" s="7"/>
      <c r="K101" s="7"/>
      <c r="L101" s="7"/>
      <c r="M101" s="7"/>
      <c r="N101" s="8"/>
      <c r="O101" s="8"/>
      <c r="P101" s="8"/>
      <c r="Q101" s="16"/>
      <c r="R101" s="16"/>
      <c r="S101" s="16"/>
      <c r="T101" s="16"/>
      <c r="U101" s="16"/>
      <c r="V101" s="15"/>
      <c r="W101" s="15"/>
      <c r="X101" s="15"/>
      <c r="Y101" s="15"/>
      <c r="Z101" s="8"/>
      <c r="AA101" s="11"/>
      <c r="AB101" s="4"/>
      <c r="AC101" s="8"/>
      <c r="AD101" s="7"/>
      <c r="AE101" s="8"/>
      <c r="AF101" s="4"/>
      <c r="AG101" s="7"/>
    </row>
    <row r="102" spans="1:35">
      <c r="F102" s="16"/>
      <c r="G102" s="16"/>
      <c r="H102" s="16"/>
      <c r="I102" s="16"/>
      <c r="J102" s="7"/>
      <c r="K102" s="7"/>
      <c r="L102" s="7"/>
      <c r="M102" s="7"/>
      <c r="N102" s="8"/>
      <c r="O102" s="8"/>
      <c r="P102" s="8"/>
      <c r="Q102" s="16"/>
      <c r="R102" s="16"/>
      <c r="S102" s="16"/>
      <c r="T102" s="16"/>
      <c r="U102" s="16"/>
      <c r="V102" s="15"/>
      <c r="W102" s="15"/>
      <c r="X102" s="15"/>
      <c r="Y102" s="15"/>
      <c r="Z102" s="8"/>
      <c r="AA102" s="11"/>
      <c r="AB102" s="4"/>
      <c r="AC102" s="8"/>
      <c r="AD102" s="7"/>
      <c r="AE102" s="8"/>
      <c r="AF102" s="4"/>
      <c r="AG102" s="7"/>
    </row>
    <row r="103" spans="1:35">
      <c r="F103" s="16"/>
      <c r="G103" s="16"/>
      <c r="H103" s="16"/>
      <c r="I103" s="16"/>
      <c r="J103" s="7"/>
      <c r="K103" s="7"/>
      <c r="L103" s="7"/>
      <c r="M103" s="7"/>
      <c r="N103" s="8"/>
      <c r="O103" s="8"/>
      <c r="P103" s="8"/>
      <c r="Q103" s="16"/>
      <c r="R103" s="16"/>
      <c r="S103" s="16"/>
      <c r="T103" s="16"/>
      <c r="U103" s="16"/>
      <c r="V103" s="15"/>
      <c r="W103" s="15"/>
      <c r="X103" s="15"/>
      <c r="Y103" s="15"/>
      <c r="Z103" s="8"/>
      <c r="AA103" s="11"/>
      <c r="AB103" s="4"/>
      <c r="AC103" s="8"/>
      <c r="AD103" s="7"/>
      <c r="AE103" s="8"/>
      <c r="AF103" s="4"/>
      <c r="AG103" s="7"/>
    </row>
    <row r="104" spans="1:35">
      <c r="A104" s="14"/>
      <c r="Q104" s="16"/>
      <c r="R104" s="16"/>
      <c r="S104" s="16"/>
      <c r="T104" s="16"/>
      <c r="U104" s="16"/>
      <c r="V104" s="15"/>
      <c r="W104" s="15"/>
      <c r="X104" s="15"/>
      <c r="Y104" s="15"/>
      <c r="AH104" s="14"/>
    </row>
    <row r="105" spans="1:35">
      <c r="J105" s="7"/>
      <c r="K105" s="7"/>
      <c r="L105" s="7"/>
      <c r="M105" s="7"/>
      <c r="N105" s="8"/>
      <c r="O105" s="8"/>
      <c r="P105" s="8"/>
      <c r="Q105" s="16"/>
      <c r="R105" s="16"/>
      <c r="S105" s="16"/>
      <c r="T105" s="16"/>
      <c r="U105" s="16"/>
      <c r="V105" s="15"/>
      <c r="W105" s="15"/>
      <c r="X105" s="15"/>
      <c r="Y105" s="15"/>
      <c r="Z105" s="8"/>
      <c r="AA105" s="11"/>
      <c r="AB105" s="4"/>
      <c r="AC105" s="8"/>
      <c r="AD105" s="7"/>
      <c r="AE105" s="8"/>
      <c r="AF105" s="4"/>
      <c r="AG105" s="9"/>
    </row>
    <row r="106" spans="1:35">
      <c r="J106" s="7"/>
      <c r="K106" s="7"/>
      <c r="L106" s="7"/>
      <c r="M106" s="7"/>
      <c r="N106" s="8"/>
      <c r="O106" s="8"/>
      <c r="P106" s="8"/>
      <c r="Q106" s="16"/>
      <c r="R106" s="16"/>
      <c r="S106" s="16"/>
      <c r="T106" s="16"/>
      <c r="U106" s="16"/>
      <c r="V106" s="15"/>
      <c r="W106" s="15"/>
      <c r="X106" s="15"/>
      <c r="Y106" s="15"/>
      <c r="Z106" s="8"/>
      <c r="AA106" s="11"/>
      <c r="AB106" s="4"/>
      <c r="AC106" s="8"/>
      <c r="AD106" s="7"/>
      <c r="AE106" s="8"/>
      <c r="AF106" s="4"/>
      <c r="AG106" s="9"/>
    </row>
    <row r="107" spans="1:35">
      <c r="J107" s="7"/>
      <c r="K107" s="7"/>
      <c r="L107" s="7"/>
      <c r="M107" s="7"/>
      <c r="N107" s="8"/>
      <c r="O107" s="8"/>
      <c r="P107" s="8"/>
      <c r="Q107" s="16"/>
      <c r="R107" s="16"/>
      <c r="S107" s="16"/>
      <c r="T107" s="16"/>
      <c r="U107" s="16"/>
      <c r="V107" s="15"/>
      <c r="W107" s="15"/>
      <c r="X107" s="15"/>
      <c r="Y107" s="15"/>
      <c r="Z107" s="8"/>
      <c r="AA107" s="11"/>
      <c r="AB107" s="4"/>
      <c r="AC107" s="8"/>
      <c r="AD107" s="7"/>
      <c r="AE107" s="8"/>
      <c r="AF107" s="4"/>
      <c r="AG107" s="9"/>
    </row>
    <row r="108" spans="1:35">
      <c r="J108" s="7"/>
      <c r="K108" s="7"/>
      <c r="L108" s="7"/>
      <c r="M108" s="7"/>
      <c r="N108" s="8"/>
      <c r="O108" s="8"/>
      <c r="P108" s="8"/>
      <c r="Q108" s="16"/>
      <c r="R108" s="16"/>
      <c r="S108" s="16"/>
      <c r="T108" s="16"/>
      <c r="U108" s="16"/>
      <c r="V108" s="15"/>
      <c r="W108" s="15"/>
      <c r="X108" s="15"/>
      <c r="Y108" s="15"/>
      <c r="Z108" s="8"/>
      <c r="AA108" s="11"/>
      <c r="AB108" s="4"/>
      <c r="AC108" s="8"/>
      <c r="AD108" s="7"/>
      <c r="AE108" s="8"/>
      <c r="AF108" s="4"/>
      <c r="AG108" s="9"/>
    </row>
    <row r="109" spans="1:35">
      <c r="J109" s="7"/>
      <c r="K109" s="7"/>
      <c r="L109" s="7"/>
      <c r="M109" s="7"/>
      <c r="N109" s="8"/>
      <c r="O109" s="8"/>
      <c r="P109" s="8"/>
      <c r="Q109" s="16"/>
      <c r="R109" s="16"/>
      <c r="S109" s="16"/>
      <c r="T109" s="16"/>
      <c r="U109" s="16"/>
      <c r="V109" s="15"/>
      <c r="W109" s="15"/>
      <c r="X109" s="15"/>
      <c r="Y109" s="15"/>
      <c r="Z109" s="8"/>
      <c r="AA109" s="11"/>
      <c r="AB109" s="4"/>
      <c r="AC109" s="8"/>
      <c r="AD109" s="7"/>
      <c r="AE109" s="8"/>
      <c r="AF109" s="4"/>
      <c r="AG109" s="9"/>
    </row>
    <row r="110" spans="1:35">
      <c r="J110" s="7"/>
      <c r="K110" s="7"/>
      <c r="L110" s="7"/>
      <c r="M110" s="7"/>
      <c r="N110" s="8"/>
      <c r="O110" s="8"/>
      <c r="P110" s="8"/>
      <c r="Q110" s="16"/>
      <c r="R110" s="16"/>
      <c r="S110" s="16"/>
      <c r="T110" s="16"/>
      <c r="U110" s="16"/>
      <c r="V110" s="15"/>
      <c r="W110" s="15"/>
      <c r="X110" s="15"/>
      <c r="Y110" s="15"/>
      <c r="Z110" s="8"/>
      <c r="AA110" s="11"/>
      <c r="AB110" s="4"/>
      <c r="AC110" s="8"/>
      <c r="AD110" s="7"/>
      <c r="AE110" s="8"/>
      <c r="AF110" s="4"/>
      <c r="AG110" s="9"/>
    </row>
    <row r="111" spans="1:35">
      <c r="J111" s="7"/>
      <c r="K111" s="7"/>
      <c r="L111" s="7"/>
      <c r="M111" s="7"/>
      <c r="N111" s="8"/>
      <c r="O111" s="8"/>
      <c r="P111" s="8"/>
      <c r="Q111" s="16"/>
      <c r="R111" s="16"/>
      <c r="S111" s="16"/>
      <c r="T111" s="16"/>
      <c r="U111" s="16"/>
      <c r="V111" s="15"/>
      <c r="W111" s="15"/>
      <c r="X111" s="15"/>
      <c r="Y111" s="15"/>
      <c r="Z111" s="8"/>
      <c r="AA111" s="11"/>
      <c r="AB111" s="4"/>
      <c r="AC111" s="8"/>
      <c r="AD111" s="7"/>
      <c r="AE111" s="8"/>
      <c r="AF111" s="4"/>
      <c r="AG111" s="9"/>
    </row>
    <row r="112" spans="1:35">
      <c r="A112" s="14"/>
      <c r="B112" s="17"/>
      <c r="N112" s="8"/>
      <c r="O112" s="8"/>
      <c r="P112" s="8"/>
      <c r="Q112" s="16"/>
      <c r="R112" s="16"/>
      <c r="S112" s="16"/>
      <c r="T112" s="16"/>
      <c r="U112" s="16"/>
      <c r="V112" s="15"/>
      <c r="W112" s="15"/>
      <c r="X112" s="15"/>
      <c r="Y112" s="15"/>
      <c r="Z112" s="8"/>
      <c r="AA112" s="11"/>
      <c r="AB112" s="4"/>
      <c r="AC112" s="8"/>
      <c r="AD112" s="7"/>
      <c r="AE112" s="8"/>
      <c r="AF112" s="4"/>
      <c r="AH112" s="14"/>
      <c r="AI112" s="17"/>
    </row>
    <row r="113" spans="1:34">
      <c r="J113" s="7"/>
      <c r="K113" s="7"/>
      <c r="L113" s="7"/>
      <c r="M113" s="7"/>
      <c r="N113" s="8"/>
      <c r="O113" s="8"/>
      <c r="P113" s="8"/>
      <c r="Q113" s="16"/>
      <c r="R113" s="16"/>
      <c r="S113" s="16"/>
      <c r="T113" s="16"/>
      <c r="U113" s="16"/>
      <c r="V113" s="15"/>
      <c r="W113" s="15"/>
      <c r="X113" s="15"/>
      <c r="Y113" s="15"/>
      <c r="Z113" s="8"/>
      <c r="AA113" s="11"/>
      <c r="AB113" s="4"/>
      <c r="AC113" s="8"/>
      <c r="AD113" s="7"/>
      <c r="AE113" s="8"/>
      <c r="AF113" s="4"/>
      <c r="AG113" s="7"/>
    </row>
    <row r="114" spans="1:34">
      <c r="J114" s="7"/>
      <c r="K114" s="7"/>
      <c r="L114" s="7"/>
      <c r="M114" s="7"/>
      <c r="N114" s="8"/>
      <c r="O114" s="8"/>
      <c r="P114" s="8"/>
      <c r="Q114" s="16"/>
      <c r="R114" s="16"/>
      <c r="S114" s="16"/>
      <c r="T114" s="16"/>
      <c r="U114" s="16"/>
      <c r="V114" s="15"/>
      <c r="W114" s="15"/>
      <c r="X114" s="15"/>
      <c r="Y114" s="15"/>
      <c r="Z114" s="8"/>
      <c r="AA114" s="11"/>
      <c r="AB114" s="4"/>
      <c r="AC114" s="8"/>
      <c r="AD114" s="7"/>
      <c r="AE114" s="8"/>
      <c r="AF114" s="4"/>
      <c r="AG114" s="7"/>
    </row>
    <row r="115" spans="1:34">
      <c r="J115" s="7"/>
      <c r="K115" s="7"/>
      <c r="L115" s="7"/>
      <c r="M115" s="7"/>
      <c r="N115" s="8"/>
      <c r="O115" s="8"/>
      <c r="P115" s="8"/>
      <c r="Q115" s="16"/>
      <c r="R115" s="16"/>
      <c r="S115" s="16"/>
      <c r="T115" s="16"/>
      <c r="U115" s="16"/>
      <c r="V115" s="15"/>
      <c r="W115" s="15"/>
      <c r="X115" s="15"/>
      <c r="Y115" s="15"/>
      <c r="Z115" s="8"/>
      <c r="AA115" s="11"/>
      <c r="AB115" s="4"/>
      <c r="AC115" s="8"/>
      <c r="AD115" s="7"/>
      <c r="AE115" s="8"/>
      <c r="AF115" s="4"/>
      <c r="AG115" s="7"/>
    </row>
    <row r="116" spans="1:34">
      <c r="J116" s="7"/>
      <c r="K116" s="7"/>
      <c r="L116" s="7"/>
      <c r="M116" s="7"/>
      <c r="N116" s="8"/>
      <c r="O116" s="8"/>
      <c r="P116" s="8"/>
      <c r="Q116" s="16"/>
      <c r="R116" s="16"/>
      <c r="S116" s="16"/>
      <c r="T116" s="16"/>
      <c r="U116" s="16"/>
      <c r="V116" s="15"/>
      <c r="W116" s="15"/>
      <c r="X116" s="15"/>
      <c r="Y116" s="15"/>
      <c r="Z116" s="8"/>
      <c r="AA116" s="11"/>
      <c r="AB116" s="4"/>
      <c r="AC116" s="8"/>
      <c r="AD116" s="7"/>
      <c r="AE116" s="8"/>
      <c r="AF116" s="4"/>
      <c r="AG116" s="7"/>
    </row>
    <row r="117" spans="1:34">
      <c r="J117" s="7"/>
      <c r="K117" s="7"/>
      <c r="L117" s="7"/>
      <c r="M117" s="7"/>
      <c r="N117" s="8"/>
      <c r="O117" s="8"/>
      <c r="P117" s="8"/>
      <c r="Q117" s="16"/>
      <c r="R117" s="16"/>
      <c r="S117" s="16"/>
      <c r="T117" s="16"/>
      <c r="U117" s="16"/>
      <c r="V117" s="15"/>
      <c r="W117" s="15"/>
      <c r="X117" s="15"/>
      <c r="Y117" s="15"/>
      <c r="Z117" s="8"/>
      <c r="AA117" s="11"/>
      <c r="AB117" s="4"/>
      <c r="AC117" s="8"/>
      <c r="AD117" s="7"/>
      <c r="AE117" s="8"/>
      <c r="AF117" s="4"/>
      <c r="AG117" s="7"/>
    </row>
    <row r="118" spans="1:34">
      <c r="J118" s="7"/>
      <c r="K118" s="7"/>
      <c r="L118" s="7"/>
      <c r="M118" s="7"/>
      <c r="N118" s="8"/>
      <c r="O118" s="8"/>
      <c r="P118" s="8"/>
      <c r="Q118" s="16"/>
      <c r="R118" s="16"/>
      <c r="S118" s="16"/>
      <c r="T118" s="16"/>
      <c r="U118" s="16"/>
      <c r="V118" s="15"/>
      <c r="W118" s="15"/>
      <c r="X118" s="15"/>
      <c r="Y118" s="15"/>
      <c r="Z118" s="8"/>
      <c r="AA118" s="11"/>
      <c r="AB118" s="4"/>
      <c r="AC118" s="8"/>
      <c r="AD118" s="7"/>
      <c r="AE118" s="8"/>
      <c r="AF118" s="4"/>
      <c r="AG118" s="7"/>
    </row>
    <row r="119" spans="1:34">
      <c r="J119" s="7"/>
      <c r="K119" s="7"/>
      <c r="L119" s="7"/>
      <c r="M119" s="7"/>
      <c r="N119" s="8"/>
      <c r="O119" s="8"/>
      <c r="P119" s="8"/>
      <c r="Q119" s="16"/>
      <c r="R119" s="16"/>
      <c r="S119" s="16"/>
      <c r="T119" s="16"/>
      <c r="U119" s="16"/>
      <c r="V119" s="15"/>
      <c r="W119" s="15"/>
      <c r="X119" s="15"/>
      <c r="Y119" s="15"/>
      <c r="Z119" s="8"/>
      <c r="AA119" s="11"/>
      <c r="AB119" s="4"/>
      <c r="AC119" s="8"/>
      <c r="AD119" s="7"/>
      <c r="AE119" s="8"/>
      <c r="AF119" s="4"/>
      <c r="AG119" s="7"/>
    </row>
    <row r="120" spans="1:34">
      <c r="A120" s="14"/>
      <c r="Q120" s="16"/>
      <c r="R120" s="16"/>
      <c r="S120" s="16"/>
      <c r="T120" s="16"/>
      <c r="U120" s="16"/>
      <c r="V120" s="15"/>
      <c r="W120" s="15"/>
      <c r="X120" s="15"/>
      <c r="Y120" s="15"/>
      <c r="AH120" s="14"/>
    </row>
    <row r="121" spans="1:34">
      <c r="J121" s="7"/>
      <c r="K121" s="7"/>
      <c r="L121" s="7"/>
      <c r="M121" s="7"/>
      <c r="N121" s="8"/>
      <c r="O121" s="8"/>
      <c r="P121" s="8"/>
      <c r="Q121" s="16"/>
      <c r="R121" s="16"/>
      <c r="S121" s="16"/>
      <c r="T121" s="16"/>
      <c r="U121" s="16"/>
      <c r="V121" s="15"/>
      <c r="W121" s="15"/>
      <c r="X121" s="15"/>
      <c r="Y121" s="15"/>
      <c r="Z121" s="8"/>
      <c r="AA121" s="11"/>
      <c r="AB121" s="4"/>
      <c r="AC121" s="8"/>
      <c r="AD121" s="7"/>
      <c r="AE121" s="8"/>
      <c r="AF121" s="4"/>
      <c r="AG121" s="9"/>
    </row>
    <row r="122" spans="1:34">
      <c r="J122" s="7"/>
      <c r="K122" s="7"/>
      <c r="L122" s="7"/>
      <c r="M122" s="7"/>
      <c r="N122" s="8"/>
      <c r="O122" s="8"/>
      <c r="P122" s="8"/>
      <c r="Q122" s="16"/>
      <c r="R122" s="16"/>
      <c r="S122" s="16"/>
      <c r="T122" s="16"/>
      <c r="U122" s="16"/>
      <c r="V122" s="15"/>
      <c r="W122" s="15"/>
      <c r="X122" s="15"/>
      <c r="Y122" s="15"/>
      <c r="Z122" s="8"/>
      <c r="AA122" s="11"/>
      <c r="AB122" s="4"/>
      <c r="AC122" s="8"/>
      <c r="AD122" s="7"/>
      <c r="AE122" s="8"/>
      <c r="AF122" s="4"/>
      <c r="AG122" s="9"/>
    </row>
    <row r="123" spans="1:34">
      <c r="J123" s="7"/>
      <c r="K123" s="7"/>
      <c r="L123" s="7"/>
      <c r="M123" s="7"/>
      <c r="N123" s="8"/>
      <c r="O123" s="8"/>
      <c r="P123" s="8"/>
      <c r="Q123" s="16"/>
      <c r="R123" s="16"/>
      <c r="S123" s="16"/>
      <c r="T123" s="16"/>
      <c r="U123" s="16"/>
      <c r="V123" s="15"/>
      <c r="W123" s="15"/>
      <c r="X123" s="15"/>
      <c r="Y123" s="15"/>
      <c r="Z123" s="8"/>
      <c r="AA123" s="11"/>
      <c r="AB123" s="4"/>
      <c r="AC123" s="8"/>
      <c r="AD123" s="7"/>
      <c r="AE123" s="8"/>
      <c r="AF123" s="4"/>
      <c r="AG123" s="9"/>
    </row>
    <row r="124" spans="1:34">
      <c r="J124" s="7"/>
      <c r="K124" s="7"/>
      <c r="L124" s="7"/>
      <c r="M124" s="7"/>
      <c r="N124" s="8"/>
      <c r="O124" s="8"/>
      <c r="P124" s="8"/>
      <c r="Q124" s="16"/>
      <c r="R124" s="16"/>
      <c r="S124" s="16"/>
      <c r="T124" s="16"/>
      <c r="U124" s="16"/>
      <c r="V124" s="15"/>
      <c r="W124" s="15"/>
      <c r="X124" s="15"/>
      <c r="Y124" s="15"/>
      <c r="Z124" s="8"/>
      <c r="AA124" s="11"/>
      <c r="AB124" s="4"/>
      <c r="AC124" s="8"/>
      <c r="AD124" s="7"/>
      <c r="AE124" s="8"/>
      <c r="AF124" s="4"/>
      <c r="AG124" s="9"/>
    </row>
    <row r="125" spans="1:34">
      <c r="J125" s="7"/>
      <c r="K125" s="7"/>
      <c r="L125" s="7"/>
      <c r="M125" s="7"/>
      <c r="N125" s="8"/>
      <c r="O125" s="8"/>
      <c r="P125" s="8"/>
      <c r="Q125" s="16"/>
      <c r="R125" s="16"/>
      <c r="S125" s="16"/>
      <c r="T125" s="16"/>
      <c r="U125" s="16"/>
      <c r="V125" s="15"/>
      <c r="W125" s="15"/>
      <c r="X125" s="15"/>
      <c r="Y125" s="15"/>
      <c r="Z125" s="8"/>
      <c r="AA125" s="11"/>
      <c r="AB125" s="4"/>
      <c r="AC125" s="8"/>
      <c r="AD125" s="7"/>
      <c r="AE125" s="8"/>
      <c r="AF125" s="4"/>
      <c r="AG125" s="9"/>
    </row>
    <row r="126" spans="1:34">
      <c r="J126" s="7"/>
      <c r="K126" s="7"/>
      <c r="L126" s="7"/>
      <c r="M126" s="7"/>
      <c r="N126" s="8"/>
      <c r="O126" s="8"/>
      <c r="P126" s="8"/>
      <c r="Q126" s="16"/>
      <c r="R126" s="16"/>
      <c r="S126" s="16"/>
      <c r="T126" s="16"/>
      <c r="U126" s="16"/>
      <c r="V126" s="15"/>
      <c r="W126" s="15"/>
      <c r="X126" s="15"/>
      <c r="Y126" s="15"/>
      <c r="Z126" s="8"/>
      <c r="AA126" s="11"/>
      <c r="AB126" s="4"/>
      <c r="AC126" s="8"/>
      <c r="AD126" s="7"/>
      <c r="AE126" s="8"/>
      <c r="AF126" s="4"/>
      <c r="AG126" s="9"/>
    </row>
    <row r="127" spans="1:34">
      <c r="J127" s="7"/>
      <c r="K127" s="7"/>
      <c r="L127" s="7"/>
      <c r="M127" s="7"/>
      <c r="N127" s="8"/>
      <c r="O127" s="8"/>
      <c r="P127" s="8"/>
      <c r="Q127" s="16"/>
      <c r="R127" s="16"/>
      <c r="S127" s="16"/>
      <c r="T127" s="16"/>
      <c r="U127" s="16"/>
      <c r="V127" s="15"/>
      <c r="W127" s="15"/>
      <c r="X127" s="15"/>
      <c r="Y127" s="15"/>
      <c r="Z127" s="8"/>
      <c r="AA127" s="11"/>
      <c r="AB127" s="4"/>
      <c r="AC127" s="8"/>
      <c r="AD127" s="7"/>
      <c r="AE127" s="8"/>
      <c r="AF127" s="4"/>
      <c r="AG127" s="9"/>
    </row>
    <row r="128" spans="1:34">
      <c r="B128" s="8"/>
      <c r="C128" s="8"/>
      <c r="D128" s="8"/>
      <c r="E128" s="7"/>
    </row>
    <row r="129" spans="2:34">
      <c r="B129" s="8"/>
      <c r="J129" s="7"/>
      <c r="K129" s="7"/>
      <c r="L129" s="7"/>
      <c r="M129" s="7"/>
      <c r="N129" s="8"/>
      <c r="O129" s="8"/>
      <c r="P129" s="8"/>
      <c r="Q129" s="16"/>
      <c r="R129" s="16"/>
      <c r="S129" s="16"/>
      <c r="T129" s="16"/>
      <c r="U129" s="16"/>
      <c r="V129" s="15"/>
      <c r="W129" s="15"/>
      <c r="X129" s="15"/>
      <c r="Y129" s="15"/>
      <c r="Z129" s="8"/>
      <c r="AA129" s="11"/>
      <c r="AB129" s="4"/>
      <c r="AC129" s="8"/>
      <c r="AD129" s="7"/>
      <c r="AE129" s="8"/>
      <c r="AF129" s="4"/>
      <c r="AG129" s="9"/>
    </row>
    <row r="130" spans="2:34">
      <c r="B130" s="8"/>
      <c r="J130" s="7"/>
      <c r="K130" s="7"/>
      <c r="L130" s="7"/>
      <c r="M130" s="7"/>
      <c r="N130" s="8"/>
      <c r="O130" s="8"/>
      <c r="P130" s="8"/>
      <c r="Q130" s="16"/>
      <c r="R130" s="16"/>
      <c r="S130" s="16"/>
      <c r="T130" s="16"/>
      <c r="U130" s="16"/>
      <c r="V130" s="15"/>
      <c r="W130" s="15"/>
      <c r="X130" s="15"/>
      <c r="Y130" s="15"/>
      <c r="Z130" s="8"/>
      <c r="AA130" s="11"/>
      <c r="AB130" s="4"/>
      <c r="AC130" s="8"/>
      <c r="AD130" s="7"/>
      <c r="AE130" s="8"/>
      <c r="AF130" s="4"/>
      <c r="AG130" s="9"/>
    </row>
    <row r="131" spans="2:34">
      <c r="B131" s="8"/>
      <c r="J131" s="7"/>
      <c r="K131" s="7"/>
      <c r="L131" s="7"/>
      <c r="M131" s="7"/>
      <c r="N131" s="8"/>
      <c r="O131" s="8"/>
      <c r="P131" s="8"/>
      <c r="Q131" s="16"/>
      <c r="R131" s="16"/>
      <c r="S131" s="16"/>
      <c r="T131" s="16"/>
      <c r="U131" s="16"/>
      <c r="V131" s="15"/>
      <c r="W131" s="15"/>
      <c r="X131" s="15"/>
      <c r="Y131" s="15"/>
      <c r="Z131" s="8"/>
      <c r="AA131" s="11"/>
      <c r="AB131" s="4"/>
      <c r="AC131" s="8"/>
      <c r="AD131" s="7"/>
      <c r="AE131" s="8"/>
      <c r="AF131" s="4"/>
      <c r="AG131" s="9"/>
    </row>
    <row r="132" spans="2:34">
      <c r="B132" s="8"/>
      <c r="J132" s="7"/>
      <c r="K132" s="7"/>
      <c r="L132" s="7"/>
      <c r="M132" s="7"/>
      <c r="N132" s="8"/>
      <c r="O132" s="8"/>
      <c r="P132" s="8"/>
      <c r="Q132" s="16"/>
      <c r="R132" s="16"/>
      <c r="S132" s="16"/>
      <c r="T132" s="16"/>
      <c r="U132" s="16"/>
      <c r="V132" s="15"/>
      <c r="W132" s="15"/>
      <c r="X132" s="15"/>
      <c r="Y132" s="15"/>
      <c r="Z132" s="8"/>
      <c r="AA132" s="11"/>
      <c r="AB132" s="4"/>
      <c r="AC132" s="8"/>
      <c r="AD132" s="7"/>
      <c r="AE132" s="8"/>
      <c r="AF132" s="4"/>
      <c r="AG132" s="9"/>
    </row>
    <row r="133" spans="2:34">
      <c r="B133" s="8"/>
      <c r="J133" s="7"/>
      <c r="K133" s="7"/>
      <c r="L133" s="7"/>
      <c r="M133" s="7"/>
      <c r="N133" s="8"/>
      <c r="O133" s="8"/>
      <c r="P133" s="8"/>
      <c r="Q133" s="16"/>
      <c r="R133" s="16"/>
      <c r="S133" s="16"/>
      <c r="T133" s="16"/>
      <c r="U133" s="16"/>
      <c r="V133" s="15"/>
      <c r="W133" s="15"/>
      <c r="X133" s="15"/>
      <c r="Y133" s="15"/>
      <c r="Z133" s="8"/>
      <c r="AA133" s="11"/>
      <c r="AB133" s="4"/>
      <c r="AC133" s="8"/>
      <c r="AD133" s="7"/>
      <c r="AE133" s="8"/>
      <c r="AF133" s="4"/>
      <c r="AG133" s="9"/>
    </row>
    <row r="134" spans="2:34">
      <c r="B134" s="8"/>
      <c r="J134" s="7"/>
      <c r="K134" s="7"/>
      <c r="L134" s="7"/>
      <c r="M134" s="7"/>
      <c r="N134" s="8"/>
      <c r="O134" s="8"/>
      <c r="P134" s="8"/>
      <c r="Q134" s="16"/>
      <c r="R134" s="16"/>
      <c r="S134" s="16"/>
      <c r="T134" s="16"/>
      <c r="U134" s="16"/>
      <c r="V134" s="15"/>
      <c r="W134" s="15"/>
      <c r="X134" s="15"/>
      <c r="Y134" s="15"/>
      <c r="Z134" s="8"/>
      <c r="AA134" s="11"/>
      <c r="AB134" s="4"/>
      <c r="AC134" s="8"/>
      <c r="AD134" s="7"/>
      <c r="AE134" s="8"/>
      <c r="AF134" s="4"/>
      <c r="AG134" s="9"/>
    </row>
    <row r="135" spans="2:34">
      <c r="B135" s="8"/>
      <c r="J135" s="7"/>
      <c r="K135" s="7"/>
      <c r="L135" s="7"/>
      <c r="M135" s="7"/>
      <c r="N135" s="8"/>
      <c r="O135" s="8"/>
      <c r="P135" s="8"/>
      <c r="Q135" s="16"/>
      <c r="R135" s="16"/>
      <c r="S135" s="16"/>
      <c r="T135" s="16"/>
      <c r="U135" s="16"/>
      <c r="V135" s="15"/>
      <c r="W135" s="15"/>
      <c r="X135" s="15"/>
      <c r="Y135" s="15"/>
      <c r="Z135" s="8"/>
      <c r="AA135" s="11"/>
      <c r="AB135" s="4"/>
      <c r="AC135" s="8"/>
      <c r="AD135" s="7"/>
      <c r="AE135" s="8"/>
      <c r="AF135" s="4"/>
      <c r="AG135" s="9"/>
    </row>
    <row r="138" spans="2:34">
      <c r="AH138" s="6"/>
    </row>
    <row r="140" spans="2:34">
      <c r="J140" s="7"/>
      <c r="K140" s="7"/>
      <c r="L140" s="7"/>
      <c r="M140" s="7"/>
      <c r="N140" s="8"/>
      <c r="O140" s="8"/>
      <c r="P140" s="8"/>
      <c r="Q140" s="16"/>
      <c r="R140" s="16"/>
      <c r="S140" s="16"/>
      <c r="T140" s="16"/>
      <c r="U140" s="16"/>
      <c r="V140" s="15"/>
      <c r="W140" s="15"/>
      <c r="X140" s="15"/>
      <c r="Y140" s="15"/>
      <c r="Z140" s="8"/>
      <c r="AA140" s="11"/>
      <c r="AB140" s="4"/>
      <c r="AC140" s="8"/>
      <c r="AD140" s="7"/>
      <c r="AE140" s="8"/>
      <c r="AF140" s="4"/>
      <c r="AH140" s="4"/>
    </row>
    <row r="141" spans="2:34">
      <c r="J141" s="7"/>
      <c r="K141" s="7"/>
      <c r="L141" s="7"/>
      <c r="M141" s="7"/>
      <c r="N141" s="8"/>
      <c r="O141" s="8"/>
      <c r="P141" s="8"/>
      <c r="Q141" s="16"/>
      <c r="R141" s="16"/>
      <c r="S141" s="16"/>
      <c r="T141" s="16"/>
      <c r="U141" s="16"/>
      <c r="V141" s="15"/>
      <c r="W141" s="15"/>
      <c r="X141" s="15"/>
      <c r="Y141" s="15"/>
      <c r="Z141" s="8"/>
      <c r="AA141" s="11"/>
      <c r="AB141" s="4"/>
      <c r="AC141" s="8"/>
      <c r="AD141" s="7"/>
      <c r="AE141" s="8"/>
      <c r="AF141" s="4"/>
    </row>
    <row r="142" spans="2:34">
      <c r="AH142" s="4"/>
    </row>
    <row r="143" spans="2:34">
      <c r="AH143" s="4"/>
    </row>
  </sheetData>
  <pageMargins left="0" right="0" top="0.39416666666666711" bottom="0.39416666666666711" header="0" footer="0"/>
  <pageSetup fitToWidth="0" fitToHeight="0" orientation="portrait" r:id="rId1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B63C-9E99-4A7A-A77D-80C74EA0897B}">
  <dimension ref="A1:AY143"/>
  <sheetViews>
    <sheetView topLeftCell="AC1" zoomScaleNormal="100" workbookViewId="0">
      <selection activeCell="AI1" sqref="AI1:BF33"/>
    </sheetView>
  </sheetViews>
  <sheetFormatPr defaultColWidth="9" defaultRowHeight="14.25"/>
  <cols>
    <col min="1" max="1" width="23.125" customWidth="1"/>
    <col min="2" max="2" width="21" customWidth="1"/>
    <col min="3" max="3" width="13" customWidth="1"/>
    <col min="4" max="4" width="17.625" customWidth="1"/>
    <col min="5" max="5" width="18.25" customWidth="1"/>
    <col min="6" max="6" width="31.375" customWidth="1"/>
    <col min="7" max="7" width="22.75" customWidth="1"/>
    <col min="8" max="8" width="22.625" customWidth="1"/>
    <col min="9" max="9" width="30" customWidth="1"/>
    <col min="10" max="10" width="12.125" customWidth="1"/>
    <col min="11" max="11" width="20.625" customWidth="1"/>
    <col min="12" max="12" width="14.875" customWidth="1"/>
    <col min="13" max="13" width="23.25" customWidth="1"/>
    <col min="14" max="14" width="9.875" customWidth="1"/>
    <col min="15" max="16" width="13" customWidth="1"/>
    <col min="17" max="17" width="23.25" customWidth="1"/>
    <col min="18" max="18" width="14.25" customWidth="1"/>
    <col min="19" max="19" width="19.125" customWidth="1"/>
    <col min="20" max="20" width="16.125" customWidth="1"/>
    <col min="21" max="21" width="21.625" customWidth="1"/>
    <col min="22" max="24" width="22.25" customWidth="1"/>
    <col min="25" max="25" width="32.25" customWidth="1"/>
    <col min="26" max="26" width="10.75" customWidth="1"/>
    <col min="27" max="27" width="21.75" customWidth="1"/>
    <col min="28" max="28" width="16.75" customWidth="1"/>
    <col min="29" max="29" width="14.875" customWidth="1"/>
    <col min="30" max="31" width="10.75" customWidth="1"/>
    <col min="32" max="32" width="19.625" customWidth="1"/>
    <col min="33" max="33" width="25" customWidth="1"/>
    <col min="34" max="34" width="29.75" customWidth="1"/>
    <col min="35" max="35" width="26.75" customWidth="1"/>
    <col min="36" max="36" width="21.5" customWidth="1"/>
    <col min="37" max="1025" width="10.75" customWidth="1"/>
    <col min="1026" max="1026" width="9" customWidth="1"/>
  </cols>
  <sheetData>
    <row r="1" spans="1:51" ht="15">
      <c r="A1" t="s">
        <v>47</v>
      </c>
      <c r="B1">
        <v>2</v>
      </c>
      <c r="H1" t="s">
        <v>72</v>
      </c>
      <c r="K1" t="s">
        <v>86</v>
      </c>
      <c r="L1" s="27">
        <v>130.68</v>
      </c>
      <c r="M1" t="s">
        <v>87</v>
      </c>
      <c r="N1" t="s">
        <v>72</v>
      </c>
      <c r="O1" s="8">
        <v>2.70590029233333E-10</v>
      </c>
      <c r="R1" t="s">
        <v>39</v>
      </c>
    </row>
    <row r="2" spans="1:51">
      <c r="A2" t="s">
        <v>48</v>
      </c>
      <c r="B2" s="8">
        <f>O6</f>
        <v>6.3942155849131362E-20</v>
      </c>
      <c r="C2" t="s">
        <v>49</v>
      </c>
      <c r="D2" s="8">
        <f>B2*(100^2)</f>
        <v>6.3942155849131364E-16</v>
      </c>
      <c r="E2" t="s">
        <v>50</v>
      </c>
      <c r="H2" s="8">
        <v>2.7058999999999999E-10</v>
      </c>
      <c r="I2" t="s">
        <v>73</v>
      </c>
      <c r="J2" s="7"/>
      <c r="L2">
        <f>L1/6.02E+23</f>
        <v>2.1707641196013289E-22</v>
      </c>
      <c r="M2" t="s">
        <v>57</v>
      </c>
      <c r="N2" t="s">
        <v>48</v>
      </c>
      <c r="O2">
        <f>O1*SQRT(3)*O1/2</f>
        <v>6.3409482793925798E-20</v>
      </c>
      <c r="X2" t="s">
        <v>0</v>
      </c>
    </row>
    <row r="3" spans="1:51">
      <c r="A3" t="s">
        <v>51</v>
      </c>
      <c r="B3" s="8">
        <v>1.5999999999999999E-19</v>
      </c>
      <c r="C3" t="s">
        <v>52</v>
      </c>
      <c r="H3" s="8">
        <f>H2*H2/2*(3^0.5)</f>
        <v>6.3409469092974345E-20</v>
      </c>
      <c r="I3" t="s">
        <v>49</v>
      </c>
      <c r="J3" s="7"/>
      <c r="L3">
        <f>L2/1.6E-19</f>
        <v>1.3567275747508308E-3</v>
      </c>
      <c r="M3" t="s">
        <v>88</v>
      </c>
      <c r="X3" t="s">
        <v>1</v>
      </c>
    </row>
    <row r="4" spans="1:51">
      <c r="A4" t="s">
        <v>53</v>
      </c>
      <c r="B4" s="8">
        <v>6.6200000000000001E-34</v>
      </c>
      <c r="C4" t="s">
        <v>54</v>
      </c>
      <c r="D4" t="s">
        <v>55</v>
      </c>
      <c r="E4">
        <v>8.6099585062240669E-5</v>
      </c>
      <c r="G4" t="s">
        <v>74</v>
      </c>
      <c r="H4" s="8">
        <v>1000</v>
      </c>
      <c r="J4" s="7"/>
      <c r="L4">
        <f>L3*B6</f>
        <v>0.40701827242524924</v>
      </c>
      <c r="M4" t="s">
        <v>89</v>
      </c>
      <c r="X4" t="s">
        <v>2</v>
      </c>
      <c r="Y4" t="s">
        <v>3</v>
      </c>
    </row>
    <row r="5" spans="1:51">
      <c r="A5" t="s">
        <v>56</v>
      </c>
      <c r="B5" s="8">
        <v>1.3800000000000001E-23</v>
      </c>
      <c r="C5" t="s">
        <v>57</v>
      </c>
      <c r="D5" t="s">
        <v>58</v>
      </c>
      <c r="E5" s="8">
        <v>8.6250000000000009E-5</v>
      </c>
      <c r="H5" s="8"/>
      <c r="J5" s="7"/>
      <c r="O5">
        <f>18.51664226 *16.03588259*0.5291*0.5291</f>
        <v>83.124802603870762</v>
      </c>
    </row>
    <row r="6" spans="1:51">
      <c r="A6" t="s">
        <v>59</v>
      </c>
      <c r="B6">
        <v>300</v>
      </c>
      <c r="C6" t="s">
        <v>60</v>
      </c>
      <c r="J6" s="7"/>
      <c r="O6">
        <f>O5/13/100000000000000000000</f>
        <v>6.3942155849131362E-20</v>
      </c>
      <c r="AO6" s="24"/>
      <c r="AX6" s="18"/>
      <c r="AY6" s="18"/>
    </row>
    <row r="7" spans="1:51">
      <c r="B7" s="1"/>
      <c r="C7" s="1"/>
      <c r="D7" s="1"/>
      <c r="E7" s="1"/>
      <c r="AO7" s="24"/>
      <c r="AP7" s="17"/>
      <c r="AX7" s="18"/>
      <c r="AY7" s="18"/>
    </row>
    <row r="8" spans="1:51">
      <c r="B8" s="1"/>
      <c r="C8" s="1"/>
      <c r="D8" s="1"/>
      <c r="E8" s="1"/>
      <c r="V8">
        <v>1.5</v>
      </c>
      <c r="W8">
        <f>V8-0.2</f>
        <v>1.3</v>
      </c>
      <c r="X8">
        <f t="shared" ref="X8:AD8" si="0">W8-0.2</f>
        <v>1.1000000000000001</v>
      </c>
      <c r="Y8">
        <f t="shared" si="0"/>
        <v>0.90000000000000013</v>
      </c>
      <c r="Z8">
        <f t="shared" si="0"/>
        <v>0.70000000000000018</v>
      </c>
      <c r="AA8">
        <f>Z8-0.2</f>
        <v>0.50000000000000022</v>
      </c>
      <c r="AB8">
        <f t="shared" si="0"/>
        <v>0.30000000000000021</v>
      </c>
      <c r="AC8">
        <f t="shared" si="0"/>
        <v>0.1000000000000002</v>
      </c>
      <c r="AD8">
        <f t="shared" si="0"/>
        <v>-9.9999999999999811E-2</v>
      </c>
      <c r="AO8" s="24"/>
      <c r="AX8" s="18"/>
      <c r="AY8" s="18"/>
    </row>
    <row r="9" spans="1:51">
      <c r="A9" t="s">
        <v>4</v>
      </c>
      <c r="B9" s="1"/>
      <c r="C9" s="1"/>
      <c r="D9" s="1"/>
      <c r="E9" s="1"/>
      <c r="F9">
        <v>-16.809909999999999</v>
      </c>
      <c r="G9">
        <v>6.4589999999999996</v>
      </c>
      <c r="H9">
        <v>0.24199999999999999</v>
      </c>
      <c r="I9">
        <v>1.1100000000000001E-3</v>
      </c>
      <c r="J9">
        <f>F9*627.5096+G9+H9+B9+D9-0.29815*(C9+E9+I9)</f>
        <v>-10541.679231082497</v>
      </c>
      <c r="K9" t="s">
        <v>29</v>
      </c>
      <c r="L9" t="s">
        <v>38</v>
      </c>
      <c r="U9" t="s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O9" s="24"/>
      <c r="AX9" s="18"/>
      <c r="AY9" s="6"/>
    </row>
    <row r="10" spans="1:51">
      <c r="A10" t="s">
        <v>29</v>
      </c>
      <c r="B10" s="1"/>
      <c r="C10" s="1"/>
      <c r="D10" s="1"/>
      <c r="E10" s="12">
        <f>(H$20+I$20)</f>
        <v>-0.14013323160494667</v>
      </c>
      <c r="K10">
        <v>-1.1653116527471199</v>
      </c>
      <c r="L10">
        <f>K10-2*(H$20+I$20)</f>
        <v>-0.88504518953722655</v>
      </c>
      <c r="U10" t="s">
        <v>25</v>
      </c>
      <c r="V10">
        <v>-1.403672059269055</v>
      </c>
      <c r="W10">
        <v>-1.1318461505453223</v>
      </c>
      <c r="X10">
        <v>-0.84439289141522278</v>
      </c>
      <c r="Y10">
        <v>-0.54131228188381775</v>
      </c>
      <c r="Z10">
        <v>-0.22260432194224963</v>
      </c>
      <c r="AA10">
        <v>0.11173098840188923</v>
      </c>
      <c r="AB10">
        <v>0.46169364915492578</v>
      </c>
      <c r="AC10">
        <v>0.82728366030800238</v>
      </c>
      <c r="AD10">
        <v>1.2085010218598535</v>
      </c>
      <c r="AO10" s="24"/>
      <c r="AP10" s="17"/>
      <c r="AX10" s="18"/>
      <c r="AY10" s="18"/>
    </row>
    <row r="11" spans="1:51">
      <c r="E11">
        <f>4.66/27.2</f>
        <v>0.17132352941176471</v>
      </c>
      <c r="J11" t="s">
        <v>5</v>
      </c>
      <c r="K11" t="s">
        <v>6</v>
      </c>
      <c r="U11" t="s">
        <v>26</v>
      </c>
      <c r="V11">
        <v>2.7128891315242862</v>
      </c>
      <c r="W11">
        <v>2.822191464345214</v>
      </c>
      <c r="X11">
        <v>2.9393182733164513</v>
      </c>
      <c r="Y11">
        <v>3.0642695584202833</v>
      </c>
      <c r="Z11">
        <v>3.1970453196693636</v>
      </c>
      <c r="AA11">
        <v>3.3376455570598962</v>
      </c>
      <c r="AB11">
        <v>3.4860702705982081</v>
      </c>
      <c r="AC11">
        <v>3.6423194602741757</v>
      </c>
      <c r="AD11">
        <v>3.8063931260928614</v>
      </c>
      <c r="AO11" s="24"/>
      <c r="AX11" s="18"/>
      <c r="AY11" s="18"/>
    </row>
    <row r="12" spans="1:51">
      <c r="C12">
        <v>-1233.5484164598799</v>
      </c>
      <c r="D12">
        <v>-1527.77089179312</v>
      </c>
      <c r="K12" t="s">
        <v>30</v>
      </c>
      <c r="L12" t="s">
        <v>31</v>
      </c>
      <c r="U12" t="s">
        <v>27</v>
      </c>
      <c r="V12">
        <v>-1.3526834151454512</v>
      </c>
      <c r="W12">
        <v>-1.1835622978826945</v>
      </c>
      <c r="X12">
        <v>-1.0012053585024145</v>
      </c>
      <c r="Y12">
        <v>-0.80561259698816168</v>
      </c>
      <c r="Z12">
        <v>-0.59678401335512044</v>
      </c>
      <c r="AA12">
        <v>-0.37471960760455619</v>
      </c>
      <c r="AB12">
        <v>-0.13941937972128432</v>
      </c>
      <c r="AC12">
        <v>0.10911667027191826</v>
      </c>
      <c r="AD12">
        <v>0.37088854239403229</v>
      </c>
      <c r="AO12" s="24"/>
      <c r="AX12" s="18"/>
      <c r="AY12" s="18"/>
    </row>
    <row r="13" spans="1:51">
      <c r="A13" t="s">
        <v>7</v>
      </c>
      <c r="D13">
        <v>-0.15398547600000001</v>
      </c>
      <c r="E13">
        <v>-0.14477606500000001</v>
      </c>
      <c r="H13" t="s">
        <v>8</v>
      </c>
      <c r="I13" s="6">
        <v>13</v>
      </c>
      <c r="K13">
        <f>0.5*E97</f>
        <v>0</v>
      </c>
      <c r="L13">
        <f>K13*630-(-4.66*23.06)-0.0592*23.06*I13</f>
        <v>89.712623999999991</v>
      </c>
      <c r="O13" t="s">
        <v>24</v>
      </c>
      <c r="P13" s="4" t="e">
        <f>#REF!</f>
        <v>#REF!</v>
      </c>
      <c r="U13" t="s">
        <v>28</v>
      </c>
      <c r="V13">
        <v>3.3866367385084941</v>
      </c>
      <c r="W13">
        <v>3.3746967741969023</v>
      </c>
      <c r="X13">
        <v>3.371191047654619</v>
      </c>
      <c r="Y13">
        <v>3.3761195588702559</v>
      </c>
      <c r="Z13">
        <v>3.389482307842548</v>
      </c>
      <c r="AA13">
        <v>3.4112792945854142</v>
      </c>
      <c r="AB13">
        <v>3.4415105191064472</v>
      </c>
      <c r="AC13">
        <v>3.4801759813689506</v>
      </c>
      <c r="AD13">
        <v>3.5272756814045589</v>
      </c>
      <c r="AO13" s="24"/>
      <c r="AP13" s="17"/>
      <c r="AX13" s="18"/>
      <c r="AY13" s="18"/>
    </row>
    <row r="14" spans="1:51">
      <c r="A14" t="s">
        <v>9</v>
      </c>
      <c r="C14">
        <f>-0.1488986+4.66/27.2</f>
        <v>2.2424929411764716E-2</v>
      </c>
      <c r="D14">
        <f>D13+4.66/27.2</f>
        <v>1.7338053411764698E-2</v>
      </c>
      <c r="E14">
        <f>E13+4.66/27.2</f>
        <v>2.6547464411764699E-2</v>
      </c>
      <c r="H14" t="s">
        <v>10</v>
      </c>
      <c r="I14" s="13">
        <f>-AI36</f>
        <v>0.08</v>
      </c>
      <c r="O14" t="s">
        <v>28</v>
      </c>
      <c r="P14" s="4" t="e">
        <f>#REF!</f>
        <v>#REF!</v>
      </c>
      <c r="U14" t="s">
        <v>36</v>
      </c>
      <c r="AO14" s="24"/>
      <c r="AX14" s="18"/>
      <c r="AY14" s="18"/>
    </row>
    <row r="15" spans="1:51">
      <c r="C15">
        <f>-C14*27.2</f>
        <v>-0.60995808000000029</v>
      </c>
      <c r="D15">
        <f>-D14*27.2</f>
        <v>-0.47159505279999975</v>
      </c>
      <c r="E15">
        <f>-E14*27.2</f>
        <v>-0.7220910319999998</v>
      </c>
      <c r="L15" s="2"/>
      <c r="O15" t="s">
        <v>25</v>
      </c>
      <c r="P15" s="4" t="e">
        <f>#REF!</f>
        <v>#REF!</v>
      </c>
      <c r="U15" t="s">
        <v>24</v>
      </c>
      <c r="V15">
        <v>-3.5663614113835376</v>
      </c>
      <c r="W15">
        <v>-3.7331230898904009</v>
      </c>
      <c r="X15">
        <v>-3.848278211156392</v>
      </c>
      <c r="Y15">
        <v>-3.9118267751612659</v>
      </c>
      <c r="Z15">
        <v>-3.9237687819708218</v>
      </c>
      <c r="AA15">
        <v>-3.8841042314939527</v>
      </c>
      <c r="AB15">
        <v>-3.7928331237660884</v>
      </c>
      <c r="AC15">
        <v>-3.6499554588125371</v>
      </c>
      <c r="AD15">
        <v>-3.4554712366231759</v>
      </c>
      <c r="AO15" s="24"/>
    </row>
    <row r="16" spans="1:51">
      <c r="I16" s="4">
        <f>AF123</f>
        <v>0</v>
      </c>
      <c r="L16" s="2"/>
      <c r="O16" t="s">
        <v>26</v>
      </c>
      <c r="P16" s="4" t="e">
        <f>#REF!</f>
        <v>#REF!</v>
      </c>
      <c r="U16" t="s">
        <v>25</v>
      </c>
      <c r="V16">
        <v>-3.0462243078863653</v>
      </c>
      <c r="W16">
        <v>-3.2127958224813007</v>
      </c>
      <c r="X16">
        <v>-3.3243789344307277</v>
      </c>
      <c r="Y16">
        <v>-3.3809736436789692</v>
      </c>
      <c r="Z16">
        <v>-3.3825799502563947</v>
      </c>
      <c r="AA16">
        <v>-3.3291978541680654</v>
      </c>
      <c r="AB16">
        <v>-3.2208273553734887</v>
      </c>
      <c r="AC16">
        <v>-3.0574684539232808</v>
      </c>
      <c r="AD16">
        <v>-2.8391211498123794</v>
      </c>
      <c r="AO16" s="24"/>
      <c r="AP16" s="25"/>
    </row>
    <row r="17" spans="1:45">
      <c r="F17">
        <f>I14/27.212+(I13*1.36/627.5096)</f>
        <v>3.1114747227921184E-2</v>
      </c>
      <c r="L17" s="2"/>
      <c r="O17" t="s">
        <v>27</v>
      </c>
      <c r="P17" s="4" t="e">
        <f>#REF!</f>
        <v>#REF!</v>
      </c>
      <c r="U17" t="s">
        <v>26</v>
      </c>
      <c r="V17">
        <v>-2.9069135051129549</v>
      </c>
      <c r="W17">
        <v>-2.9748772065175455</v>
      </c>
      <c r="X17">
        <v>-2.9941653914739499</v>
      </c>
      <c r="Y17">
        <v>-2.9647780599062452</v>
      </c>
      <c r="Z17">
        <v>-2.8867152118701083</v>
      </c>
      <c r="AA17">
        <v>-2.7599768473503543</v>
      </c>
      <c r="AB17">
        <v>-2.584562966331799</v>
      </c>
      <c r="AC17">
        <v>-2.3604735688195038</v>
      </c>
      <c r="AD17">
        <v>-2.0877086548337145</v>
      </c>
      <c r="AO17" s="24"/>
    </row>
    <row r="18" spans="1:45">
      <c r="F18">
        <f>I14</f>
        <v>0.08</v>
      </c>
      <c r="L18" s="2"/>
      <c r="U18" t="s">
        <v>27</v>
      </c>
      <c r="V18">
        <v>-5.2666987744716769</v>
      </c>
      <c r="W18">
        <v>-5.3410404970231671</v>
      </c>
      <c r="X18">
        <v>-5.3686658085840149</v>
      </c>
      <c r="Y18">
        <v>-5.3495747090631127</v>
      </c>
      <c r="Z18">
        <v>-5.283767198556629</v>
      </c>
      <c r="AA18">
        <v>-5.1712432770392578</v>
      </c>
      <c r="AB18">
        <v>-5.0120029444654435</v>
      </c>
      <c r="AC18">
        <v>-4.8060462008503713</v>
      </c>
      <c r="AD18">
        <v>-4.553373046259841</v>
      </c>
      <c r="AO18" s="24"/>
    </row>
    <row r="19" spans="1:45">
      <c r="G19" s="8"/>
      <c r="H19" t="s">
        <v>40</v>
      </c>
      <c r="I19" t="s">
        <v>23</v>
      </c>
      <c r="J19" t="s">
        <v>22</v>
      </c>
      <c r="Q19" t="s">
        <v>32</v>
      </c>
      <c r="R19" s="4">
        <f>AF25/50</f>
        <v>0</v>
      </c>
      <c r="U19" t="s">
        <v>28</v>
      </c>
      <c r="V19">
        <v>-2.3841007545529664</v>
      </c>
      <c r="W19">
        <v>-2.4749515371994399</v>
      </c>
      <c r="X19">
        <v>-2.5226864287194433</v>
      </c>
      <c r="Y19">
        <v>-2.5273054290471761</v>
      </c>
      <c r="Z19">
        <v>-2.4888085382484384</v>
      </c>
      <c r="AA19">
        <v>-2.4071957562979232</v>
      </c>
      <c r="AB19">
        <v>-2.2824670831956295</v>
      </c>
      <c r="AC19">
        <v>-2.1146225189364962</v>
      </c>
      <c r="AD19">
        <v>-1.9036620635458308</v>
      </c>
      <c r="AO19" s="24"/>
      <c r="AP19" s="17"/>
    </row>
    <row r="20" spans="1:45">
      <c r="A20" t="s">
        <v>11</v>
      </c>
      <c r="F20" s="3"/>
      <c r="H20" s="18">
        <f xml:space="preserve"> (-4.66)/27.212</f>
        <v>-0.17124797883286785</v>
      </c>
      <c r="I20" s="19">
        <f>I14/27.212+(I13*1.36/627.5096)</f>
        <v>3.1114747227921184E-2</v>
      </c>
      <c r="J20">
        <f>-4.66*23.06+I20*627.5096</f>
        <v>-87.934797412906065</v>
      </c>
      <c r="K20">
        <f>J20/627.5096</f>
        <v>-0.14013299145209263</v>
      </c>
      <c r="Q20" t="s">
        <v>33</v>
      </c>
      <c r="AO20" s="24"/>
      <c r="AS20" s="6"/>
    </row>
    <row r="21" spans="1:45">
      <c r="I21" t="s">
        <v>12</v>
      </c>
      <c r="Q21" t="s">
        <v>9</v>
      </c>
      <c r="AO21" s="24"/>
    </row>
    <row r="22" spans="1:45">
      <c r="Q22" t="s">
        <v>7</v>
      </c>
      <c r="R22">
        <f>L10/2*627.5096</f>
        <v>-277.68717643421462</v>
      </c>
      <c r="AP22" s="17"/>
    </row>
    <row r="23" spans="1:45">
      <c r="Z23" t="s">
        <v>13</v>
      </c>
      <c r="AA23" t="s">
        <v>14</v>
      </c>
      <c r="AB23" t="s">
        <v>15</v>
      </c>
      <c r="AF23" t="s">
        <v>6</v>
      </c>
    </row>
    <row r="24" spans="1:45">
      <c r="AA24" t="s">
        <v>20</v>
      </c>
      <c r="AB24" t="s">
        <v>21</v>
      </c>
      <c r="AC24" t="s">
        <v>34</v>
      </c>
      <c r="AD24" t="s">
        <v>37</v>
      </c>
      <c r="AE24" t="s">
        <v>35</v>
      </c>
    </row>
    <row r="25" spans="1:45">
      <c r="F25" s="5"/>
      <c r="G25" s="5"/>
      <c r="H25" s="5"/>
      <c r="J25" s="7"/>
      <c r="K25" s="7"/>
      <c r="L25" s="7"/>
      <c r="M25" s="7"/>
      <c r="N25" s="8"/>
      <c r="O25" s="8"/>
      <c r="P25" s="8"/>
      <c r="Q25" s="16"/>
      <c r="R25" s="16"/>
      <c r="S25" s="16"/>
      <c r="T25" s="16"/>
      <c r="U25" s="16"/>
      <c r="V25" s="15"/>
      <c r="W25" s="15"/>
      <c r="X25" s="15"/>
      <c r="Y25" s="15"/>
      <c r="Z25" s="8"/>
      <c r="AA25" s="11"/>
      <c r="AB25" s="4"/>
      <c r="AC25" s="8"/>
      <c r="AD25" s="7"/>
      <c r="AE25" s="8"/>
      <c r="AF25" s="4"/>
      <c r="AG25" t="s">
        <v>77</v>
      </c>
    </row>
    <row r="26" spans="1:45">
      <c r="F26" s="5"/>
      <c r="G26" s="5"/>
      <c r="H26" s="5"/>
      <c r="J26" s="7"/>
      <c r="K26" s="7"/>
      <c r="L26" s="7"/>
      <c r="M26" s="7"/>
      <c r="N26" s="8"/>
      <c r="O26" s="8"/>
      <c r="P26" s="8"/>
      <c r="Q26" s="16"/>
      <c r="R26" s="16"/>
      <c r="S26" s="16"/>
      <c r="T26" s="16"/>
      <c r="U26" s="16"/>
      <c r="V26" s="15"/>
      <c r="W26" s="15"/>
      <c r="X26" s="15"/>
      <c r="Y26" s="15"/>
      <c r="Z26" s="8"/>
      <c r="AA26" s="11"/>
      <c r="AB26" s="4"/>
      <c r="AC26" s="8"/>
      <c r="AD26" s="7"/>
      <c r="AE26" s="8"/>
      <c r="AF26" s="4"/>
      <c r="AG26">
        <v>-69.142207283931398</v>
      </c>
    </row>
    <row r="27" spans="1:45">
      <c r="F27" s="5"/>
      <c r="G27" s="5"/>
      <c r="H27" s="5"/>
      <c r="I27" s="5"/>
      <c r="J27" s="7"/>
      <c r="K27" s="7"/>
      <c r="L27" s="7"/>
      <c r="M27" s="7"/>
      <c r="N27" s="8"/>
      <c r="O27" s="8"/>
      <c r="P27" s="8"/>
      <c r="Q27" s="16"/>
      <c r="R27" s="16"/>
      <c r="S27" s="16"/>
      <c r="T27" s="16"/>
      <c r="U27" s="16"/>
      <c r="V27" s="15"/>
      <c r="W27" s="15"/>
      <c r="X27" s="15"/>
      <c r="Y27" s="15"/>
      <c r="Z27" s="8"/>
      <c r="AA27" s="11"/>
      <c r="AB27" s="4"/>
      <c r="AC27" s="8"/>
      <c r="AD27" s="7"/>
      <c r="AE27" s="8"/>
      <c r="AF27" s="4"/>
      <c r="AG27" t="s">
        <v>78</v>
      </c>
    </row>
    <row r="28" spans="1:45">
      <c r="F28" s="5"/>
      <c r="G28" s="5"/>
      <c r="H28" s="5"/>
      <c r="J28" s="7"/>
      <c r="K28" s="7"/>
      <c r="L28" s="7"/>
      <c r="M28" s="7"/>
      <c r="N28" s="8"/>
      <c r="O28" s="8"/>
      <c r="P28" s="8"/>
      <c r="Q28" s="16"/>
      <c r="R28" s="16"/>
      <c r="S28" s="16"/>
      <c r="T28" s="16"/>
      <c r="U28" s="16"/>
      <c r="V28" s="15"/>
      <c r="W28" s="15"/>
      <c r="X28" s="15"/>
      <c r="Y28" s="15"/>
      <c r="Z28" s="8"/>
      <c r="AA28" s="11"/>
      <c r="AB28" s="4"/>
      <c r="AC28" s="8"/>
      <c r="AD28" s="7"/>
      <c r="AE28" s="8"/>
      <c r="AF28" s="4"/>
      <c r="AG28">
        <v>-68.679620411672303</v>
      </c>
    </row>
    <row r="29" spans="1:45">
      <c r="J29" s="7"/>
      <c r="K29" s="7"/>
      <c r="L29" s="7"/>
      <c r="M29" s="7"/>
      <c r="N29" s="8"/>
      <c r="O29" s="8"/>
      <c r="P29" s="8"/>
      <c r="Q29" s="16"/>
      <c r="R29" s="16"/>
      <c r="S29" s="16"/>
      <c r="T29" s="16"/>
      <c r="U29" s="16"/>
      <c r="V29" s="15"/>
      <c r="W29" s="15"/>
      <c r="X29" s="15"/>
      <c r="Y29" s="15"/>
      <c r="Z29" s="8"/>
      <c r="AA29" s="11"/>
      <c r="AB29" s="4"/>
      <c r="AC29" s="8"/>
      <c r="AD29" s="7"/>
      <c r="AE29" s="8"/>
      <c r="AF29" s="4"/>
      <c r="AG29" t="s">
        <v>79</v>
      </c>
    </row>
    <row r="30" spans="1:45">
      <c r="F30" s="5"/>
      <c r="G30" s="5"/>
      <c r="H30" s="5"/>
      <c r="J30" s="7"/>
      <c r="K30" s="7"/>
      <c r="L30" s="7"/>
      <c r="M30" s="7"/>
      <c r="N30" s="8"/>
      <c r="O30" s="8"/>
      <c r="P30" s="8"/>
      <c r="Q30" s="16"/>
      <c r="R30" s="16"/>
      <c r="S30" s="16"/>
      <c r="T30" s="16"/>
      <c r="U30" s="16"/>
      <c r="V30" s="15"/>
      <c r="W30" s="15"/>
      <c r="X30" s="15"/>
      <c r="Y30" s="15"/>
      <c r="Z30" s="8"/>
      <c r="AA30" s="11"/>
      <c r="AB30" s="4"/>
      <c r="AC30" s="8"/>
      <c r="AD30" s="7"/>
      <c r="AE30" s="8"/>
      <c r="AF30" s="4"/>
      <c r="AG30">
        <f>27.2*(AG26-AG28)</f>
        <v>-12.582362925447386</v>
      </c>
    </row>
    <row r="31" spans="1:45">
      <c r="F31" t="s">
        <v>43</v>
      </c>
      <c r="J31" t="s">
        <v>42</v>
      </c>
      <c r="T31" s="16"/>
      <c r="U31" s="16"/>
      <c r="V31" s="15"/>
      <c r="W31" s="15"/>
      <c r="X31" s="15"/>
      <c r="Y31" s="15"/>
      <c r="Z31" s="8"/>
      <c r="AA31" s="11"/>
      <c r="AB31" s="4"/>
      <c r="AC31" s="8"/>
      <c r="AD31" s="7"/>
      <c r="AE31" s="8"/>
      <c r="AF31" s="4"/>
    </row>
    <row r="32" spans="1:45">
      <c r="A32" s="14" t="s">
        <v>198</v>
      </c>
      <c r="B32">
        <v>0</v>
      </c>
      <c r="C32">
        <v>-1</v>
      </c>
      <c r="D32">
        <v>-2</v>
      </c>
      <c r="E32">
        <v>-0.5</v>
      </c>
      <c r="F32">
        <v>0</v>
      </c>
      <c r="G32">
        <v>-1</v>
      </c>
      <c r="H32">
        <v>-2</v>
      </c>
      <c r="I32">
        <v>-0.5</v>
      </c>
      <c r="J32">
        <v>0</v>
      </c>
      <c r="K32">
        <v>-1</v>
      </c>
      <c r="L32">
        <v>-2</v>
      </c>
      <c r="M32">
        <v>-0.5</v>
      </c>
      <c r="N32" t="s">
        <v>16</v>
      </c>
      <c r="O32" t="s">
        <v>17</v>
      </c>
      <c r="P32" t="s">
        <v>18</v>
      </c>
      <c r="T32" s="16"/>
      <c r="U32" s="16"/>
      <c r="V32" s="15"/>
      <c r="W32" s="15"/>
      <c r="X32" s="15"/>
      <c r="Y32" s="15"/>
      <c r="Z32" s="8"/>
      <c r="AA32" s="11"/>
      <c r="AB32" s="4"/>
      <c r="AC32" s="8"/>
      <c r="AD32" s="7"/>
      <c r="AE32" s="8"/>
      <c r="AF32" s="4"/>
      <c r="AH32" s="14"/>
      <c r="AI32" s="17"/>
    </row>
    <row r="33" spans="1:41">
      <c r="A33">
        <v>0</v>
      </c>
      <c r="B33">
        <v>754</v>
      </c>
      <c r="C33">
        <f t="shared" ref="C33:C46" si="1">B33-1</f>
        <v>753</v>
      </c>
      <c r="D33">
        <f t="shared" ref="D33:D46" si="2">B33-2</f>
        <v>752</v>
      </c>
      <c r="E33">
        <f t="shared" ref="E33:E46" si="3">B33-0.5</f>
        <v>753.5</v>
      </c>
      <c r="F33">
        <v>-3896.6894119404501</v>
      </c>
      <c r="G33">
        <v>-3896.5182827878898</v>
      </c>
      <c r="H33">
        <v>-3896.31760578271</v>
      </c>
      <c r="J33" s="7">
        <f t="shared" ref="J33:M36" si="4">F33-B33*($H$20+$I$20)</f>
        <v>-3791.0289553103203</v>
      </c>
      <c r="K33" s="7">
        <f t="shared" si="4"/>
        <v>-3790.997959389365</v>
      </c>
      <c r="L33" s="7">
        <f t="shared" si="4"/>
        <v>-3790.9374156157901</v>
      </c>
      <c r="M33" s="7">
        <f t="shared" si="4"/>
        <v>105.59039001432731</v>
      </c>
      <c r="N33" s="8">
        <f t="array" ref="N33:P33">LINEST(TRANSPOSE(J33:L33),TRANSPOSE(B33:D33)^{1,2},TRUE,FALSE)</f>
        <v>1.4773926309771906E-2</v>
      </c>
      <c r="O33" s="8">
        <v>-22.295302869781583</v>
      </c>
      <c r="P33" s="8">
        <v>4620.4159185787103</v>
      </c>
      <c r="Q33" s="26"/>
      <c r="R33" s="26"/>
      <c r="S33" s="26"/>
      <c r="T33" s="26"/>
      <c r="U33" s="16"/>
      <c r="V33" s="15"/>
      <c r="W33" s="15"/>
      <c r="X33" s="15"/>
      <c r="Y33" s="15"/>
      <c r="Z33" s="8">
        <f>B33</f>
        <v>754</v>
      </c>
      <c r="AA33" s="11">
        <f>-(O33/(2*N33))</f>
        <v>754.54900756594475</v>
      </c>
      <c r="AB33" s="4">
        <f>N33*AA33^2+(O33)*AA33+P33</f>
        <v>-3791.0334083092166</v>
      </c>
      <c r="AC33" s="8">
        <f>1/2/N33/27.2/6240000000000000000</f>
        <v>1.9939790091350385E-19</v>
      </c>
      <c r="AD33" s="7">
        <f>27.2*(-O33-I$20-2*Z33*N33)</f>
        <v>-0.4050828702405454</v>
      </c>
      <c r="AE33" s="8">
        <f>Z33-AA33</f>
        <v>-0.54900756594474842</v>
      </c>
      <c r="AF33" s="4">
        <f>AB33*627.5096</f>
        <v>-2378909.857634753</v>
      </c>
      <c r="AG33" s="7">
        <f>AG$30*(13-A33)+AF33/23</f>
        <v>-103594.43409345485</v>
      </c>
      <c r="AH33" s="7">
        <f>AG33-MIN(AG$33:AG$46)</f>
        <v>1.1555000318912789</v>
      </c>
      <c r="AK33" s="8"/>
      <c r="AN33" s="8"/>
      <c r="AO33" s="8"/>
    </row>
    <row r="34" spans="1:41">
      <c r="A34">
        <v>1</v>
      </c>
      <c r="B34">
        <f>B33+1</f>
        <v>755</v>
      </c>
      <c r="C34">
        <f t="shared" si="1"/>
        <v>754</v>
      </c>
      <c r="D34">
        <f t="shared" si="2"/>
        <v>753</v>
      </c>
      <c r="E34">
        <f t="shared" si="3"/>
        <v>754.5</v>
      </c>
      <c r="F34">
        <v>-3897.2893974659401</v>
      </c>
      <c r="G34">
        <v>-3897.1201366339901</v>
      </c>
      <c r="H34">
        <v>-3896.92110894705</v>
      </c>
      <c r="J34" s="7">
        <f t="shared" si="4"/>
        <v>-3791.4888076042052</v>
      </c>
      <c r="K34" s="7">
        <f t="shared" si="4"/>
        <v>-3791.4596800038603</v>
      </c>
      <c r="L34" s="7">
        <f t="shared" si="4"/>
        <v>-3791.4007855485252</v>
      </c>
      <c r="M34" s="7">
        <f t="shared" si="4"/>
        <v>105.73052324593226</v>
      </c>
      <c r="N34" s="8">
        <f t="array" ref="N34:P34">LINEST(TRANSPOSE(J34:L34),TRANSPOSE(B34:D34)^{1,2},TRUE,FALSE)</f>
        <v>1.4883427495077602E-2</v>
      </c>
      <c r="O34" s="8">
        <v>-22.488219690417065</v>
      </c>
      <c r="P34" s="8">
        <v>4703.1913007790718</v>
      </c>
      <c r="Q34" s="26"/>
      <c r="R34" s="26"/>
      <c r="S34" s="26"/>
      <c r="T34" s="26"/>
      <c r="U34" s="16"/>
      <c r="V34" s="15"/>
      <c r="W34" s="15"/>
      <c r="X34" s="15"/>
      <c r="Y34" s="15"/>
      <c r="Z34" s="8">
        <f>B34</f>
        <v>755</v>
      </c>
      <c r="AA34" s="11">
        <f>-(O34/(2*N34))</f>
        <v>755.47852461587217</v>
      </c>
      <c r="AB34" s="4">
        <f>N34*AA34^2+(O34)*AA34+P34</f>
        <v>-3791.4922156978737</v>
      </c>
      <c r="AC34" s="8">
        <f>1/2/N34/27.2/6240000000000000000</f>
        <v>1.9793087952312069E-19</v>
      </c>
      <c r="AD34" s="7">
        <f>27.2*(-O34-I$20-2*Z34*N34)</f>
        <v>-0.45887962308257213</v>
      </c>
      <c r="AE34" s="8">
        <f>Z34-AA34</f>
        <v>-0.47852461587217476</v>
      </c>
      <c r="AF34" s="4">
        <f>AB34*627.5096</f>
        <v>-2379197.7636756864</v>
      </c>
      <c r="AG34" s="7">
        <f>AG$30*(13-A34)+AF34/23</f>
        <v>-103594.36938448304</v>
      </c>
      <c r="AH34" s="7">
        <f>AG34-MIN(AG$33:AG$46)</f>
        <v>1.220209003702621</v>
      </c>
      <c r="AK34" s="8"/>
      <c r="AN34" s="8"/>
      <c r="AO34" s="8"/>
    </row>
    <row r="35" spans="1:41">
      <c r="A35">
        <v>2</v>
      </c>
      <c r="B35">
        <f t="shared" ref="B35:B47" si="5">B34+1</f>
        <v>756</v>
      </c>
      <c r="C35">
        <f t="shared" si="1"/>
        <v>755</v>
      </c>
      <c r="D35">
        <f t="shared" si="2"/>
        <v>754</v>
      </c>
      <c r="E35">
        <f t="shared" si="3"/>
        <v>755.5</v>
      </c>
      <c r="F35" s="17">
        <v>-3897.90666881687</v>
      </c>
      <c r="G35">
        <v>-3897.73557798498</v>
      </c>
      <c r="H35">
        <v>-3897.5339166957801</v>
      </c>
      <c r="J35" s="7">
        <f t="shared" si="4"/>
        <v>-3791.9659457235302</v>
      </c>
      <c r="K35" s="7">
        <f t="shared" si="4"/>
        <v>-3791.9349881232451</v>
      </c>
      <c r="L35" s="7">
        <f t="shared" si="4"/>
        <v>-3791.8734600656503</v>
      </c>
      <c r="M35" s="7"/>
      <c r="N35" s="8">
        <f t="array" ref="N35:P35">LINEST(TRANSPOSE(J35:L35),TRANSPOSE(B35:D35)^{1,2},TRUE,FALSE)</f>
        <v>1.528522865487375E-2</v>
      </c>
      <c r="O35" s="8">
        <v>-23.126938097799325</v>
      </c>
      <c r="P35" s="8">
        <v>4955.940811720835</v>
      </c>
      <c r="Q35" s="16"/>
      <c r="R35" s="16"/>
      <c r="S35" s="16"/>
      <c r="T35" s="16"/>
      <c r="U35" s="16"/>
      <c r="V35" s="15"/>
      <c r="W35" s="15"/>
      <c r="X35" s="15"/>
      <c r="Y35" s="15"/>
      <c r="Z35" s="8">
        <f>B35</f>
        <v>756</v>
      </c>
      <c r="AA35" s="11">
        <f>-(O35/(2*N35))</f>
        <v>756.51266395760513</v>
      </c>
      <c r="AB35" s="4">
        <f>N35*AA35^2+(O35)*AA35+P35</f>
        <v>-3791.9699630535633</v>
      </c>
      <c r="AC35" s="8">
        <f>1/2/N35/27.2/6240000000000000000</f>
        <v>1.9272789180553071E-19</v>
      </c>
      <c r="AD35" s="7">
        <f>27.2*(-O35-I$20-2*Z35*N35)</f>
        <v>-0.42003261625765159</v>
      </c>
      <c r="AE35" s="8">
        <f>Z35-AA35</f>
        <v>-0.51266395760512751</v>
      </c>
      <c r="AF35" s="4">
        <f>AB35*627.5096</f>
        <v>-2379497.5547277564</v>
      </c>
      <c r="AG35" s="7">
        <f>AG$30*(13-A35)+AF35/23</f>
        <v>-103594.82141512586</v>
      </c>
      <c r="AH35" s="7">
        <f>AG35-MIN(AG$33:AG$46)</f>
        <v>0.76817836088594049</v>
      </c>
      <c r="AI35" t="s">
        <v>80</v>
      </c>
      <c r="AK35" s="8"/>
      <c r="AM35" t="s">
        <v>81</v>
      </c>
      <c r="AN35" t="s">
        <v>82</v>
      </c>
      <c r="AO35" s="23" t="s">
        <v>83</v>
      </c>
    </row>
    <row r="36" spans="1:41">
      <c r="A36">
        <v>3</v>
      </c>
      <c r="B36">
        <f t="shared" si="5"/>
        <v>757</v>
      </c>
      <c r="C36">
        <f t="shared" si="1"/>
        <v>756</v>
      </c>
      <c r="D36">
        <f t="shared" si="2"/>
        <v>755</v>
      </c>
      <c r="E36">
        <f t="shared" si="3"/>
        <v>756.5</v>
      </c>
      <c r="F36">
        <v>-3898.4998259916701</v>
      </c>
      <c r="G36" s="17">
        <v>-3898.32952968887</v>
      </c>
      <c r="H36">
        <v>-3898.1281533637102</v>
      </c>
      <c r="J36" s="7">
        <f>F36-B36*($H$20+$I$20)</f>
        <v>-3792.4189696667254</v>
      </c>
      <c r="K36" s="7">
        <f t="shared" si="4"/>
        <v>-3792.3888065955302</v>
      </c>
      <c r="L36" s="7">
        <f t="shared" si="4"/>
        <v>-3792.3275635019754</v>
      </c>
      <c r="M36" s="7">
        <f t="shared" si="4"/>
        <v>106.01078970914216</v>
      </c>
      <c r="N36" s="8">
        <f t="array" ref="N36:P36">LINEST(TRANSPOSE(J36:L36),TRANSPOSE(B36:D36)^{1,2},TRUE,FALSE)</f>
        <v>1.5540011179831278E-2</v>
      </c>
      <c r="O36" s="8">
        <v>-23.542199986279876</v>
      </c>
      <c r="P36" s="8">
        <v>5123.8385533560067</v>
      </c>
      <c r="Q36" s="16"/>
      <c r="R36" s="16"/>
      <c r="S36" s="16"/>
      <c r="T36" s="16"/>
      <c r="U36" s="16"/>
      <c r="V36" s="15"/>
      <c r="W36" s="15"/>
      <c r="X36" s="15"/>
      <c r="Y36" s="15"/>
      <c r="Z36" s="8">
        <f>B36</f>
        <v>757</v>
      </c>
      <c r="AA36" s="11">
        <f>-(O36/(2*N36))</f>
        <v>757.47049708800398</v>
      </c>
      <c r="AB36" s="4">
        <f>N36*AA36^2+(O36)*AA36+P36</f>
        <v>-3792.4224097203023</v>
      </c>
      <c r="AC36" s="8">
        <f>1/2/N36/27.2/6240000000000000000</f>
        <v>1.8956806789448461E-19</v>
      </c>
      <c r="AD36" s="7">
        <f>27.2*(-O36-I$20-2*Z36*N36)</f>
        <v>-0.4485738921827192</v>
      </c>
      <c r="AE36" s="8">
        <f>Z36-AA36</f>
        <v>-0.47049708800398093</v>
      </c>
      <c r="AF36" s="4">
        <f>AB36*627.5096</f>
        <v>-2379781.469354623</v>
      </c>
      <c r="AG36" s="7">
        <f>AG$30*(13-A36)+AF36/23</f>
        <v>-103594.58316641199</v>
      </c>
      <c r="AH36" s="7">
        <f t="shared" ref="AH36:AH42" si="6">AG36-MIN(AG$33:AG$46)</f>
        <v>1.0064270747534465</v>
      </c>
      <c r="AI36" s="31">
        <v>-0.08</v>
      </c>
      <c r="AK36" s="21">
        <v>0</v>
      </c>
      <c r="AL36" s="7">
        <f>AK36/9*100</f>
        <v>0</v>
      </c>
      <c r="AM36">
        <v>0</v>
      </c>
      <c r="AN36">
        <v>6.8289439514046493E-2</v>
      </c>
      <c r="AO36" s="8">
        <f>AH33</f>
        <v>1.1555000318912789</v>
      </c>
    </row>
    <row r="37" spans="1:41">
      <c r="A37">
        <v>4</v>
      </c>
      <c r="B37">
        <f t="shared" si="5"/>
        <v>758</v>
      </c>
      <c r="C37">
        <f t="shared" si="1"/>
        <v>757</v>
      </c>
      <c r="D37">
        <f t="shared" si="2"/>
        <v>756</v>
      </c>
      <c r="E37">
        <f t="shared" si="3"/>
        <v>757.5</v>
      </c>
      <c r="F37">
        <v>-3899.1183312652902</v>
      </c>
      <c r="G37">
        <v>-3898.9469193963801</v>
      </c>
      <c r="H37">
        <v>-3898.7433487307399</v>
      </c>
      <c r="J37" s="7">
        <f>F37-B37*($H$20+$I$20)</f>
        <v>-3792.8973417087404</v>
      </c>
      <c r="K37" s="7">
        <f>G37-C37*($H$20+$I$20)</f>
        <v>-3792.8660630714353</v>
      </c>
      <c r="L37" s="7">
        <f>H37-D37*($H$20+$I$20)</f>
        <v>-3792.8026256374001</v>
      </c>
      <c r="M37" s="7">
        <f>I37-E37*($H$20+$I$20)</f>
        <v>106.15092294074711</v>
      </c>
      <c r="N37" s="8">
        <f t="array" ref="N37:P37">LINEST(TRANSPOSE(J37:L37),TRANSPOSE(B37:D37)^{1,2},TRUE,FALSE)</f>
        <v>1.6079398365034706E-2</v>
      </c>
      <c r="O37" s="8">
        <v>-24.39156716033273</v>
      </c>
      <c r="P37" s="8">
        <v>5457.2671236156693</v>
      </c>
      <c r="Q37" s="16"/>
      <c r="R37" s="16"/>
      <c r="S37" s="16"/>
      <c r="T37" s="16"/>
      <c r="U37" s="16"/>
      <c r="V37" s="15"/>
      <c r="W37" s="15"/>
      <c r="X37" s="15"/>
      <c r="Y37" s="15"/>
      <c r="Z37" s="8">
        <f>B37</f>
        <v>758</v>
      </c>
      <c r="AA37" s="11">
        <f>-(O37/(2*N37))</f>
        <v>758.47263083465759</v>
      </c>
      <c r="AB37" s="4">
        <f>N37*AA37^2+(O37)*AA37+P37</f>
        <v>-3792.9009335232331</v>
      </c>
      <c r="AC37" s="8">
        <f>1/2/N37/27.2/6240000000000000000</f>
        <v>1.8320896264534757E-19</v>
      </c>
      <c r="AD37" s="7">
        <f>27.2*(-O37-I$20-2*Z37*N37)</f>
        <v>-0.43290182542828004</v>
      </c>
      <c r="AE37" s="8">
        <f>Z37-AA37</f>
        <v>-0.47263083465759337</v>
      </c>
      <c r="AF37" s="4">
        <f>AB37*627.5096</f>
        <v>-2380081.7476347904</v>
      </c>
      <c r="AG37" s="7">
        <f>AG$30*(13-A37)+AF37/23</f>
        <v>-103595.05638088513</v>
      </c>
      <c r="AH37" s="7">
        <f t="shared" si="6"/>
        <v>0.53321260161465034</v>
      </c>
      <c r="AK37" s="21">
        <v>2</v>
      </c>
      <c r="AL37" s="7">
        <f>AK37/9*100</f>
        <v>22.222222222222221</v>
      </c>
      <c r="AM37">
        <v>7.7603696860023774E-2</v>
      </c>
      <c r="AN37">
        <v>5.4322958181728609E-2</v>
      </c>
      <c r="AO37" s="8">
        <f>AH35</f>
        <v>0.76817836088594049</v>
      </c>
    </row>
    <row r="38" spans="1:41">
      <c r="A38">
        <v>5</v>
      </c>
      <c r="B38">
        <f t="shared" si="5"/>
        <v>759</v>
      </c>
      <c r="C38">
        <f t="shared" si="1"/>
        <v>758</v>
      </c>
      <c r="D38">
        <f t="shared" si="2"/>
        <v>757</v>
      </c>
      <c r="E38">
        <f t="shared" si="3"/>
        <v>758.5</v>
      </c>
      <c r="J38" s="7"/>
      <c r="K38" s="7"/>
      <c r="L38" s="7"/>
      <c r="M38" s="7"/>
      <c r="N38" s="8"/>
      <c r="O38" s="8"/>
      <c r="P38" s="8"/>
      <c r="Q38" s="16"/>
      <c r="R38" s="16"/>
      <c r="S38" s="16"/>
      <c r="T38" s="16"/>
      <c r="U38" s="16"/>
      <c r="V38" s="15"/>
      <c r="W38" s="15"/>
      <c r="X38" s="15"/>
      <c r="Y38" s="15"/>
      <c r="Z38" s="8"/>
      <c r="AA38" s="11"/>
      <c r="AB38" s="4"/>
      <c r="AC38" s="8"/>
      <c r="AD38" s="7"/>
      <c r="AE38" s="8"/>
      <c r="AF38" s="4"/>
      <c r="AG38" s="7"/>
      <c r="AH38" s="7"/>
      <c r="AK38" s="21">
        <v>5</v>
      </c>
      <c r="AL38" s="7">
        <f>AK38/9*100</f>
        <v>55.555555555555557</v>
      </c>
      <c r="AM38">
        <v>0.17291141122404952</v>
      </c>
      <c r="AN38">
        <v>0</v>
      </c>
      <c r="AO38" s="8">
        <f>AH38</f>
        <v>0</v>
      </c>
    </row>
    <row r="39" spans="1:41">
      <c r="A39">
        <v>6</v>
      </c>
      <c r="B39">
        <f t="shared" si="5"/>
        <v>760</v>
      </c>
      <c r="C39">
        <f t="shared" si="1"/>
        <v>759</v>
      </c>
      <c r="D39">
        <f t="shared" si="2"/>
        <v>758</v>
      </c>
      <c r="E39">
        <f t="shared" si="3"/>
        <v>759.5</v>
      </c>
      <c r="F39">
        <v>-3900.33126408416</v>
      </c>
      <c r="G39">
        <v>-3900.16062851376</v>
      </c>
      <c r="H39">
        <v>-3899.9562166602</v>
      </c>
      <c r="J39" s="7">
        <f t="shared" ref="J39:M40" si="7">F39-B39*($H$20+$I$20)</f>
        <v>-3793.8300080644003</v>
      </c>
      <c r="K39" s="7">
        <f t="shared" si="7"/>
        <v>-3793.7995057256053</v>
      </c>
      <c r="L39" s="7">
        <f t="shared" si="7"/>
        <v>-3793.7352271036502</v>
      </c>
      <c r="M39" s="7">
        <f t="shared" si="7"/>
        <v>106.43118940395699</v>
      </c>
      <c r="N39" s="8">
        <f t="array" ref="N39:P39">LINEST(TRANSPOSE(J39:L39),TRANSPOSE(B39:D39)^{1,2},TRUE,FALSE)</f>
        <v>1.6888141580015757E-2</v>
      </c>
      <c r="O39" s="8">
        <v>-25.683589398838958</v>
      </c>
      <c r="P39" s="8">
        <v>5971.1073584361093</v>
      </c>
      <c r="Q39" s="16"/>
      <c r="R39" s="16"/>
      <c r="S39" s="16"/>
      <c r="T39" s="16"/>
      <c r="U39" s="16"/>
      <c r="V39" s="15"/>
      <c r="W39" s="15"/>
      <c r="X39" s="15"/>
      <c r="Y39" s="15"/>
      <c r="Z39" s="8">
        <f>B39</f>
        <v>760</v>
      </c>
      <c r="AA39" s="11">
        <f>-(O39/(2*N39))</f>
        <v>760.40306972648546</v>
      </c>
      <c r="AB39" s="4">
        <f>N39*AA39^2+(O39)*AA39+P39</f>
        <v>-3793.8327517997695</v>
      </c>
      <c r="AC39" s="8">
        <f>1/2/N39/27.2/6240000000000000000</f>
        <v>1.7443540963117374E-19</v>
      </c>
      <c r="AD39" s="7">
        <f>27.2*(-O39-I$20-2*Z39*N39)</f>
        <v>-0.47601496035119906</v>
      </c>
      <c r="AE39" s="8">
        <f>Z39-AA39</f>
        <v>-0.40306972648545525</v>
      </c>
      <c r="AF39" s="4">
        <f>AB39*627.5096</f>
        <v>-2380666.4725487726</v>
      </c>
      <c r="AG39" s="7">
        <f>AG$30*(13-A39)+AF39/23</f>
        <v>-103595.31447738128</v>
      </c>
      <c r="AH39" s="7">
        <f t="shared" si="6"/>
        <v>0.27511610546207521</v>
      </c>
      <c r="AK39" s="21">
        <v>7</v>
      </c>
      <c r="AL39" s="7">
        <f>AK39/9*100</f>
        <v>77.777777777777786</v>
      </c>
      <c r="AM39">
        <v>0.36234219565812964</v>
      </c>
      <c r="AN39">
        <v>9.0485037988401018E-2</v>
      </c>
      <c r="AO39" s="8">
        <f>AH40</f>
        <v>0.28738030199019704</v>
      </c>
    </row>
    <row r="40" spans="1:41">
      <c r="A40" s="14">
        <v>7</v>
      </c>
      <c r="B40">
        <f t="shared" si="5"/>
        <v>761</v>
      </c>
      <c r="C40">
        <f t="shared" si="1"/>
        <v>760</v>
      </c>
      <c r="D40">
        <f t="shared" si="2"/>
        <v>759</v>
      </c>
      <c r="E40">
        <f t="shared" si="3"/>
        <v>760.5</v>
      </c>
      <c r="F40">
        <v>-3900.9324700236202</v>
      </c>
      <c r="G40">
        <v>-3900.7623917076698</v>
      </c>
      <c r="H40">
        <v>-3900.55806855643</v>
      </c>
      <c r="J40" s="7">
        <f t="shared" si="7"/>
        <v>-3794.291080772256</v>
      </c>
      <c r="K40" s="7">
        <f t="shared" si="7"/>
        <v>-3794.2611356879106</v>
      </c>
      <c r="L40" s="7">
        <f t="shared" si="7"/>
        <v>-3794.1969457682753</v>
      </c>
      <c r="M40" s="7">
        <f t="shared" si="7"/>
        <v>106.57132263556194</v>
      </c>
      <c r="N40" s="8">
        <f t="array" ref="N40:P40">LINEST(TRANSPOSE(J40:L40),TRANSPOSE(B40:D40)^{1,2},TRUE,FALSE)</f>
        <v>1.712241764494607E-2</v>
      </c>
      <c r="O40" s="8">
        <v>-26.07314232230836</v>
      </c>
      <c r="P40" s="8">
        <v>6131.4185975455966</v>
      </c>
      <c r="Q40" s="16"/>
      <c r="R40" s="16"/>
      <c r="S40" s="16"/>
      <c r="T40" s="16"/>
      <c r="U40" s="16"/>
      <c r="V40" s="15"/>
      <c r="W40" s="15"/>
      <c r="X40" s="15"/>
      <c r="Y40" s="15"/>
      <c r="Z40" s="8">
        <f>B40</f>
        <v>761</v>
      </c>
      <c r="AA40" s="11">
        <f>-(O40/(2*N40))</f>
        <v>761.37444089282064</v>
      </c>
      <c r="AB40" s="4">
        <f>N40*AA40^2+(O40)*AA40+P40</f>
        <v>-3794.2934814376349</v>
      </c>
      <c r="AC40" s="8">
        <f>1/2/N40/27.2/6240000000000000000</f>
        <v>1.7204871154914436E-19</v>
      </c>
      <c r="AD40" s="7">
        <f>27.2*(-O40-I$20-2*Z40*N40)</f>
        <v>-0.49754459034746784</v>
      </c>
      <c r="AE40" s="8">
        <f>Z40-AA40</f>
        <v>-0.37444089282064397</v>
      </c>
      <c r="AF40" s="4">
        <f>AB40*627.5096</f>
        <v>-2380955.5848195376</v>
      </c>
      <c r="AG40" s="7">
        <f>AG$30*(13-A40)+AF40/23</f>
        <v>-103595.30221318475</v>
      </c>
      <c r="AH40" s="7">
        <f t="shared" si="6"/>
        <v>0.28738030199019704</v>
      </c>
      <c r="AK40" s="21">
        <v>9</v>
      </c>
      <c r="AL40" s="7">
        <f>AK40/9*100</f>
        <v>100</v>
      </c>
      <c r="AM40">
        <v>0.62238058961520437</v>
      </c>
      <c r="AN40">
        <v>0.24940274153777864</v>
      </c>
      <c r="AO40" s="8">
        <v>0</v>
      </c>
    </row>
    <row r="41" spans="1:41">
      <c r="A41">
        <v>8</v>
      </c>
      <c r="B41">
        <f t="shared" si="5"/>
        <v>762</v>
      </c>
      <c r="C41">
        <f t="shared" si="1"/>
        <v>761</v>
      </c>
      <c r="D41">
        <f t="shared" si="2"/>
        <v>760</v>
      </c>
      <c r="E41">
        <f t="shared" si="3"/>
        <v>761.5</v>
      </c>
      <c r="J41" s="7"/>
      <c r="K41" s="7"/>
      <c r="L41" s="7"/>
      <c r="M41" s="7"/>
      <c r="N41" s="8"/>
      <c r="O41" s="8"/>
      <c r="P41" s="8"/>
      <c r="Q41" s="16"/>
      <c r="R41" s="16"/>
      <c r="S41" s="16"/>
      <c r="T41" s="16"/>
      <c r="U41" s="16"/>
      <c r="V41" s="15"/>
      <c r="W41" s="15"/>
      <c r="X41" s="15"/>
      <c r="Y41" s="15"/>
      <c r="Z41" s="8"/>
      <c r="AA41" s="11"/>
      <c r="AB41" s="4"/>
      <c r="AC41" s="8"/>
      <c r="AD41" s="7"/>
      <c r="AE41" s="8"/>
      <c r="AF41" s="4"/>
      <c r="AG41" s="7"/>
      <c r="AH41" s="7"/>
      <c r="AK41" s="8"/>
      <c r="AN41" s="8"/>
      <c r="AO41" s="8"/>
    </row>
    <row r="42" spans="1:41">
      <c r="A42">
        <v>9</v>
      </c>
      <c r="B42">
        <f t="shared" si="5"/>
        <v>763</v>
      </c>
      <c r="C42">
        <f t="shared" si="1"/>
        <v>762</v>
      </c>
      <c r="D42">
        <f t="shared" si="2"/>
        <v>761</v>
      </c>
      <c r="E42">
        <f t="shared" si="3"/>
        <v>762.5</v>
      </c>
      <c r="F42">
        <v>-3902.1453914949898</v>
      </c>
      <c r="G42">
        <v>-3901.9739791976899</v>
      </c>
      <c r="H42" s="17">
        <v>-3901.7672901527399</v>
      </c>
      <c r="J42" s="7">
        <f t="shared" ref="J42:M43" si="8">F42-B42*($H$20+$I$20)</f>
        <v>-3795.2237357804156</v>
      </c>
      <c r="K42" s="7">
        <f t="shared" si="8"/>
        <v>-3795.1924567147207</v>
      </c>
      <c r="L42" s="7">
        <f t="shared" si="8"/>
        <v>-3795.1259009013756</v>
      </c>
      <c r="M42" s="7">
        <f t="shared" si="8"/>
        <v>106.85158909877184</v>
      </c>
      <c r="N42" s="8">
        <f t="array" ref="N42:P42">LINEST(TRANSPOSE(J42:L42),TRANSPOSE(B42:D42)^{1,2},TRUE,FALSE)</f>
        <v>1.7638373825091178E-2</v>
      </c>
      <c r="O42" s="8">
        <v>-26.929799148958942</v>
      </c>
      <c r="P42" s="8">
        <v>6483.6985634957528</v>
      </c>
      <c r="Q42" s="16"/>
      <c r="R42" s="16"/>
      <c r="S42" s="16"/>
      <c r="T42" s="16"/>
      <c r="U42" s="16"/>
      <c r="V42" s="15"/>
      <c r="W42" s="15"/>
      <c r="X42" s="15"/>
      <c r="Y42" s="15"/>
      <c r="Z42" s="8">
        <f t="shared" ref="Z42:Z47" si="9">B42</f>
        <v>763</v>
      </c>
      <c r="AA42" s="11">
        <f t="shared" ref="AA42:AA47" si="10">-(O42/(2*N42))</f>
        <v>763.38667657248538</v>
      </c>
      <c r="AB42" s="4">
        <f t="shared" ref="AB42:AB47" si="11">N42*AA42^2+(O42)*AA42+P42</f>
        <v>-3795.2263730484028</v>
      </c>
      <c r="AC42" s="8">
        <f t="shared" ref="AC42:AC47" si="12">1/2/N42/27.2/6240000000000000000</f>
        <v>1.6701595757249905E-19</v>
      </c>
      <c r="AD42" s="7">
        <f t="shared" ref="AD42:AD47" si="13">27.2*(-O42-I$20-2*Z42*N42)</f>
        <v>-0.47529430574081172</v>
      </c>
      <c r="AE42" s="8">
        <f t="shared" ref="AE42:AE47" si="14">Z42-AA42</f>
        <v>-0.3866765724853849</v>
      </c>
      <c r="AF42" s="4">
        <f t="shared" ref="AF42:AF47" si="15">AB42*627.5096</f>
        <v>-2381540.9832610539</v>
      </c>
      <c r="AG42" s="7">
        <f>AG$30*(13-A42)+AF42/23</f>
        <v>-103595.58959348674</v>
      </c>
      <c r="AH42" s="3">
        <f t="shared" si="6"/>
        <v>0</v>
      </c>
      <c r="AK42" s="8"/>
      <c r="AN42" s="8"/>
      <c r="AO42" s="8"/>
    </row>
    <row r="43" spans="1:41">
      <c r="A43">
        <v>10</v>
      </c>
      <c r="B43">
        <f t="shared" si="5"/>
        <v>764</v>
      </c>
      <c r="C43">
        <f t="shared" si="1"/>
        <v>763</v>
      </c>
      <c r="D43">
        <f t="shared" si="2"/>
        <v>762</v>
      </c>
      <c r="E43">
        <f t="shared" si="3"/>
        <v>763.5</v>
      </c>
      <c r="F43">
        <v>-3902.74729860962</v>
      </c>
      <c r="G43">
        <v>-3902.57622147352</v>
      </c>
      <c r="H43">
        <v>-3902.36944110475</v>
      </c>
      <c r="J43" s="7">
        <f t="shared" si="8"/>
        <v>-3795.6855096634408</v>
      </c>
      <c r="K43" s="7">
        <f t="shared" si="8"/>
        <v>-3795.6545657589459</v>
      </c>
      <c r="L43" s="7">
        <f t="shared" si="8"/>
        <v>-3795.5879186217808</v>
      </c>
      <c r="M43" s="7">
        <f t="shared" si="8"/>
        <v>106.99172233037679</v>
      </c>
      <c r="N43" s="8">
        <f t="array" ref="N43:P43">LINEST(TRANSPOSE(J43:L43),TRANSPOSE(B43:D43)^{1,2},TRUE,FALSE)</f>
        <v>1.7851616335058971E-2</v>
      </c>
      <c r="O43" s="8">
        <v>-27.290362048130021</v>
      </c>
      <c r="P43" s="8">
        <v>6634.2340467993145</v>
      </c>
      <c r="Q43" s="16"/>
      <c r="R43" s="16"/>
      <c r="S43" s="16"/>
      <c r="T43" s="16"/>
      <c r="U43" s="16"/>
      <c r="V43" s="15"/>
      <c r="W43" s="15"/>
      <c r="X43" s="15"/>
      <c r="Y43" s="15"/>
      <c r="Z43" s="8">
        <f t="shared" si="9"/>
        <v>764</v>
      </c>
      <c r="AA43" s="11">
        <f t="shared" si="10"/>
        <v>764.36669755595744</v>
      </c>
      <c r="AB43" s="4">
        <f t="shared" si="11"/>
        <v>-3795.687910118475</v>
      </c>
      <c r="AC43" s="8">
        <f t="shared" si="12"/>
        <v>1.6502090562151746E-19</v>
      </c>
      <c r="AD43" s="7">
        <f t="shared" si="13"/>
        <v>-0.49021088664978835</v>
      </c>
      <c r="AE43" s="8">
        <f t="shared" si="14"/>
        <v>-0.36669755595744391</v>
      </c>
      <c r="AF43" s="4">
        <f t="shared" si="15"/>
        <v>-2381830.6022032802</v>
      </c>
      <c r="AG43" s="7"/>
      <c r="AH43" s="3"/>
      <c r="AK43" s="7"/>
      <c r="AL43">
        <v>2</v>
      </c>
      <c r="AM43">
        <f>AL43/13</f>
        <v>0.15384615384615385</v>
      </c>
      <c r="AN43" s="7">
        <v>0.12721348079902572</v>
      </c>
      <c r="AO43" s="8">
        <v>1.4928025178530293</v>
      </c>
    </row>
    <row r="44" spans="1:41">
      <c r="A44">
        <v>11</v>
      </c>
      <c r="B44">
        <f t="shared" si="5"/>
        <v>765</v>
      </c>
      <c r="C44">
        <f t="shared" si="1"/>
        <v>764</v>
      </c>
      <c r="D44">
        <f t="shared" si="2"/>
        <v>763</v>
      </c>
      <c r="E44">
        <f t="shared" si="3"/>
        <v>764.5</v>
      </c>
      <c r="F44">
        <v>-3903.3464114055701</v>
      </c>
      <c r="G44">
        <v>-3903.1783136180302</v>
      </c>
      <c r="H44">
        <v>-3902.9743073286099</v>
      </c>
      <c r="J44" s="7">
        <f>F44-B44*($H$20+$I$20)</f>
        <v>-3796.1444892277859</v>
      </c>
      <c r="K44" s="7">
        <f>G44-C44*($H$20+$I$20)</f>
        <v>-3796.116524671851</v>
      </c>
      <c r="L44" s="7">
        <f>H44-D44*($H$20+$I$20)</f>
        <v>-3796.0526516140358</v>
      </c>
      <c r="M44" s="7"/>
      <c r="N44" s="8">
        <f t="array" ref="N44:P44">LINEST(TRANSPOSE(J44:L44),TRANSPOSE(B44:D44)^{1,2},TRUE,FALSE)</f>
        <v>1.7954250940187606E-2</v>
      </c>
      <c r="O44" s="8">
        <v>-27.480014243481744</v>
      </c>
      <c r="P44" s="8">
        <v>6718.7899005644576</v>
      </c>
      <c r="Q44" s="16"/>
      <c r="R44" s="16"/>
      <c r="S44" s="16"/>
      <c r="T44" s="16"/>
      <c r="U44" s="16"/>
      <c r="V44" s="15"/>
      <c r="W44" s="15"/>
      <c r="X44" s="15"/>
      <c r="Y44" s="15"/>
      <c r="Z44" s="8">
        <f t="shared" si="9"/>
        <v>765</v>
      </c>
      <c r="AA44" s="11">
        <f t="shared" si="10"/>
        <v>765.27877255999306</v>
      </c>
      <c r="AB44" s="4">
        <f t="shared" si="11"/>
        <v>-3796.1458845269608</v>
      </c>
      <c r="AC44" s="8">
        <f t="shared" si="12"/>
        <v>1.6407757161427555E-19</v>
      </c>
      <c r="AD44" s="7">
        <f t="shared" si="13"/>
        <v>-0.57404082874348883</v>
      </c>
      <c r="AE44" s="8">
        <f t="shared" si="14"/>
        <v>-0.27877255999305817</v>
      </c>
      <c r="AF44" s="4">
        <f t="shared" si="15"/>
        <v>-2382117.9855411593</v>
      </c>
      <c r="AG44" s="7">
        <f>AG$30*(13-A44)+AF44/23</f>
        <v>-103595.51192329259</v>
      </c>
      <c r="AH44" s="34">
        <f>AG44-MIN(AG$33:AG$46)-0.03</f>
        <v>4.7670194150414319E-2</v>
      </c>
      <c r="AK44" s="8"/>
      <c r="AL44">
        <v>4</v>
      </c>
      <c r="AM44">
        <f>AL44/13</f>
        <v>0.30769230769230771</v>
      </c>
      <c r="AN44" s="7">
        <v>-1.8871144944030565E-2</v>
      </c>
      <c r="AO44" s="8">
        <v>1.3626189465310588</v>
      </c>
    </row>
    <row r="45" spans="1:41">
      <c r="A45">
        <v>12</v>
      </c>
      <c r="B45">
        <f t="shared" si="5"/>
        <v>766</v>
      </c>
      <c r="C45">
        <f t="shared" si="1"/>
        <v>765</v>
      </c>
      <c r="D45">
        <f t="shared" si="2"/>
        <v>764</v>
      </c>
      <c r="E45">
        <f t="shared" si="3"/>
        <v>765.5</v>
      </c>
      <c r="F45">
        <v>-3903.9382341917799</v>
      </c>
      <c r="G45">
        <v>-3903.7720142861999</v>
      </c>
      <c r="H45">
        <v>-3903.56951363809</v>
      </c>
      <c r="J45" s="7">
        <f t="shared" ref="J45:M47" si="16">F45-B45*($H$20+$I$20)</f>
        <v>-3796.5961787823908</v>
      </c>
      <c r="K45" s="7">
        <f t="shared" si="16"/>
        <v>-3796.5700921084158</v>
      </c>
      <c r="L45" s="7">
        <f t="shared" si="16"/>
        <v>-3796.5077246919109</v>
      </c>
      <c r="M45" s="7">
        <f t="shared" si="16"/>
        <v>107.27198879358667</v>
      </c>
      <c r="N45" s="8">
        <f t="array" ref="N45:P45">LINEST(TRANSPOSE(J45:L45),TRANSPOSE(B45:D45)^{1,2},TRUE,FALSE)</f>
        <v>1.8140371264964258E-2</v>
      </c>
      <c r="O45" s="8">
        <v>-27.798995080635262</v>
      </c>
      <c r="P45" s="8">
        <v>6853.4623710388532</v>
      </c>
      <c r="Q45" s="26"/>
      <c r="R45" s="26"/>
      <c r="S45" s="26"/>
      <c r="T45" s="26"/>
      <c r="U45" s="16"/>
      <c r="V45" s="15"/>
      <c r="W45" s="15"/>
      <c r="X45" s="15"/>
      <c r="Y45" s="15"/>
      <c r="Z45" s="8">
        <f t="shared" si="9"/>
        <v>766</v>
      </c>
      <c r="AA45" s="11">
        <f t="shared" si="10"/>
        <v>766.21902260416709</v>
      </c>
      <c r="AB45" s="4">
        <f t="shared" si="11"/>
        <v>-3796.5970489923438</v>
      </c>
      <c r="AC45" s="8">
        <f t="shared" si="12"/>
        <v>1.6239413468394142E-19</v>
      </c>
      <c r="AD45" s="7">
        <f t="shared" si="13"/>
        <v>-0.63018169088697384</v>
      </c>
      <c r="AE45" s="8">
        <f t="shared" si="14"/>
        <v>-0.21902260416709396</v>
      </c>
      <c r="AF45" s="4">
        <f t="shared" si="15"/>
        <v>-2382401.0955743659</v>
      </c>
      <c r="AG45" s="7"/>
      <c r="AH45" s="3"/>
      <c r="AI45" t="s">
        <v>84</v>
      </c>
      <c r="AK45" s="8"/>
      <c r="AL45">
        <v>7</v>
      </c>
      <c r="AM45">
        <f>AL45/13</f>
        <v>0.53846153846153844</v>
      </c>
      <c r="AN45" s="7">
        <v>-7.957130918835012E-2</v>
      </c>
      <c r="AO45" s="8">
        <v>1.1535704930758346</v>
      </c>
    </row>
    <row r="46" spans="1:41">
      <c r="A46">
        <v>13</v>
      </c>
      <c r="B46">
        <f t="shared" si="5"/>
        <v>767</v>
      </c>
      <c r="C46">
        <f t="shared" si="1"/>
        <v>766</v>
      </c>
      <c r="D46">
        <f t="shared" si="2"/>
        <v>765</v>
      </c>
      <c r="E46">
        <f t="shared" si="3"/>
        <v>766.5</v>
      </c>
      <c r="F46">
        <v>-3904.5464573350901</v>
      </c>
      <c r="G46">
        <v>-3904.3794513283301</v>
      </c>
      <c r="H46">
        <v>-3904.1757761906701</v>
      </c>
      <c r="J46" s="7">
        <f t="shared" si="16"/>
        <v>-3797.064268694096</v>
      </c>
      <c r="K46" s="7">
        <f t="shared" si="16"/>
        <v>-3797.037395918941</v>
      </c>
      <c r="L46" s="7">
        <f t="shared" si="16"/>
        <v>-3796.973854012886</v>
      </c>
      <c r="M46" s="7">
        <f t="shared" si="16"/>
        <v>107.41212202519162</v>
      </c>
      <c r="N46" s="8">
        <f t="array" ref="N46:P46">LINEST(TRANSPOSE(J46:L46),TRANSPOSE(B46:D46)^{1,2},TRUE,FALSE)</f>
        <v>1.8334565450000517E-2</v>
      </c>
      <c r="O46" s="8">
        <v>-28.133761610005756</v>
      </c>
      <c r="P46" s="8">
        <v>6995.5077121649683</v>
      </c>
      <c r="Q46" s="26"/>
      <c r="R46" s="26"/>
      <c r="S46" s="26"/>
      <c r="T46" s="26"/>
      <c r="U46" s="16"/>
      <c r="V46" s="15"/>
      <c r="W46" s="15"/>
      <c r="X46" s="15"/>
      <c r="Y46" s="15"/>
      <c r="Z46" s="8">
        <f t="shared" si="9"/>
        <v>767</v>
      </c>
      <c r="AA46" s="11">
        <f t="shared" si="10"/>
        <v>767.23284461604089</v>
      </c>
      <c r="AB46" s="4">
        <f t="shared" si="11"/>
        <v>-3797.0652627321706</v>
      </c>
      <c r="AC46" s="8">
        <f t="shared" si="12"/>
        <v>1.606741050096294E-19</v>
      </c>
      <c r="AD46" s="7">
        <f t="shared" si="13"/>
        <v>-0.6140818206244717</v>
      </c>
      <c r="AE46" s="8">
        <f t="shared" si="14"/>
        <v>-0.23284461604089302</v>
      </c>
      <c r="AF46" s="4">
        <f t="shared" si="15"/>
        <v>-2382694.9041909594</v>
      </c>
      <c r="AG46" s="7">
        <f>AG$30*(13-A46)+AF46/23</f>
        <v>-103595.43061699823</v>
      </c>
      <c r="AH46" s="3">
        <f>AG46-MIN(AG$33:AG$46)</f>
        <v>0.15897648851387203</v>
      </c>
      <c r="AI46" t="s">
        <v>84</v>
      </c>
      <c r="AK46" s="8"/>
      <c r="AL46">
        <v>13</v>
      </c>
      <c r="AM46">
        <f>AL46/13</f>
        <v>1</v>
      </c>
      <c r="AN46" s="7">
        <v>-0.11396395223386269</v>
      </c>
      <c r="AO46" s="8">
        <v>1.1192666041948225</v>
      </c>
    </row>
    <row r="47" spans="1:41">
      <c r="A47">
        <v>14</v>
      </c>
      <c r="B47">
        <f t="shared" si="5"/>
        <v>768</v>
      </c>
      <c r="C47">
        <f>B47-1</f>
        <v>767</v>
      </c>
      <c r="D47">
        <f>B47-2</f>
        <v>766</v>
      </c>
      <c r="E47">
        <f>B47-0.5</f>
        <v>767.5</v>
      </c>
      <c r="F47">
        <v>-3905.1027330056199</v>
      </c>
      <c r="G47">
        <v>-3904.9379819238702</v>
      </c>
      <c r="H47">
        <v>-3904.73651535102</v>
      </c>
      <c r="J47" s="7">
        <f t="shared" si="16"/>
        <v>-3797.4804111330209</v>
      </c>
      <c r="K47" s="7">
        <f t="shared" si="16"/>
        <v>-3797.4557932828761</v>
      </c>
      <c r="L47" s="7">
        <f t="shared" si="16"/>
        <v>-3797.3944599416309</v>
      </c>
      <c r="M47" s="7">
        <f t="shared" si="16"/>
        <v>107.55225525679657</v>
      </c>
      <c r="N47" s="8">
        <f t="array" ref="N47:P47">LINEST(TRANSPOSE(J47:M47),TRANSPOSE(B47:E47)^{1,2},TRUE,FALSE)</f>
        <v>-1419.9907138543929</v>
      </c>
      <c r="O47" s="8">
        <v>2178833.7157056835</v>
      </c>
      <c r="P47" s="8">
        <v>-835802636.32847965</v>
      </c>
      <c r="Q47" s="26"/>
      <c r="R47" s="26"/>
      <c r="S47" s="26"/>
      <c r="T47" s="26"/>
      <c r="U47" s="16"/>
      <c r="V47" s="15"/>
      <c r="W47" s="15"/>
      <c r="X47" s="15"/>
      <c r="Y47" s="15"/>
      <c r="Z47" s="8">
        <f t="shared" si="9"/>
        <v>768</v>
      </c>
      <c r="AA47" s="11">
        <f t="shared" si="10"/>
        <v>767.19998745326404</v>
      </c>
      <c r="AB47" s="4">
        <f t="shared" si="11"/>
        <v>-2036.6524051427841</v>
      </c>
      <c r="AC47" s="8">
        <f t="shared" si="12"/>
        <v>-2.0745839150053628E-24</v>
      </c>
      <c r="AD47" s="7">
        <f t="shared" si="13"/>
        <v>61798.118749731781</v>
      </c>
      <c r="AE47" s="8">
        <f t="shared" si="14"/>
        <v>0.80001254673595668</v>
      </c>
      <c r="AF47" s="4">
        <f t="shared" si="15"/>
        <v>-1278018.9360901865</v>
      </c>
      <c r="AG47" s="7">
        <f>AG$30*(13-A47)+AF47/23</f>
        <v>-55553.458336647884</v>
      </c>
      <c r="AH47" s="7"/>
      <c r="AI47" t="s">
        <v>84</v>
      </c>
      <c r="AK47" s="8"/>
      <c r="AL47">
        <v>14</v>
      </c>
      <c r="AM47">
        <f>AL47/13</f>
        <v>1.0769230769230769</v>
      </c>
      <c r="AN47" s="7">
        <v>-1.1269065447185249</v>
      </c>
      <c r="AO47" s="8"/>
    </row>
    <row r="48" spans="1:41">
      <c r="A48" s="14"/>
      <c r="B48" s="17"/>
      <c r="N48" s="8"/>
      <c r="O48" s="8"/>
      <c r="P48" s="8"/>
      <c r="Q48" s="16"/>
      <c r="R48" s="16"/>
      <c r="S48" s="16"/>
      <c r="T48" s="16"/>
      <c r="U48" s="16"/>
      <c r="V48" s="15"/>
      <c r="W48" s="15"/>
      <c r="X48" s="15"/>
      <c r="Y48" s="15"/>
      <c r="Z48" s="8"/>
      <c r="AA48" s="11"/>
      <c r="AB48" s="4"/>
      <c r="AC48" s="8"/>
      <c r="AD48" s="7"/>
      <c r="AE48" s="8"/>
      <c r="AF48" s="4"/>
      <c r="AH48" s="14"/>
      <c r="AI48" s="17"/>
      <c r="AK48" s="8"/>
      <c r="AN48" s="8"/>
      <c r="AO48" s="8"/>
    </row>
    <row r="49" spans="1:41">
      <c r="J49" s="7"/>
      <c r="K49" s="7"/>
      <c r="L49" s="7"/>
      <c r="M49" s="7"/>
      <c r="N49" s="8"/>
      <c r="O49" s="8"/>
      <c r="P49" s="8"/>
      <c r="Q49" s="26"/>
      <c r="R49" s="26"/>
      <c r="S49" s="26"/>
      <c r="T49" s="26"/>
      <c r="U49" s="16"/>
      <c r="V49" s="15"/>
      <c r="W49" s="15"/>
      <c r="X49" s="15"/>
      <c r="Y49" s="15"/>
      <c r="Z49" s="8">
        <f>B49</f>
        <v>0</v>
      </c>
      <c r="AA49" s="11" t="e">
        <f>-(O49/(2*N49))</f>
        <v>#DIV/0!</v>
      </c>
      <c r="AB49" s="4" t="e">
        <f>N49*AA49^2+(O49)*AA49+P49</f>
        <v>#DIV/0!</v>
      </c>
      <c r="AC49" s="8" t="e">
        <f>1/2/N49/27.2/6240000000000000000</f>
        <v>#DIV/0!</v>
      </c>
      <c r="AD49" s="7">
        <f>27.2*(-O49-I$20-2*Z49*N49)</f>
        <v>-0.84632112459945619</v>
      </c>
      <c r="AE49" s="8" t="e">
        <f>Z49-AA49</f>
        <v>#DIV/0!</v>
      </c>
      <c r="AF49" s="4" t="e">
        <f>AB49*627.5096</f>
        <v>#DIV/0!</v>
      </c>
      <c r="AG49" s="7" t="e">
        <f>(AF49-AF35)/23</f>
        <v>#DIV/0!</v>
      </c>
      <c r="AH49" s="7"/>
      <c r="AI49" s="7">
        <f>AH44-AH42</f>
        <v>4.7670194150414319E-2</v>
      </c>
      <c r="AK49" s="8"/>
      <c r="AN49" s="8"/>
      <c r="AO49" s="8"/>
    </row>
    <row r="50" spans="1:41">
      <c r="J50" s="7"/>
      <c r="K50" s="7"/>
      <c r="L50" s="7"/>
      <c r="M50" s="7"/>
      <c r="N50" s="8"/>
      <c r="O50" s="8"/>
      <c r="P50" s="8"/>
      <c r="Q50" s="26"/>
      <c r="R50" s="26"/>
      <c r="S50" s="26"/>
      <c r="T50" s="26"/>
      <c r="U50" s="16"/>
      <c r="V50" s="15"/>
      <c r="W50" s="15"/>
      <c r="X50" s="15"/>
      <c r="Y50" s="15"/>
      <c r="Z50" s="8">
        <f>B50</f>
        <v>0</v>
      </c>
      <c r="AA50" s="11" t="e">
        <f>-(O50/(2*N50))</f>
        <v>#DIV/0!</v>
      </c>
      <c r="AB50" s="4" t="e">
        <f>N50*AA50^2+(O50)*AA50+P50</f>
        <v>#DIV/0!</v>
      </c>
      <c r="AC50" s="8" t="e">
        <f>1/2/N50/27.2/6240000000000000000</f>
        <v>#DIV/0!</v>
      </c>
      <c r="AD50" s="7">
        <f>27.2*(-O50-I$20-2*Z50*N50)</f>
        <v>-0.84632112459945619</v>
      </c>
      <c r="AE50" s="8" t="e">
        <f>Z50-AA50</f>
        <v>#DIV/0!</v>
      </c>
      <c r="AF50" s="4" t="e">
        <f>AB50*627.5096</f>
        <v>#DIV/0!</v>
      </c>
      <c r="AG50" s="7" t="e">
        <f>(AF50-AF37)/23</f>
        <v>#DIV/0!</v>
      </c>
      <c r="AH50" s="7"/>
      <c r="AK50" s="8"/>
      <c r="AN50" s="8"/>
      <c r="AO50" s="8"/>
    </row>
    <row r="51" spans="1:41">
      <c r="J51" s="7"/>
      <c r="K51" s="7"/>
      <c r="L51" s="7"/>
      <c r="M51" s="7"/>
      <c r="N51" s="8"/>
      <c r="O51" s="8"/>
      <c r="P51" s="8"/>
      <c r="Q51" s="26"/>
      <c r="R51" s="26"/>
      <c r="S51" s="26"/>
      <c r="T51" s="26"/>
      <c r="U51" s="16"/>
      <c r="V51" s="15"/>
      <c r="W51" s="15"/>
      <c r="X51" s="15"/>
      <c r="Y51" s="15"/>
      <c r="Z51" s="8">
        <f>B51</f>
        <v>0</v>
      </c>
      <c r="AA51" s="11" t="e">
        <f>-(O51/(2*N51))</f>
        <v>#DIV/0!</v>
      </c>
      <c r="AB51" s="4" t="e">
        <f>N51*AA51^2+(O51)*AA51+P51</f>
        <v>#DIV/0!</v>
      </c>
      <c r="AC51" s="8" t="e">
        <f>1/2/N51/27.2/6240000000000000000</f>
        <v>#DIV/0!</v>
      </c>
      <c r="AD51" s="7">
        <f>27.2*(-O51-I$20-2*Z51*N51)</f>
        <v>-0.84632112459945619</v>
      </c>
      <c r="AE51" s="8" t="e">
        <f>Z51-AA51</f>
        <v>#DIV/0!</v>
      </c>
      <c r="AF51" s="4" t="e">
        <f>AB51*627.5096</f>
        <v>#DIV/0!</v>
      </c>
      <c r="AG51" s="7">
        <v>1.1535704930758346</v>
      </c>
      <c r="AH51" s="7" t="e">
        <f>(AF51-AF40)/23</f>
        <v>#DIV/0!</v>
      </c>
      <c r="AI51" t="s">
        <v>7</v>
      </c>
      <c r="AK51" s="8"/>
      <c r="AN51" s="8"/>
      <c r="AO51" s="8"/>
    </row>
    <row r="52" spans="1:41">
      <c r="J52" s="7"/>
      <c r="K52" s="7"/>
      <c r="L52" s="7"/>
      <c r="M52" s="7"/>
      <c r="N52" s="8"/>
      <c r="O52" s="8"/>
      <c r="P52" s="8"/>
      <c r="Q52" s="26"/>
      <c r="R52" s="26"/>
      <c r="S52" s="26"/>
      <c r="T52" s="26"/>
      <c r="U52" s="16"/>
      <c r="V52" s="15"/>
      <c r="W52" s="15"/>
      <c r="X52" s="15"/>
      <c r="Y52" s="15"/>
      <c r="Z52" s="8">
        <f>B52</f>
        <v>0</v>
      </c>
      <c r="AA52" s="11" t="e">
        <f>-(O52/(2*N52))</f>
        <v>#DIV/0!</v>
      </c>
      <c r="AB52" s="4" t="e">
        <f>N52*AA52^2+(O52)*AA52+P52</f>
        <v>#DIV/0!</v>
      </c>
      <c r="AC52" s="8" t="e">
        <f>1/2/N52/27.2/6240000000000000000</f>
        <v>#DIV/0!</v>
      </c>
      <c r="AD52" s="7">
        <f>27.2*(-O52-I$20-2*Z52*N52)</f>
        <v>-0.84632112459945619</v>
      </c>
      <c r="AE52" s="8" t="e">
        <f>Z52-AA52</f>
        <v>#DIV/0!</v>
      </c>
      <c r="AF52" s="4" t="e">
        <f>AB52*627.5096</f>
        <v>#DIV/0!</v>
      </c>
      <c r="AG52" s="7">
        <v>1.1192666041948225</v>
      </c>
      <c r="AH52" s="7" t="e">
        <f>(AF52-AF46)/23</f>
        <v>#DIV/0!</v>
      </c>
      <c r="AK52" s="8"/>
      <c r="AN52" s="8"/>
      <c r="AO52" s="8"/>
    </row>
    <row r="53" spans="1:41">
      <c r="J53" s="7"/>
      <c r="K53" s="7"/>
      <c r="L53" s="7"/>
      <c r="M53" s="7"/>
      <c r="N53" s="8"/>
      <c r="O53" s="8"/>
      <c r="P53" s="8"/>
      <c r="Q53" s="16"/>
      <c r="R53" s="16"/>
      <c r="S53" s="16"/>
      <c r="T53" s="16"/>
      <c r="U53" s="16"/>
      <c r="V53" s="15"/>
      <c r="W53" s="15"/>
      <c r="X53" s="15"/>
      <c r="Y53" s="15"/>
      <c r="Z53" s="8"/>
      <c r="AA53" s="11"/>
      <c r="AB53" s="4"/>
      <c r="AC53" s="8"/>
      <c r="AD53" s="7"/>
      <c r="AE53" s="8"/>
      <c r="AF53" s="4"/>
      <c r="AG53" s="7"/>
      <c r="AI53" s="6">
        <v>2</v>
      </c>
      <c r="AJ53" s="33">
        <v>0.11632918399677913</v>
      </c>
      <c r="AK53">
        <f>AG71</f>
        <v>1.413103180949838</v>
      </c>
      <c r="AN53" s="8"/>
      <c r="AO53" s="8"/>
    </row>
    <row r="54" spans="1:41">
      <c r="J54" s="7"/>
      <c r="K54" s="7"/>
      <c r="L54" s="7"/>
      <c r="M54" s="7"/>
      <c r="N54" s="8"/>
      <c r="O54" s="8"/>
      <c r="P54" s="8"/>
      <c r="Q54" s="16"/>
      <c r="R54" s="16"/>
      <c r="S54" s="16"/>
      <c r="T54" s="16"/>
      <c r="U54" s="16"/>
      <c r="V54" s="15"/>
      <c r="W54" s="15"/>
      <c r="X54" s="15"/>
      <c r="Y54" s="15"/>
      <c r="Z54" s="8"/>
      <c r="AA54" s="11"/>
      <c r="AB54" s="4"/>
      <c r="AC54" s="8"/>
      <c r="AD54" s="7"/>
      <c r="AE54" s="8"/>
      <c r="AF54" s="4"/>
      <c r="AG54" s="7"/>
      <c r="AI54" s="6">
        <v>6</v>
      </c>
      <c r="AJ54" s="6">
        <v>4.6115297776819067E-2</v>
      </c>
      <c r="AK54" s="8">
        <f>AH71</f>
        <v>1.2728250305888651</v>
      </c>
      <c r="AN54" s="8"/>
      <c r="AO54" s="8"/>
    </row>
    <row r="55" spans="1:41">
      <c r="J55" s="7"/>
      <c r="K55" s="7"/>
      <c r="L55" s="7"/>
      <c r="M55" s="7"/>
      <c r="N55" s="8"/>
      <c r="O55" s="8"/>
      <c r="P55" s="8"/>
      <c r="Q55" s="16"/>
      <c r="R55" s="16"/>
      <c r="S55" s="16"/>
      <c r="T55" s="16"/>
      <c r="U55" s="16"/>
      <c r="V55" s="15"/>
      <c r="W55" s="15"/>
      <c r="X55" s="15"/>
      <c r="Y55" s="15"/>
      <c r="Z55" s="8"/>
      <c r="AA55" s="11"/>
      <c r="AB55" s="4"/>
      <c r="AC55" s="8">
        <v>1.9939790091350366E-19</v>
      </c>
      <c r="AD55" s="7">
        <v>-0.40508287024199491</v>
      </c>
      <c r="AE55" s="8"/>
      <c r="AF55" s="4"/>
      <c r="AG55" s="7"/>
      <c r="AH55" t="s">
        <v>138</v>
      </c>
      <c r="AI55" s="6">
        <v>9</v>
      </c>
      <c r="AJ55" s="6">
        <v>1.1905132517752468E-2</v>
      </c>
      <c r="AK55" s="8">
        <f>AJ71</f>
        <v>1.1425805916529497</v>
      </c>
      <c r="AN55" s="8"/>
      <c r="AO55" s="8"/>
    </row>
    <row r="56" spans="1:41">
      <c r="A56" s="14"/>
      <c r="B56" t="s">
        <v>94</v>
      </c>
      <c r="E56" t="s">
        <v>111</v>
      </c>
      <c r="F56" t="s">
        <v>123</v>
      </c>
      <c r="Q56" s="16"/>
      <c r="R56" s="16"/>
      <c r="S56" s="16"/>
      <c r="T56" s="16"/>
      <c r="U56" s="16"/>
      <c r="V56" s="15"/>
      <c r="W56" s="15"/>
      <c r="X56" s="15"/>
      <c r="Y56" s="15"/>
      <c r="AC56" s="8">
        <v>1.9272789180266382E-19</v>
      </c>
      <c r="AD56" s="7">
        <v>-0.42003261626528571</v>
      </c>
      <c r="AH56" s="31">
        <v>-2.8761298283769172E-2</v>
      </c>
      <c r="AI56" s="6">
        <v>11</v>
      </c>
      <c r="AJ56" s="31">
        <v>-0.10512940888176778</v>
      </c>
      <c r="AK56" s="8">
        <f>AK71</f>
        <v>1.1289253522627405</v>
      </c>
      <c r="AN56" s="8"/>
      <c r="AO56" s="8"/>
    </row>
    <row r="57" spans="1:41">
      <c r="B57" t="s">
        <v>95</v>
      </c>
      <c r="E57" t="s">
        <v>112</v>
      </c>
      <c r="F57" t="s">
        <v>124</v>
      </c>
      <c r="G57">
        <v>-3897.8439713938401</v>
      </c>
      <c r="J57" s="7"/>
      <c r="K57" s="7"/>
      <c r="L57" s="7"/>
      <c r="M57" s="7"/>
      <c r="N57" s="8"/>
      <c r="O57" s="8"/>
      <c r="P57" s="8"/>
      <c r="Q57" s="16"/>
      <c r="R57" s="16"/>
      <c r="S57" s="16"/>
      <c r="T57" s="16"/>
      <c r="U57" s="16"/>
      <c r="V57" s="15"/>
      <c r="W57" s="15"/>
      <c r="X57" s="15"/>
      <c r="Y57" s="15"/>
      <c r="Z57" s="8"/>
      <c r="AA57" s="11"/>
      <c r="AB57" s="4"/>
      <c r="AC57" s="8">
        <v>1.7443540963352239E-19</v>
      </c>
      <c r="AD57" s="7">
        <v>-0.47601496033399826</v>
      </c>
      <c r="AE57" s="8"/>
      <c r="AF57" s="4"/>
      <c r="AG57" s="9"/>
      <c r="AH57" s="31">
        <v>-0.12149680467049721</v>
      </c>
      <c r="AI57" s="6">
        <v>13</v>
      </c>
      <c r="AJ57" s="31">
        <v>-0.13682741158225162</v>
      </c>
      <c r="AK57" s="8">
        <f>AL71</f>
        <v>0.86531932829311697</v>
      </c>
      <c r="AN57" s="8"/>
      <c r="AO57" s="8"/>
    </row>
    <row r="58" spans="1:41">
      <c r="B58" t="s">
        <v>96</v>
      </c>
      <c r="E58" t="s">
        <v>85</v>
      </c>
      <c r="F58" t="s">
        <v>125</v>
      </c>
      <c r="G58">
        <v>-3899.0537811356198</v>
      </c>
      <c r="J58" s="7"/>
      <c r="K58" s="7"/>
      <c r="L58" s="7"/>
      <c r="M58" s="7"/>
      <c r="N58" s="8"/>
      <c r="O58" s="8"/>
      <c r="P58" s="8"/>
      <c r="Q58" s="16"/>
      <c r="R58" s="16"/>
      <c r="S58" s="16"/>
      <c r="T58" s="16"/>
      <c r="U58" s="16"/>
      <c r="V58" s="15"/>
      <c r="W58" s="15"/>
      <c r="X58" s="15"/>
      <c r="Y58" s="15"/>
      <c r="Z58" s="8"/>
      <c r="AA58" s="11"/>
      <c r="AB58" s="4"/>
      <c r="AC58" s="8">
        <v>1.670159575724991E-19</v>
      </c>
      <c r="AD58" s="7">
        <v>-0.47529430574226122</v>
      </c>
      <c r="AE58" s="8"/>
      <c r="AF58" s="4"/>
      <c r="AG58" s="9"/>
      <c r="AK58" s="8"/>
      <c r="AN58" s="8"/>
      <c r="AO58" s="8"/>
    </row>
    <row r="59" spans="1:41" ht="15">
      <c r="B59" t="s">
        <v>97</v>
      </c>
      <c r="E59" t="s">
        <v>113</v>
      </c>
      <c r="F59" t="s">
        <v>126</v>
      </c>
      <c r="G59" s="29"/>
      <c r="J59" s="7"/>
      <c r="K59" s="7"/>
      <c r="L59" s="7"/>
      <c r="M59" s="7"/>
      <c r="N59" s="8"/>
      <c r="O59" s="8"/>
      <c r="P59" s="8"/>
      <c r="Q59" s="16"/>
      <c r="R59" s="16"/>
      <c r="S59" s="16"/>
      <c r="T59" s="16"/>
      <c r="U59" s="16"/>
      <c r="V59" s="15"/>
      <c r="W59" s="15"/>
      <c r="X59" s="15"/>
      <c r="Y59" s="15"/>
      <c r="Z59" s="8"/>
      <c r="AA59" s="11"/>
      <c r="AB59" s="4"/>
      <c r="AC59" s="8">
        <v>1.6407757161427557E-19</v>
      </c>
      <c r="AD59" s="7">
        <v>-0.57404082874474505</v>
      </c>
      <c r="AE59" s="8"/>
      <c r="AF59" s="4"/>
      <c r="AG59" s="7" t="s">
        <v>29</v>
      </c>
      <c r="AH59" s="8" t="s">
        <v>92</v>
      </c>
      <c r="AI59" s="4" t="s">
        <v>135</v>
      </c>
      <c r="AJ59" s="9" t="s">
        <v>136</v>
      </c>
      <c r="AK59" s="9" t="s">
        <v>137</v>
      </c>
      <c r="AL59" t="s">
        <v>93</v>
      </c>
      <c r="AN59" s="8"/>
      <c r="AO59" s="8"/>
    </row>
    <row r="60" spans="1:41">
      <c r="B60" t="s">
        <v>98</v>
      </c>
      <c r="E60" t="s">
        <v>114</v>
      </c>
      <c r="F60" t="s">
        <v>127</v>
      </c>
      <c r="J60" s="7"/>
      <c r="K60" s="7"/>
      <c r="L60" s="7"/>
      <c r="M60" s="7"/>
      <c r="N60" s="8"/>
      <c r="O60" s="8"/>
      <c r="P60" s="8"/>
      <c r="Q60" s="16"/>
      <c r="R60" s="16"/>
      <c r="S60" s="16"/>
      <c r="T60" s="16"/>
      <c r="U60" s="16"/>
      <c r="V60" s="15"/>
      <c r="W60" s="15"/>
      <c r="X60" s="15"/>
      <c r="Y60" s="15"/>
      <c r="Z60" s="8"/>
      <c r="AA60" s="11"/>
      <c r="AB60" s="4"/>
      <c r="AC60" s="8">
        <v>1.6067410500763679E-19</v>
      </c>
      <c r="AD60" s="7">
        <v>-0.61408182063200911</v>
      </c>
      <c r="AE60" s="8"/>
      <c r="AF60" s="4"/>
      <c r="AG60" s="7"/>
      <c r="AH60" s="8"/>
      <c r="AI60" s="4"/>
      <c r="AJ60" s="9"/>
      <c r="AK60" s="9"/>
      <c r="AL60" s="9">
        <v>-2332.3617441708998</v>
      </c>
      <c r="AN60" s="8"/>
      <c r="AO60" s="8"/>
    </row>
    <row r="61" spans="1:41">
      <c r="B61" t="s">
        <v>99</v>
      </c>
      <c r="E61" t="s">
        <v>115</v>
      </c>
      <c r="F61" t="s">
        <v>128</v>
      </c>
      <c r="J61" s="7"/>
      <c r="K61" s="7"/>
      <c r="L61" s="7"/>
      <c r="M61" s="7"/>
      <c r="N61" s="8"/>
      <c r="O61" s="8"/>
      <c r="P61" s="8"/>
      <c r="Q61" s="16"/>
      <c r="R61" s="16"/>
      <c r="S61" s="16"/>
      <c r="T61" s="16"/>
      <c r="U61" s="16"/>
      <c r="V61" s="15"/>
      <c r="W61" s="15"/>
      <c r="X61" s="15"/>
      <c r="Y61" s="15"/>
      <c r="Z61" s="8"/>
      <c r="AA61" s="11"/>
      <c r="AB61" s="4"/>
      <c r="AC61" s="8"/>
      <c r="AD61" s="7"/>
      <c r="AE61" s="8"/>
      <c r="AF61" s="4"/>
      <c r="AG61" s="7"/>
      <c r="AH61" s="8"/>
      <c r="AI61" s="4"/>
      <c r="AJ61" s="9"/>
      <c r="AK61" s="9"/>
      <c r="AL61" s="9">
        <v>-2334.7645768736002</v>
      </c>
      <c r="AN61" s="8"/>
      <c r="AO61" s="8"/>
    </row>
    <row r="62" spans="1:41">
      <c r="B62" t="s">
        <v>100</v>
      </c>
      <c r="E62" t="s">
        <v>116</v>
      </c>
      <c r="F62" t="s">
        <v>129</v>
      </c>
      <c r="J62" s="7"/>
      <c r="K62" s="7"/>
      <c r="L62" s="7"/>
      <c r="M62" s="7"/>
      <c r="N62" s="8"/>
      <c r="O62" s="8"/>
      <c r="P62" s="8"/>
      <c r="Q62" s="16"/>
      <c r="R62" s="16"/>
      <c r="S62" s="16"/>
      <c r="T62" s="16"/>
      <c r="U62" s="16"/>
      <c r="V62" s="15"/>
      <c r="W62" s="15"/>
      <c r="X62" s="15"/>
      <c r="Y62" s="15"/>
      <c r="Z62" s="8"/>
      <c r="AA62" s="11"/>
      <c r="AB62" s="4"/>
      <c r="AC62" s="8"/>
      <c r="AD62" s="7"/>
      <c r="AE62" s="8"/>
      <c r="AF62" s="4"/>
      <c r="AG62" s="7"/>
      <c r="AH62" s="8"/>
      <c r="AI62" s="4"/>
      <c r="AJ62" s="9"/>
      <c r="AK62" s="9"/>
      <c r="AL62">
        <v>-2.3318061686</v>
      </c>
      <c r="AN62" s="8"/>
      <c r="AO62" s="8"/>
    </row>
    <row r="63" spans="1:41">
      <c r="B63" t="s">
        <v>101</v>
      </c>
      <c r="E63" s="17" t="s">
        <v>117</v>
      </c>
      <c r="F63" t="s">
        <v>130</v>
      </c>
      <c r="J63" s="7"/>
      <c r="K63" s="7"/>
      <c r="L63" s="7"/>
      <c r="M63" s="7"/>
      <c r="N63" s="8"/>
      <c r="O63" s="8"/>
      <c r="P63" s="8"/>
      <c r="Q63" s="16"/>
      <c r="R63" s="16"/>
      <c r="S63" s="16"/>
      <c r="T63" s="16"/>
      <c r="U63" s="16"/>
      <c r="V63" s="15"/>
      <c r="W63" s="15"/>
      <c r="X63" s="15"/>
      <c r="Y63" s="15"/>
      <c r="Z63" s="8"/>
      <c r="AA63" s="11"/>
      <c r="AB63" s="4"/>
      <c r="AC63" s="8"/>
      <c r="AD63" s="7"/>
      <c r="AE63" s="8"/>
      <c r="AF63" s="4"/>
      <c r="AG63" s="7"/>
      <c r="AH63" s="8"/>
      <c r="AI63" s="4"/>
      <c r="AJ63" s="6">
        <v>-3903.3415917060602</v>
      </c>
      <c r="AK63" s="9"/>
      <c r="AL63">
        <f>AL60+AL62-AL61</f>
        <v>7.1026534100383287E-2</v>
      </c>
      <c r="AN63" s="8"/>
      <c r="AO63" s="8"/>
    </row>
    <row r="64" spans="1:41">
      <c r="A64" s="14"/>
      <c r="B64" s="17" t="s">
        <v>102</v>
      </c>
      <c r="C64" t="s">
        <v>85</v>
      </c>
      <c r="E64" t="s">
        <v>118</v>
      </c>
      <c r="F64" t="s">
        <v>131</v>
      </c>
      <c r="N64" s="8"/>
      <c r="O64" s="8"/>
      <c r="P64" s="8"/>
      <c r="Q64" s="16"/>
      <c r="R64" s="16"/>
      <c r="S64" s="16"/>
      <c r="T64" s="16"/>
      <c r="U64" s="16"/>
      <c r="V64" s="15"/>
      <c r="W64" s="15"/>
      <c r="X64" s="15"/>
      <c r="Y64" s="15"/>
      <c r="Z64" s="8"/>
      <c r="AA64" s="11"/>
      <c r="AB64" s="4"/>
      <c r="AC64" s="8"/>
      <c r="AD64" s="7"/>
      <c r="AE64" s="8"/>
      <c r="AF64" s="4"/>
      <c r="AG64" s="7"/>
      <c r="AH64" s="8"/>
      <c r="AI64" s="4"/>
      <c r="AJ64" s="9">
        <v>-3903.3493395709002</v>
      </c>
      <c r="AK64" s="9"/>
      <c r="AL64">
        <f>AL63*13.6</f>
        <v>0.96596086376521273</v>
      </c>
      <c r="AN64" s="8"/>
      <c r="AO64" s="8"/>
    </row>
    <row r="65" spans="1:41">
      <c r="B65" t="s">
        <v>103</v>
      </c>
      <c r="E65" t="s">
        <v>119</v>
      </c>
      <c r="F65" t="s">
        <v>132</v>
      </c>
      <c r="G65" s="16"/>
      <c r="H65" s="16"/>
      <c r="I65" s="16"/>
      <c r="J65" s="7"/>
      <c r="K65" s="7"/>
      <c r="L65" s="7"/>
      <c r="M65" s="7"/>
      <c r="N65" s="8"/>
      <c r="O65" s="8"/>
      <c r="P65" s="8"/>
      <c r="Q65" s="16"/>
      <c r="R65" s="16"/>
      <c r="S65" s="16"/>
      <c r="T65" s="16"/>
      <c r="U65" s="16"/>
      <c r="V65" s="15"/>
      <c r="W65" s="15"/>
      <c r="X65" s="15"/>
      <c r="Y65" s="15"/>
      <c r="Z65" s="8"/>
      <c r="AA65" s="11"/>
      <c r="AB65" s="4"/>
      <c r="AC65" s="8"/>
      <c r="AD65" s="7"/>
      <c r="AE65" s="8"/>
      <c r="AF65" s="4"/>
      <c r="AG65" s="5"/>
      <c r="AH65" s="8"/>
      <c r="AI65" s="4"/>
      <c r="AJ65" s="9">
        <f>AJ63-AJ64</f>
        <v>7.7478648399846861E-3</v>
      </c>
      <c r="AK65" s="9"/>
      <c r="AN65" s="8"/>
      <c r="AO65" s="8"/>
    </row>
    <row r="66" spans="1:41">
      <c r="B66" t="s">
        <v>104</v>
      </c>
      <c r="E66" t="s">
        <v>120</v>
      </c>
      <c r="F66" s="17" t="s">
        <v>133</v>
      </c>
      <c r="G66" s="16"/>
      <c r="H66" s="16"/>
      <c r="I66" s="16"/>
      <c r="J66" s="7"/>
      <c r="K66" s="7"/>
      <c r="L66" s="7"/>
      <c r="M66" s="7"/>
      <c r="N66" s="8"/>
      <c r="O66" s="8"/>
      <c r="P66" s="8"/>
      <c r="Q66" s="16"/>
      <c r="R66" s="16"/>
      <c r="S66" s="16"/>
      <c r="T66" s="16"/>
      <c r="U66" s="16"/>
      <c r="V66" s="15"/>
      <c r="W66" s="15"/>
      <c r="X66" s="15"/>
      <c r="Y66" s="15"/>
      <c r="Z66" s="8"/>
      <c r="AA66" s="11"/>
      <c r="AB66" s="4"/>
      <c r="AC66" s="8"/>
      <c r="AD66" s="7"/>
      <c r="AE66" s="8"/>
      <c r="AF66" s="4"/>
      <c r="AG66" s="7"/>
      <c r="AH66" s="8"/>
      <c r="AI66" s="4"/>
      <c r="AJ66">
        <f>AJ65*13.6</f>
        <v>0.10537096182379173</v>
      </c>
      <c r="AN66" s="8"/>
      <c r="AO66" s="8"/>
    </row>
    <row r="67" spans="1:41">
      <c r="B67" t="s">
        <v>105</v>
      </c>
      <c r="E67" t="s">
        <v>121</v>
      </c>
      <c r="F67" t="s">
        <v>134</v>
      </c>
      <c r="G67" s="16"/>
      <c r="H67" s="16"/>
      <c r="I67" s="16"/>
      <c r="J67" s="7"/>
      <c r="K67" s="7"/>
      <c r="L67" s="7"/>
      <c r="M67" s="7"/>
      <c r="N67" s="8"/>
      <c r="O67" s="8"/>
      <c r="P67" s="8"/>
      <c r="Q67" s="16"/>
      <c r="R67" s="16"/>
      <c r="S67" s="16"/>
      <c r="T67" s="16"/>
      <c r="U67" s="16"/>
      <c r="V67" s="15"/>
      <c r="W67" s="15"/>
      <c r="X67" s="15"/>
      <c r="Y67" s="15"/>
      <c r="Z67" s="8"/>
      <c r="AA67" s="11"/>
      <c r="AB67" s="4"/>
      <c r="AC67" s="8"/>
      <c r="AD67" s="7"/>
      <c r="AE67" s="8"/>
      <c r="AF67" s="4"/>
      <c r="AG67">
        <v>-3897.90666881687</v>
      </c>
      <c r="AH67" s="8">
        <v>-3899.1187684083502</v>
      </c>
      <c r="AI67" s="4">
        <v>-3900.3312640794602</v>
      </c>
      <c r="AJ67" s="30">
        <v>-3902.1453914949898</v>
      </c>
      <c r="AK67" s="7">
        <v>-3903.3485144280999</v>
      </c>
      <c r="AL67">
        <v>-3904.5464573350901</v>
      </c>
      <c r="AN67" s="8"/>
      <c r="AO67" s="8"/>
    </row>
    <row r="68" spans="1:41">
      <c r="B68" t="s">
        <v>106</v>
      </c>
      <c r="E68" t="s">
        <v>122</v>
      </c>
      <c r="F68" s="16"/>
      <c r="G68" s="16"/>
      <c r="H68" s="16"/>
      <c r="I68" s="16"/>
      <c r="J68" s="7"/>
      <c r="K68" s="7"/>
      <c r="L68" s="7"/>
      <c r="M68" s="7"/>
      <c r="N68" s="8"/>
      <c r="O68" s="8"/>
      <c r="P68" s="8"/>
      <c r="Q68" s="16"/>
      <c r="R68" s="16"/>
      <c r="S68" s="16"/>
      <c r="T68" s="16"/>
      <c r="U68" s="16"/>
      <c r="V68" s="15"/>
      <c r="W68" s="15"/>
      <c r="X68" s="15"/>
      <c r="Y68" s="15"/>
      <c r="Z68" s="8"/>
      <c r="AA68" s="11"/>
      <c r="AB68" s="4"/>
      <c r="AC68" s="8"/>
      <c r="AD68" s="7"/>
      <c r="AE68" s="8"/>
      <c r="AF68" s="4"/>
      <c r="AG68" s="7">
        <v>-3896.6894119404501</v>
      </c>
      <c r="AH68">
        <v>-3897.90666881687</v>
      </c>
      <c r="AI68" s="4">
        <v>-3899.1187684083502</v>
      </c>
      <c r="AJ68" s="30">
        <v>-3900.9380803019999</v>
      </c>
      <c r="AK68" s="7">
        <v>-3902.1417052659699</v>
      </c>
      <c r="AL68" s="18">
        <v>-3903.3493395709002</v>
      </c>
      <c r="AN68" s="8"/>
      <c r="AO68" s="8"/>
    </row>
    <row r="69" spans="1:41">
      <c r="B69" t="s">
        <v>107</v>
      </c>
      <c r="F69" s="16"/>
      <c r="G69" s="16"/>
      <c r="H69" s="16"/>
      <c r="I69" s="16"/>
      <c r="J69" s="7"/>
      <c r="K69" s="7"/>
      <c r="L69" s="7"/>
      <c r="M69" s="7"/>
      <c r="N69" s="8"/>
      <c r="O69" s="8"/>
      <c r="P69" s="8"/>
      <c r="Q69" s="16"/>
      <c r="R69" s="16"/>
      <c r="S69" s="16"/>
      <c r="T69" s="16"/>
      <c r="U69" s="16"/>
      <c r="V69" s="15"/>
      <c r="W69" s="15"/>
      <c r="X69" s="15"/>
      <c r="Y69" s="15"/>
      <c r="Z69" s="8"/>
      <c r="AA69" s="11"/>
      <c r="AB69" s="4"/>
      <c r="AC69" s="8"/>
      <c r="AD69" s="7"/>
      <c r="AE69" s="8"/>
      <c r="AF69" s="4"/>
      <c r="AG69">
        <v>-1.16530455359108</v>
      </c>
      <c r="AH69">
        <v>-1.16530455359108</v>
      </c>
      <c r="AI69">
        <v>-1.16530455359108</v>
      </c>
      <c r="AJ69">
        <v>-1.16530455359108</v>
      </c>
      <c r="AK69">
        <v>-1.16530455359108</v>
      </c>
      <c r="AL69">
        <v>-1.16530455359108</v>
      </c>
      <c r="AN69" s="8"/>
      <c r="AO69" s="8"/>
    </row>
    <row r="70" spans="1:41">
      <c r="B70" t="s">
        <v>108</v>
      </c>
      <c r="F70" s="16"/>
      <c r="G70" s="16"/>
      <c r="H70" s="16"/>
      <c r="I70" s="16"/>
      <c r="J70" s="7"/>
      <c r="K70" s="7"/>
      <c r="L70" s="7"/>
      <c r="M70" s="7"/>
      <c r="N70" s="8"/>
      <c r="O70" s="8"/>
      <c r="P70" s="8"/>
      <c r="Q70" s="16"/>
      <c r="R70" s="16"/>
      <c r="S70" s="16"/>
      <c r="T70" s="16"/>
      <c r="U70" s="16"/>
      <c r="V70" s="15"/>
      <c r="W70" s="15"/>
      <c r="X70" s="15"/>
      <c r="Y70" s="15"/>
      <c r="Z70" s="8"/>
      <c r="AA70" s="11"/>
      <c r="AB70" s="4"/>
      <c r="AC70" s="8"/>
      <c r="AD70" s="7"/>
      <c r="AE70" s="8"/>
      <c r="AF70" s="4"/>
      <c r="AG70">
        <f t="shared" ref="AG70:AL70" si="17">-AG67+AG69+AG68</f>
        <v>5.1952322829038167E-2</v>
      </c>
      <c r="AH70">
        <f t="shared" si="17"/>
        <v>4.6795037889296509E-2</v>
      </c>
      <c r="AI70">
        <f t="shared" si="17"/>
        <v>4.7191117519105319E-2</v>
      </c>
      <c r="AJ70">
        <f t="shared" si="17"/>
        <v>4.2006639399005508E-2</v>
      </c>
      <c r="AK70">
        <f t="shared" si="17"/>
        <v>4.1504608539071342E-2</v>
      </c>
      <c r="AL70">
        <f t="shared" si="17"/>
        <v>3.1813210599011654E-2</v>
      </c>
      <c r="AN70" s="8"/>
      <c r="AO70" s="8"/>
    </row>
    <row r="71" spans="1:41">
      <c r="B71" t="s">
        <v>109</v>
      </c>
      <c r="F71" s="16"/>
      <c r="G71" s="16"/>
      <c r="H71" s="16"/>
      <c r="I71" s="16"/>
      <c r="J71" s="7"/>
      <c r="K71" s="7"/>
      <c r="L71" s="7"/>
      <c r="M71" s="7"/>
      <c r="N71" s="8"/>
      <c r="O71" s="8"/>
      <c r="P71" s="8"/>
      <c r="Q71" s="16"/>
      <c r="R71" s="16"/>
      <c r="S71" s="16"/>
      <c r="T71" s="16"/>
      <c r="U71" s="16"/>
      <c r="V71" s="15"/>
      <c r="W71" s="15"/>
      <c r="X71" s="15"/>
      <c r="Y71" s="15"/>
      <c r="Z71" s="8"/>
      <c r="AA71" s="11"/>
      <c r="AB71" s="4"/>
      <c r="AC71" s="8"/>
      <c r="AD71" s="7"/>
      <c r="AE71" s="8"/>
      <c r="AF71" s="4"/>
      <c r="AG71">
        <f t="shared" ref="AG71:AL71" si="18">AG70*27.2</f>
        <v>1.413103180949838</v>
      </c>
      <c r="AH71">
        <f t="shared" si="18"/>
        <v>1.2728250305888651</v>
      </c>
      <c r="AI71">
        <f t="shared" si="18"/>
        <v>1.2835983965196647</v>
      </c>
      <c r="AJ71">
        <f t="shared" si="18"/>
        <v>1.1425805916529497</v>
      </c>
      <c r="AK71">
        <f t="shared" si="18"/>
        <v>1.1289253522627405</v>
      </c>
      <c r="AL71">
        <f t="shared" si="18"/>
        <v>0.86531932829311697</v>
      </c>
      <c r="AN71" s="8"/>
      <c r="AO71" s="8"/>
    </row>
    <row r="72" spans="1:41">
      <c r="A72" s="14"/>
      <c r="B72" t="s">
        <v>110</v>
      </c>
      <c r="Q72" s="16"/>
      <c r="R72" s="16"/>
      <c r="S72" s="16"/>
      <c r="T72" s="16"/>
      <c r="U72" s="16"/>
      <c r="V72" s="15"/>
      <c r="W72" s="15"/>
      <c r="X72" s="15"/>
      <c r="Y72" s="15"/>
      <c r="AH72" s="14"/>
      <c r="AK72" s="8"/>
      <c r="AN72" s="8"/>
      <c r="AO72" s="8"/>
    </row>
    <row r="73" spans="1:41">
      <c r="J73" s="7"/>
      <c r="K73" s="7"/>
      <c r="L73" s="7"/>
      <c r="M73" s="7"/>
      <c r="N73" s="8"/>
      <c r="O73" s="8"/>
      <c r="P73" s="8"/>
      <c r="Q73" s="16"/>
      <c r="R73" s="16"/>
      <c r="S73" s="16"/>
      <c r="T73" s="16"/>
      <c r="U73" s="16"/>
      <c r="V73" s="15"/>
      <c r="W73" s="15"/>
      <c r="X73" s="15"/>
      <c r="Y73" s="15"/>
      <c r="Z73" s="8"/>
      <c r="AA73" s="11"/>
      <c r="AB73" s="4"/>
      <c r="AC73" s="8"/>
      <c r="AD73" s="7"/>
      <c r="AE73" s="8"/>
      <c r="AF73" s="4"/>
      <c r="AG73" s="9"/>
      <c r="AK73" s="8"/>
      <c r="AN73" s="8"/>
      <c r="AO73" s="8"/>
    </row>
    <row r="74" spans="1:41">
      <c r="J74" s="7"/>
      <c r="K74" s="7"/>
      <c r="L74" s="7"/>
      <c r="M74" s="7"/>
      <c r="N74" s="8"/>
      <c r="O74" s="8"/>
      <c r="P74" s="8"/>
      <c r="Q74" s="16"/>
      <c r="R74" s="16"/>
      <c r="S74" s="16"/>
      <c r="T74" s="16"/>
      <c r="U74" s="16"/>
      <c r="V74" s="15"/>
      <c r="W74" s="15"/>
      <c r="X74" s="15"/>
      <c r="Y74" s="15"/>
      <c r="Z74" s="8"/>
      <c r="AA74" s="11"/>
      <c r="AB74" s="4"/>
      <c r="AC74" s="8"/>
      <c r="AD74" s="7"/>
      <c r="AE74" s="8"/>
      <c r="AF74" s="4"/>
      <c r="AG74" s="9"/>
      <c r="AK74" s="8" t="s">
        <v>143</v>
      </c>
      <c r="AN74" s="8"/>
      <c r="AO74" s="8"/>
    </row>
    <row r="75" spans="1:41">
      <c r="J75" s="7"/>
      <c r="K75" s="7"/>
      <c r="L75" s="7"/>
      <c r="M75" s="7"/>
      <c r="N75" s="8"/>
      <c r="O75" s="8"/>
      <c r="P75" s="8"/>
      <c r="Q75" s="16"/>
      <c r="R75" s="16"/>
      <c r="S75" s="16"/>
      <c r="T75" s="16"/>
      <c r="U75" s="16"/>
      <c r="V75" s="15"/>
      <c r="W75" s="15"/>
      <c r="X75" s="15"/>
      <c r="Y75" s="15"/>
      <c r="Z75" s="8"/>
      <c r="AA75" s="11"/>
      <c r="AB75" s="4"/>
      <c r="AC75" s="8"/>
      <c r="AD75" s="7"/>
      <c r="AE75" s="8"/>
      <c r="AF75" s="4"/>
      <c r="AG75" s="9"/>
      <c r="AK75" s="8"/>
      <c r="AN75" s="8"/>
      <c r="AO75" s="8"/>
    </row>
    <row r="76" spans="1:41">
      <c r="J76" s="7"/>
      <c r="K76" s="7"/>
      <c r="L76" s="7"/>
      <c r="M76" s="7"/>
      <c r="N76" s="8"/>
      <c r="O76" s="8"/>
      <c r="P76" s="8"/>
      <c r="Q76" s="16"/>
      <c r="R76" s="16"/>
      <c r="S76" s="16"/>
      <c r="T76" s="16"/>
      <c r="U76" s="16"/>
      <c r="V76" s="15"/>
      <c r="W76" s="15"/>
      <c r="X76" s="15"/>
      <c r="Y76" s="15"/>
      <c r="Z76" s="8"/>
      <c r="AA76" s="11"/>
      <c r="AB76" s="4"/>
      <c r="AC76" s="8"/>
      <c r="AD76" s="7"/>
      <c r="AE76" s="8"/>
      <c r="AF76" s="4"/>
      <c r="AG76" s="9"/>
      <c r="AK76" s="8"/>
      <c r="AL76" t="s">
        <v>144</v>
      </c>
      <c r="AN76" s="8"/>
      <c r="AO76" s="8"/>
    </row>
    <row r="77" spans="1:41">
      <c r="J77" s="7"/>
      <c r="K77" s="7"/>
      <c r="L77" s="7"/>
      <c r="M77" s="7"/>
      <c r="N77" s="8"/>
      <c r="O77" s="8"/>
      <c r="P77" s="8"/>
      <c r="Q77" s="16"/>
      <c r="R77" s="16"/>
      <c r="S77" s="16"/>
      <c r="T77" s="16"/>
      <c r="U77" s="16"/>
      <c r="V77" s="15"/>
      <c r="W77" s="15"/>
      <c r="X77" s="15"/>
      <c r="Y77" s="15"/>
      <c r="Z77" s="8"/>
      <c r="AA77" s="11"/>
      <c r="AB77" s="4"/>
      <c r="AC77" s="8"/>
      <c r="AD77" s="7"/>
      <c r="AE77" s="8"/>
      <c r="AF77" s="4"/>
      <c r="AG77" s="9"/>
      <c r="AK77" s="8"/>
      <c r="AN77" s="8"/>
      <c r="AO77" s="8"/>
    </row>
    <row r="78" spans="1:41">
      <c r="J78" s="7"/>
      <c r="K78" s="7"/>
      <c r="L78" s="7"/>
      <c r="M78" s="7"/>
      <c r="N78" s="8"/>
      <c r="O78" s="8"/>
      <c r="P78" s="8"/>
      <c r="Q78" s="16"/>
      <c r="R78" s="16"/>
      <c r="S78" s="16"/>
      <c r="T78" s="16"/>
      <c r="U78" s="16"/>
      <c r="V78" s="15"/>
      <c r="W78" s="15"/>
      <c r="X78" s="15"/>
      <c r="Y78" s="15"/>
      <c r="Z78" s="8"/>
      <c r="AA78" s="11"/>
      <c r="AB78" s="4"/>
      <c r="AC78" s="8"/>
      <c r="AD78" s="7"/>
      <c r="AE78" s="8"/>
      <c r="AF78" s="4"/>
      <c r="AG78" s="9"/>
      <c r="AK78" s="8"/>
      <c r="AN78" s="8"/>
      <c r="AO78" s="8"/>
    </row>
    <row r="79" spans="1:41">
      <c r="J79" s="7"/>
      <c r="K79" s="7"/>
      <c r="L79" s="7"/>
      <c r="M79" s="7"/>
      <c r="N79" s="8"/>
      <c r="O79" s="8"/>
      <c r="P79" s="8"/>
      <c r="Q79" s="16"/>
      <c r="R79" s="16"/>
      <c r="S79" s="16"/>
      <c r="T79" s="16"/>
      <c r="U79" s="16"/>
      <c r="V79" s="15"/>
      <c r="W79" s="15"/>
      <c r="X79" s="15"/>
      <c r="Y79" s="15"/>
      <c r="Z79" s="8"/>
      <c r="AA79" s="11"/>
      <c r="AB79" s="4"/>
      <c r="AC79" s="8"/>
      <c r="AD79" s="7"/>
      <c r="AE79" s="8"/>
      <c r="AF79" s="4"/>
      <c r="AG79" s="9"/>
      <c r="AK79" s="8"/>
      <c r="AN79" s="8"/>
      <c r="AO79" s="8"/>
    </row>
    <row r="80" spans="1:41">
      <c r="A80" s="14"/>
      <c r="N80" s="8"/>
      <c r="O80" s="8"/>
      <c r="P80" s="8"/>
      <c r="Q80" s="16"/>
      <c r="R80" s="16"/>
      <c r="S80" s="16"/>
      <c r="T80" s="16"/>
      <c r="U80" s="16"/>
      <c r="V80" s="15"/>
      <c r="W80" s="15"/>
      <c r="X80" s="15"/>
      <c r="Y80" s="15"/>
      <c r="Z80" s="8"/>
      <c r="AA80" s="11"/>
      <c r="AB80" s="4"/>
      <c r="AC80" s="8"/>
      <c r="AD80" s="7"/>
      <c r="AE80" s="8"/>
      <c r="AF80" s="4"/>
      <c r="AH80" s="14"/>
      <c r="AI80" s="17"/>
      <c r="AJ80" t="s">
        <v>148</v>
      </c>
      <c r="AK80" s="8"/>
      <c r="AN80" s="8"/>
      <c r="AO80" s="8"/>
    </row>
    <row r="81" spans="1:41">
      <c r="J81" s="7"/>
      <c r="K81" s="7"/>
      <c r="L81" s="7"/>
      <c r="M81" s="7"/>
      <c r="N81" s="8"/>
      <c r="O81" s="8"/>
      <c r="P81" s="8"/>
      <c r="Q81" s="16"/>
      <c r="R81" s="16"/>
      <c r="S81" s="16"/>
      <c r="T81" s="16"/>
      <c r="U81" s="16"/>
      <c r="V81" s="15"/>
      <c r="W81" s="15"/>
      <c r="X81" s="15"/>
      <c r="Y81" s="15"/>
      <c r="Z81" s="8"/>
      <c r="AA81" s="11"/>
      <c r="AB81" s="4"/>
      <c r="AC81" s="8"/>
      <c r="AD81" s="7"/>
      <c r="AE81" s="8"/>
      <c r="AF81" s="4"/>
      <c r="AG81" s="7"/>
      <c r="AJ81" t="s">
        <v>149</v>
      </c>
      <c r="AK81" s="8"/>
      <c r="AN81" s="8"/>
      <c r="AO81" s="8"/>
    </row>
    <row r="82" spans="1:41">
      <c r="J82" s="7"/>
      <c r="K82" s="7"/>
      <c r="L82" s="7"/>
      <c r="M82" s="7"/>
      <c r="N82" s="8"/>
      <c r="O82" s="8"/>
      <c r="P82" s="8"/>
      <c r="Q82" s="16"/>
      <c r="R82" s="16"/>
      <c r="S82" s="16"/>
      <c r="T82" s="16"/>
      <c r="U82" s="16"/>
      <c r="V82" s="15"/>
      <c r="W82" s="15"/>
      <c r="X82" s="15"/>
      <c r="Y82" s="15"/>
      <c r="Z82" s="8"/>
      <c r="AA82" s="11"/>
      <c r="AB82" s="4"/>
      <c r="AC82" s="8"/>
      <c r="AD82" s="7"/>
      <c r="AE82" s="8"/>
      <c r="AF82" s="4"/>
      <c r="AG82" s="7"/>
      <c r="AK82" s="8"/>
      <c r="AN82" s="8"/>
      <c r="AO82" s="8"/>
    </row>
    <row r="83" spans="1:41">
      <c r="J83" s="7"/>
      <c r="K83" s="7"/>
      <c r="L83" s="7"/>
      <c r="M83" s="7"/>
      <c r="N83" s="8"/>
      <c r="O83" s="8"/>
      <c r="P83" s="8"/>
      <c r="Q83" s="16"/>
      <c r="R83" s="16"/>
      <c r="S83" s="16"/>
      <c r="T83" s="16"/>
      <c r="U83" s="16"/>
      <c r="V83" s="15"/>
      <c r="W83" s="15"/>
      <c r="X83" s="15"/>
      <c r="Y83" s="15"/>
      <c r="Z83" s="8"/>
      <c r="AA83" s="11"/>
      <c r="AB83" s="4"/>
      <c r="AC83" s="8"/>
      <c r="AD83" s="7"/>
      <c r="AE83" s="8"/>
      <c r="AF83" s="4"/>
      <c r="AG83" s="10"/>
      <c r="AK83" s="8"/>
      <c r="AN83" s="8"/>
      <c r="AO83" s="8"/>
    </row>
    <row r="84" spans="1:41">
      <c r="J84" s="7"/>
      <c r="K84" s="7"/>
      <c r="L84" s="7"/>
      <c r="M84" s="7"/>
      <c r="N84" s="8"/>
      <c r="O84" s="8"/>
      <c r="P84" s="8"/>
      <c r="Q84" s="16"/>
      <c r="R84" s="16"/>
      <c r="S84" s="16"/>
      <c r="T84" s="16"/>
      <c r="U84" s="16"/>
      <c r="V84" s="15"/>
      <c r="W84" s="15"/>
      <c r="X84" s="15"/>
      <c r="Y84" s="15"/>
      <c r="Z84" s="8"/>
      <c r="AA84" s="11"/>
      <c r="AB84" s="4"/>
      <c r="AC84" s="8"/>
      <c r="AD84" s="7"/>
      <c r="AE84" s="8"/>
      <c r="AF84" s="4"/>
      <c r="AG84" s="10"/>
      <c r="AJ84" t="s">
        <v>151</v>
      </c>
      <c r="AK84" s="8"/>
      <c r="AN84" s="8"/>
      <c r="AO84" s="8"/>
    </row>
    <row r="85" spans="1:41">
      <c r="J85" s="7"/>
      <c r="K85" s="7"/>
      <c r="L85" s="7"/>
      <c r="M85" s="7"/>
      <c r="N85" s="8"/>
      <c r="O85" s="8"/>
      <c r="P85" s="8"/>
      <c r="Q85" s="16"/>
      <c r="R85" s="16"/>
      <c r="S85" s="16"/>
      <c r="T85" s="16"/>
      <c r="U85" s="16"/>
      <c r="V85" s="15"/>
      <c r="W85" s="15"/>
      <c r="X85" s="15"/>
      <c r="Y85" s="15"/>
      <c r="Z85" s="8"/>
      <c r="AA85" s="11"/>
      <c r="AB85" s="4"/>
      <c r="AC85" s="8"/>
      <c r="AD85" s="7"/>
      <c r="AE85" s="8"/>
      <c r="AF85" s="4"/>
      <c r="AG85" s="10"/>
      <c r="AK85" s="8"/>
      <c r="AN85" s="8"/>
      <c r="AO85" s="8"/>
    </row>
    <row r="86" spans="1:41">
      <c r="J86" s="7"/>
      <c r="K86" s="7"/>
      <c r="L86" s="7"/>
      <c r="M86" s="7"/>
      <c r="N86" s="8"/>
      <c r="O86" s="8"/>
      <c r="P86" s="8"/>
      <c r="Q86" s="16"/>
      <c r="R86" s="16"/>
      <c r="S86" s="16"/>
      <c r="T86" s="16"/>
      <c r="U86" s="16"/>
      <c r="V86" s="15"/>
      <c r="W86" s="15"/>
      <c r="X86" s="15"/>
      <c r="Y86" s="15"/>
      <c r="Z86" s="8"/>
      <c r="AA86" s="11"/>
      <c r="AB86" s="4"/>
      <c r="AC86" s="8"/>
      <c r="AD86" s="7"/>
      <c r="AE86" s="8"/>
      <c r="AF86" s="4"/>
      <c r="AG86" s="10"/>
      <c r="AK86" s="8"/>
      <c r="AN86" s="8"/>
      <c r="AO86" s="8"/>
    </row>
    <row r="87" spans="1:41">
      <c r="J87" s="7"/>
      <c r="K87" s="7"/>
      <c r="L87" s="7"/>
      <c r="M87" s="7"/>
      <c r="N87" s="8"/>
      <c r="O87" s="8"/>
      <c r="P87" s="8"/>
      <c r="Q87" s="16"/>
      <c r="R87" s="16"/>
      <c r="S87" s="16"/>
      <c r="T87" s="16"/>
      <c r="U87" s="16"/>
      <c r="V87" s="15"/>
      <c r="W87" s="15"/>
      <c r="X87" s="15"/>
      <c r="Y87" s="15"/>
      <c r="Z87" s="8"/>
      <c r="AA87" s="11"/>
      <c r="AB87" s="4"/>
      <c r="AC87" s="8"/>
      <c r="AD87" s="7"/>
      <c r="AE87" s="8"/>
      <c r="AF87" s="4"/>
      <c r="AG87" s="10"/>
      <c r="AK87" s="8"/>
      <c r="AN87" s="8"/>
      <c r="AO87" s="8"/>
    </row>
    <row r="88" spans="1:41">
      <c r="A88" s="14"/>
      <c r="Q88" s="16"/>
      <c r="R88" s="16"/>
      <c r="S88" s="16"/>
      <c r="T88" s="16"/>
      <c r="U88" s="16"/>
      <c r="V88" s="15"/>
      <c r="W88" s="15"/>
      <c r="X88" s="15"/>
      <c r="Y88" s="15"/>
      <c r="AH88" s="14"/>
      <c r="AK88" s="8"/>
      <c r="AN88" s="8"/>
      <c r="AO88" s="8"/>
    </row>
    <row r="89" spans="1:41">
      <c r="J89" s="7"/>
      <c r="K89" s="7"/>
      <c r="L89" s="7"/>
      <c r="M89" s="7"/>
      <c r="N89" s="8"/>
      <c r="O89" s="8"/>
      <c r="P89" s="8"/>
      <c r="Q89" s="16"/>
      <c r="R89" s="16"/>
      <c r="S89" s="16"/>
      <c r="T89" s="16"/>
      <c r="U89" s="16"/>
      <c r="V89" s="15"/>
      <c r="W89" s="15"/>
      <c r="X89" s="15"/>
      <c r="Y89" s="15"/>
      <c r="Z89" s="8"/>
      <c r="AA89" s="11"/>
      <c r="AB89" s="4"/>
      <c r="AC89" s="8"/>
      <c r="AD89" s="7"/>
      <c r="AE89" s="8"/>
      <c r="AF89" s="4"/>
      <c r="AG89" s="9"/>
      <c r="AK89" s="8"/>
      <c r="AN89" s="8"/>
      <c r="AO89" s="8"/>
    </row>
    <row r="90" spans="1:41">
      <c r="J90" s="7"/>
      <c r="K90" s="7"/>
      <c r="L90" s="7"/>
      <c r="M90" s="7"/>
      <c r="N90" s="8"/>
      <c r="O90" s="8"/>
      <c r="P90" s="8"/>
      <c r="Q90" s="16"/>
      <c r="R90" s="16"/>
      <c r="S90" s="16"/>
      <c r="T90" s="16"/>
      <c r="U90" s="16"/>
      <c r="V90" s="15"/>
      <c r="W90" s="15"/>
      <c r="X90" s="15"/>
      <c r="Y90" s="15"/>
      <c r="Z90" s="8"/>
      <c r="AA90" s="11"/>
      <c r="AB90" s="4"/>
      <c r="AC90" s="8"/>
      <c r="AD90" s="7"/>
      <c r="AE90" s="8"/>
      <c r="AF90" s="4"/>
      <c r="AG90" s="9"/>
      <c r="AK90" s="8"/>
      <c r="AN90" s="8"/>
      <c r="AO90" s="8"/>
    </row>
    <row r="91" spans="1:41">
      <c r="J91" s="7"/>
      <c r="K91" s="7"/>
      <c r="L91" s="7"/>
      <c r="M91" s="7"/>
      <c r="N91" s="8"/>
      <c r="O91" s="8"/>
      <c r="P91" s="8"/>
      <c r="Q91" s="16"/>
      <c r="R91" s="16"/>
      <c r="S91" s="16"/>
      <c r="T91" s="16"/>
      <c r="U91" s="16"/>
      <c r="V91" s="15"/>
      <c r="W91" s="15"/>
      <c r="X91" s="15"/>
      <c r="Y91" s="15"/>
      <c r="Z91" s="8"/>
      <c r="AA91" s="11"/>
      <c r="AB91" s="4"/>
      <c r="AC91" s="8"/>
      <c r="AD91" s="7"/>
      <c r="AE91" s="8"/>
      <c r="AF91" s="4"/>
      <c r="AG91" s="9"/>
      <c r="AK91" s="8"/>
      <c r="AN91" s="8"/>
      <c r="AO91" s="8"/>
    </row>
    <row r="92" spans="1:41">
      <c r="J92" s="7"/>
      <c r="K92" s="7"/>
      <c r="L92" s="7"/>
      <c r="M92" s="7"/>
      <c r="N92" s="8"/>
      <c r="O92" s="8"/>
      <c r="P92" s="8"/>
      <c r="Q92" s="16"/>
      <c r="R92" s="16"/>
      <c r="S92" s="16"/>
      <c r="T92" s="16"/>
      <c r="U92" s="16"/>
      <c r="V92" s="15"/>
      <c r="W92" s="15"/>
      <c r="X92" s="15"/>
      <c r="Y92" s="15"/>
      <c r="Z92" s="8"/>
      <c r="AA92" s="11"/>
      <c r="AB92" s="4"/>
      <c r="AC92" s="8"/>
      <c r="AD92" s="7"/>
      <c r="AE92" s="8"/>
      <c r="AF92" s="4"/>
      <c r="AG92" s="9"/>
      <c r="AK92" s="8"/>
      <c r="AN92" s="8"/>
      <c r="AO92" s="8"/>
    </row>
    <row r="93" spans="1:41">
      <c r="J93" s="7"/>
      <c r="K93" s="7"/>
      <c r="L93" s="7"/>
      <c r="M93" s="7"/>
      <c r="N93" s="8"/>
      <c r="O93" s="8"/>
      <c r="P93" s="8"/>
      <c r="Q93" s="16"/>
      <c r="R93" s="16"/>
      <c r="S93" s="16"/>
      <c r="T93" s="16"/>
      <c r="U93" s="16"/>
      <c r="V93" s="15"/>
      <c r="W93" s="15"/>
      <c r="X93" s="15"/>
      <c r="Y93" s="15"/>
      <c r="Z93" s="8"/>
      <c r="AA93" s="11"/>
      <c r="AB93" s="4"/>
      <c r="AC93" s="8"/>
      <c r="AD93" s="7"/>
      <c r="AE93" s="8"/>
      <c r="AF93" s="4"/>
      <c r="AG93" s="9"/>
      <c r="AK93" s="8"/>
      <c r="AN93" s="8"/>
      <c r="AO93" s="8"/>
    </row>
    <row r="94" spans="1:41">
      <c r="J94" s="7"/>
      <c r="K94" s="7"/>
      <c r="L94" s="7"/>
      <c r="M94" s="7"/>
      <c r="N94" s="8"/>
      <c r="O94" s="8"/>
      <c r="P94" s="8"/>
      <c r="Q94" s="16"/>
      <c r="R94" s="16"/>
      <c r="S94" s="16"/>
      <c r="T94" s="16"/>
      <c r="U94" s="16"/>
      <c r="V94" s="15"/>
      <c r="W94" s="15"/>
      <c r="X94" s="15"/>
      <c r="Y94" s="15"/>
      <c r="Z94" s="8"/>
      <c r="AA94" s="11"/>
      <c r="AB94" s="4"/>
      <c r="AC94" s="8"/>
      <c r="AD94" s="7"/>
      <c r="AE94" s="8"/>
      <c r="AF94" s="4"/>
      <c r="AG94" s="9"/>
      <c r="AK94" s="8"/>
      <c r="AN94" s="8"/>
      <c r="AO94" s="8"/>
    </row>
    <row r="95" spans="1:41">
      <c r="J95" s="7"/>
      <c r="K95" s="7"/>
      <c r="L95" s="7"/>
      <c r="M95" s="7"/>
      <c r="N95" s="8"/>
      <c r="O95" s="8"/>
      <c r="P95" s="8"/>
      <c r="Q95" s="16"/>
      <c r="R95" s="16"/>
      <c r="S95" s="16"/>
      <c r="T95" s="16"/>
      <c r="U95" s="16"/>
      <c r="V95" s="15"/>
      <c r="W95" s="15"/>
      <c r="X95" s="15"/>
      <c r="Y95" s="15"/>
      <c r="Z95" s="8"/>
      <c r="AA95" s="11"/>
      <c r="AB95" s="4"/>
      <c r="AC95" s="8"/>
      <c r="AD95" s="7"/>
      <c r="AE95" s="8"/>
      <c r="AF95" s="4"/>
      <c r="AG95" s="9"/>
      <c r="AK95" s="8"/>
      <c r="AN95" s="8"/>
      <c r="AO95" s="8"/>
    </row>
    <row r="96" spans="1:41">
      <c r="A96" s="14"/>
      <c r="N96" s="8"/>
      <c r="O96" s="8"/>
      <c r="P96" s="8"/>
      <c r="Q96" s="16"/>
      <c r="R96" s="16"/>
      <c r="S96" s="16"/>
      <c r="T96" s="16"/>
      <c r="U96" s="16"/>
      <c r="V96" s="15"/>
      <c r="W96" s="15"/>
      <c r="X96" s="15"/>
      <c r="Y96" s="15"/>
      <c r="Z96" s="8"/>
      <c r="AA96" s="11"/>
      <c r="AB96" s="4"/>
      <c r="AC96" s="8"/>
      <c r="AD96" s="7"/>
      <c r="AE96" s="8"/>
      <c r="AF96" s="4"/>
      <c r="AH96" s="14"/>
      <c r="AI96" s="17"/>
    </row>
    <row r="97" spans="1:35">
      <c r="F97" s="16"/>
      <c r="G97" s="16"/>
      <c r="H97" s="16"/>
      <c r="I97" s="16"/>
      <c r="J97" s="7"/>
      <c r="K97" s="7"/>
      <c r="L97" s="7"/>
      <c r="M97" s="7"/>
      <c r="N97" s="8"/>
      <c r="O97" s="8"/>
      <c r="P97" s="8"/>
      <c r="Q97" s="16"/>
      <c r="R97" s="16"/>
      <c r="S97" s="16"/>
      <c r="T97" s="16"/>
      <c r="U97" s="16"/>
      <c r="V97" s="15"/>
      <c r="W97" s="15"/>
      <c r="X97" s="15"/>
      <c r="Y97" s="15"/>
      <c r="Z97" s="8"/>
      <c r="AA97" s="11"/>
      <c r="AB97" s="4"/>
      <c r="AC97" s="8"/>
      <c r="AD97" s="7"/>
      <c r="AE97" s="8"/>
      <c r="AF97" s="4"/>
      <c r="AG97" s="7"/>
    </row>
    <row r="98" spans="1:35">
      <c r="F98" s="16"/>
      <c r="G98" s="16"/>
      <c r="H98" s="16"/>
      <c r="I98" s="16"/>
      <c r="J98" s="7"/>
      <c r="K98" s="7"/>
      <c r="L98" s="7"/>
      <c r="M98" s="7"/>
      <c r="N98" s="8"/>
      <c r="O98" s="8"/>
      <c r="P98" s="8"/>
      <c r="Q98" s="16"/>
      <c r="R98" s="16"/>
      <c r="S98" s="16"/>
      <c r="T98" s="16"/>
      <c r="U98" s="16"/>
      <c r="V98" s="15"/>
      <c r="W98" s="15"/>
      <c r="X98" s="15"/>
      <c r="Y98" s="15"/>
      <c r="Z98" s="8"/>
      <c r="AA98" s="11"/>
      <c r="AB98" s="4"/>
      <c r="AC98" s="8"/>
      <c r="AD98" s="7"/>
      <c r="AE98" s="8"/>
      <c r="AF98" s="4"/>
      <c r="AG98" s="7"/>
    </row>
    <row r="99" spans="1:35">
      <c r="F99" s="16"/>
      <c r="G99" s="16"/>
      <c r="H99" s="16"/>
      <c r="I99" s="16"/>
      <c r="J99" s="7"/>
      <c r="K99" s="7"/>
      <c r="L99" s="7"/>
      <c r="M99" s="7"/>
      <c r="N99" s="8"/>
      <c r="O99" s="8"/>
      <c r="P99" s="8"/>
      <c r="Q99" s="16"/>
      <c r="R99" s="16"/>
      <c r="S99" s="16"/>
      <c r="T99" s="16"/>
      <c r="U99" s="16"/>
      <c r="V99" s="15"/>
      <c r="W99" s="15"/>
      <c r="X99" s="15"/>
      <c r="Y99" s="15"/>
      <c r="Z99" s="8"/>
      <c r="AA99" s="11"/>
      <c r="AB99" s="4"/>
      <c r="AC99" s="8"/>
      <c r="AD99" s="7"/>
      <c r="AE99" s="8"/>
      <c r="AF99" s="4"/>
      <c r="AG99" s="7"/>
    </row>
    <row r="100" spans="1:35">
      <c r="F100" s="16"/>
      <c r="G100" s="16"/>
      <c r="H100" s="16"/>
      <c r="I100" s="16"/>
      <c r="J100" s="7"/>
      <c r="K100" s="7"/>
      <c r="L100" s="7"/>
      <c r="M100" s="7"/>
      <c r="N100" s="8"/>
      <c r="O100" s="8"/>
      <c r="P100" s="8"/>
      <c r="Q100" s="16"/>
      <c r="R100" s="16"/>
      <c r="S100" s="16"/>
      <c r="T100" s="16"/>
      <c r="U100" s="16"/>
      <c r="V100" s="15"/>
      <c r="W100" s="15"/>
      <c r="X100" s="15"/>
      <c r="Y100" s="15"/>
      <c r="Z100" s="8"/>
      <c r="AA100" s="11"/>
      <c r="AB100" s="4"/>
      <c r="AC100" s="8"/>
      <c r="AD100" s="7"/>
      <c r="AE100" s="8"/>
      <c r="AF100" s="4"/>
      <c r="AG100" s="7"/>
    </row>
    <row r="101" spans="1:35">
      <c r="F101" s="16"/>
      <c r="G101" s="16"/>
      <c r="H101" s="16"/>
      <c r="I101" s="16"/>
      <c r="J101" s="7"/>
      <c r="K101" s="7"/>
      <c r="L101" s="7"/>
      <c r="M101" s="7"/>
      <c r="N101" s="8"/>
      <c r="O101" s="8"/>
      <c r="P101" s="8"/>
      <c r="Q101" s="16"/>
      <c r="R101" s="16"/>
      <c r="S101" s="16"/>
      <c r="T101" s="16"/>
      <c r="U101" s="16"/>
      <c r="V101" s="15"/>
      <c r="W101" s="15"/>
      <c r="X101" s="15"/>
      <c r="Y101" s="15"/>
      <c r="Z101" s="8"/>
      <c r="AA101" s="11"/>
      <c r="AB101" s="4"/>
      <c r="AC101" s="8"/>
      <c r="AD101" s="7"/>
      <c r="AE101" s="8"/>
      <c r="AF101" s="4"/>
      <c r="AG101" s="7"/>
    </row>
    <row r="102" spans="1:35">
      <c r="F102" s="16"/>
      <c r="G102" s="16"/>
      <c r="H102" s="16"/>
      <c r="I102" s="16"/>
      <c r="J102" s="7"/>
      <c r="K102" s="7"/>
      <c r="L102" s="7"/>
      <c r="M102" s="7"/>
      <c r="N102" s="8"/>
      <c r="O102" s="8"/>
      <c r="P102" s="8"/>
      <c r="Q102" s="16"/>
      <c r="R102" s="16"/>
      <c r="S102" s="16"/>
      <c r="T102" s="16"/>
      <c r="U102" s="16"/>
      <c r="V102" s="15"/>
      <c r="W102" s="15"/>
      <c r="X102" s="15"/>
      <c r="Y102" s="15"/>
      <c r="Z102" s="8"/>
      <c r="AA102" s="11"/>
      <c r="AB102" s="4"/>
      <c r="AC102" s="8"/>
      <c r="AD102" s="7"/>
      <c r="AE102" s="8"/>
      <c r="AF102" s="4"/>
      <c r="AG102" s="7"/>
    </row>
    <row r="103" spans="1:35">
      <c r="F103" s="16"/>
      <c r="G103" s="16"/>
      <c r="H103" s="16"/>
      <c r="I103" s="16"/>
      <c r="J103" s="7"/>
      <c r="K103" s="7"/>
      <c r="L103" s="7"/>
      <c r="M103" s="7"/>
      <c r="N103" s="8"/>
      <c r="O103" s="8"/>
      <c r="P103" s="8"/>
      <c r="Q103" s="16"/>
      <c r="R103" s="16"/>
      <c r="S103" s="16"/>
      <c r="T103" s="16"/>
      <c r="U103" s="16"/>
      <c r="V103" s="15"/>
      <c r="W103" s="15"/>
      <c r="X103" s="15"/>
      <c r="Y103" s="15"/>
      <c r="Z103" s="8"/>
      <c r="AA103" s="11"/>
      <c r="AB103" s="4"/>
      <c r="AC103" s="8"/>
      <c r="AD103" s="7"/>
      <c r="AE103" s="8"/>
      <c r="AF103" s="4"/>
      <c r="AG103" s="7"/>
    </row>
    <row r="104" spans="1:35">
      <c r="A104" s="14"/>
      <c r="Q104" s="16"/>
      <c r="R104" s="16"/>
      <c r="S104" s="16"/>
      <c r="T104" s="16"/>
      <c r="U104" s="16"/>
      <c r="V104" s="15"/>
      <c r="W104" s="15"/>
      <c r="X104" s="15"/>
      <c r="Y104" s="15"/>
      <c r="AH104" s="14"/>
    </row>
    <row r="105" spans="1:35">
      <c r="J105" s="7"/>
      <c r="K105" s="7"/>
      <c r="L105" s="7"/>
      <c r="M105" s="7"/>
      <c r="N105" s="8"/>
      <c r="O105" s="8"/>
      <c r="P105" s="8"/>
      <c r="Q105" s="16"/>
      <c r="R105" s="16"/>
      <c r="S105" s="16"/>
      <c r="T105" s="16"/>
      <c r="U105" s="16"/>
      <c r="V105" s="15"/>
      <c r="W105" s="15"/>
      <c r="X105" s="15"/>
      <c r="Y105" s="15"/>
      <c r="Z105" s="8"/>
      <c r="AA105" s="11"/>
      <c r="AB105" s="4"/>
      <c r="AC105" s="8"/>
      <c r="AD105" s="7"/>
      <c r="AE105" s="8"/>
      <c r="AF105" s="4"/>
      <c r="AG105" s="9"/>
    </row>
    <row r="106" spans="1:35">
      <c r="J106" s="7"/>
      <c r="K106" s="7"/>
      <c r="L106" s="7"/>
      <c r="M106" s="7"/>
      <c r="N106" s="8"/>
      <c r="O106" s="8"/>
      <c r="P106" s="8"/>
      <c r="Q106" s="16"/>
      <c r="R106" s="16"/>
      <c r="S106" s="16"/>
      <c r="T106" s="16"/>
      <c r="U106" s="16"/>
      <c r="V106" s="15"/>
      <c r="W106" s="15"/>
      <c r="X106" s="15"/>
      <c r="Y106" s="15"/>
      <c r="Z106" s="8"/>
      <c r="AA106" s="11"/>
      <c r="AB106" s="4"/>
      <c r="AC106" s="8"/>
      <c r="AD106" s="7"/>
      <c r="AE106" s="8"/>
      <c r="AF106" s="4"/>
      <c r="AG106" s="9"/>
    </row>
    <row r="107" spans="1:35">
      <c r="J107" s="7"/>
      <c r="K107" s="7"/>
      <c r="L107" s="7"/>
      <c r="M107" s="7"/>
      <c r="N107" s="8"/>
      <c r="O107" s="8"/>
      <c r="P107" s="8"/>
      <c r="Q107" s="16"/>
      <c r="R107" s="16"/>
      <c r="S107" s="16"/>
      <c r="T107" s="16"/>
      <c r="U107" s="16"/>
      <c r="V107" s="15"/>
      <c r="W107" s="15"/>
      <c r="X107" s="15"/>
      <c r="Y107" s="15"/>
      <c r="Z107" s="8"/>
      <c r="AA107" s="11"/>
      <c r="AB107" s="4"/>
      <c r="AC107" s="8"/>
      <c r="AD107" s="7"/>
      <c r="AE107" s="8"/>
      <c r="AF107" s="4"/>
      <c r="AG107" s="9"/>
    </row>
    <row r="108" spans="1:35">
      <c r="J108" s="7"/>
      <c r="K108" s="7"/>
      <c r="L108" s="7"/>
      <c r="M108" s="7"/>
      <c r="N108" s="8"/>
      <c r="O108" s="8"/>
      <c r="P108" s="8"/>
      <c r="Q108" s="16"/>
      <c r="R108" s="16"/>
      <c r="S108" s="16"/>
      <c r="T108" s="16"/>
      <c r="U108" s="16"/>
      <c r="V108" s="15"/>
      <c r="W108" s="15"/>
      <c r="X108" s="15"/>
      <c r="Y108" s="15"/>
      <c r="Z108" s="8"/>
      <c r="AA108" s="11"/>
      <c r="AB108" s="4"/>
      <c r="AC108" s="8"/>
      <c r="AD108" s="7"/>
      <c r="AE108" s="8"/>
      <c r="AF108" s="4"/>
      <c r="AG108" s="9"/>
    </row>
    <row r="109" spans="1:35">
      <c r="J109" s="7"/>
      <c r="K109" s="7"/>
      <c r="L109" s="7"/>
      <c r="M109" s="7"/>
      <c r="N109" s="8"/>
      <c r="O109" s="8"/>
      <c r="P109" s="8"/>
      <c r="Q109" s="16"/>
      <c r="R109" s="16"/>
      <c r="S109" s="16"/>
      <c r="T109" s="16"/>
      <c r="U109" s="16"/>
      <c r="V109" s="15"/>
      <c r="W109" s="15"/>
      <c r="X109" s="15"/>
      <c r="Y109" s="15"/>
      <c r="Z109" s="8"/>
      <c r="AA109" s="11"/>
      <c r="AB109" s="4"/>
      <c r="AC109" s="8"/>
      <c r="AD109" s="7"/>
      <c r="AE109" s="8"/>
      <c r="AF109" s="4"/>
      <c r="AG109" s="9"/>
    </row>
    <row r="110" spans="1:35">
      <c r="J110" s="7"/>
      <c r="K110" s="7"/>
      <c r="L110" s="7"/>
      <c r="M110" s="7"/>
      <c r="N110" s="8"/>
      <c r="O110" s="8"/>
      <c r="P110" s="8"/>
      <c r="Q110" s="16"/>
      <c r="R110" s="16"/>
      <c r="S110" s="16"/>
      <c r="T110" s="16"/>
      <c r="U110" s="16"/>
      <c r="V110" s="15"/>
      <c r="W110" s="15"/>
      <c r="X110" s="15"/>
      <c r="Y110" s="15"/>
      <c r="Z110" s="8"/>
      <c r="AA110" s="11"/>
      <c r="AB110" s="4"/>
      <c r="AC110" s="8"/>
      <c r="AD110" s="7"/>
      <c r="AE110" s="8"/>
      <c r="AF110" s="4"/>
      <c r="AG110" s="9"/>
    </row>
    <row r="111" spans="1:35">
      <c r="J111" s="7"/>
      <c r="K111" s="7"/>
      <c r="L111" s="7"/>
      <c r="M111" s="7"/>
      <c r="N111" s="8"/>
      <c r="O111" s="8"/>
      <c r="P111" s="8"/>
      <c r="Q111" s="16"/>
      <c r="R111" s="16"/>
      <c r="S111" s="16"/>
      <c r="T111" s="16"/>
      <c r="U111" s="16"/>
      <c r="V111" s="15"/>
      <c r="W111" s="15"/>
      <c r="X111" s="15"/>
      <c r="Y111" s="15"/>
      <c r="Z111" s="8"/>
      <c r="AA111" s="11"/>
      <c r="AB111" s="4"/>
      <c r="AC111" s="8"/>
      <c r="AD111" s="7"/>
      <c r="AE111" s="8"/>
      <c r="AF111" s="4"/>
      <c r="AG111" s="9"/>
    </row>
    <row r="112" spans="1:35">
      <c r="A112" s="14"/>
      <c r="B112" s="17"/>
      <c r="N112" s="8"/>
      <c r="O112" s="8"/>
      <c r="P112" s="8"/>
      <c r="Q112" s="16"/>
      <c r="R112" s="16"/>
      <c r="S112" s="16"/>
      <c r="T112" s="16"/>
      <c r="U112" s="16"/>
      <c r="V112" s="15"/>
      <c r="W112" s="15"/>
      <c r="X112" s="15"/>
      <c r="Y112" s="15"/>
      <c r="Z112" s="8"/>
      <c r="AA112" s="11"/>
      <c r="AB112" s="4"/>
      <c r="AC112" s="8"/>
      <c r="AD112" s="7"/>
      <c r="AE112" s="8"/>
      <c r="AF112" s="4"/>
      <c r="AH112" s="14"/>
      <c r="AI112" s="17"/>
    </row>
    <row r="113" spans="1:34">
      <c r="J113" s="7"/>
      <c r="K113" s="7"/>
      <c r="L113" s="7"/>
      <c r="M113" s="7"/>
      <c r="N113" s="8"/>
      <c r="O113" s="8"/>
      <c r="P113" s="8"/>
      <c r="Q113" s="16"/>
      <c r="R113" s="16"/>
      <c r="S113" s="16"/>
      <c r="T113" s="16"/>
      <c r="U113" s="16"/>
      <c r="V113" s="15"/>
      <c r="W113" s="15"/>
      <c r="X113" s="15"/>
      <c r="Y113" s="15"/>
      <c r="Z113" s="8"/>
      <c r="AA113" s="11"/>
      <c r="AB113" s="4"/>
      <c r="AC113" s="8"/>
      <c r="AD113" s="7"/>
      <c r="AE113" s="8"/>
      <c r="AF113" s="4"/>
      <c r="AG113" s="7"/>
    </row>
    <row r="114" spans="1:34">
      <c r="J114" s="7"/>
      <c r="K114" s="7"/>
      <c r="L114" s="7"/>
      <c r="M114" s="7"/>
      <c r="N114" s="8"/>
      <c r="O114" s="8"/>
      <c r="P114" s="8"/>
      <c r="Q114" s="16"/>
      <c r="R114" s="16"/>
      <c r="S114" s="16"/>
      <c r="T114" s="16"/>
      <c r="U114" s="16"/>
      <c r="V114" s="15"/>
      <c r="W114" s="15"/>
      <c r="X114" s="15"/>
      <c r="Y114" s="15"/>
      <c r="Z114" s="8"/>
      <c r="AA114" s="11"/>
      <c r="AB114" s="4"/>
      <c r="AC114" s="8"/>
      <c r="AD114" s="7"/>
      <c r="AE114" s="8"/>
      <c r="AF114" s="4"/>
      <c r="AG114" s="7"/>
    </row>
    <row r="115" spans="1:34">
      <c r="J115" s="7"/>
      <c r="K115" s="7"/>
      <c r="L115" s="7"/>
      <c r="M115" s="7"/>
      <c r="N115" s="8"/>
      <c r="O115" s="8"/>
      <c r="P115" s="8"/>
      <c r="Q115" s="16"/>
      <c r="R115" s="16"/>
      <c r="S115" s="16"/>
      <c r="T115" s="16"/>
      <c r="U115" s="16"/>
      <c r="V115" s="15"/>
      <c r="W115" s="15"/>
      <c r="X115" s="15"/>
      <c r="Y115" s="15"/>
      <c r="Z115" s="8"/>
      <c r="AA115" s="11"/>
      <c r="AB115" s="4"/>
      <c r="AC115" s="8"/>
      <c r="AD115" s="7"/>
      <c r="AE115" s="8"/>
      <c r="AF115" s="4"/>
      <c r="AG115" s="7"/>
    </row>
    <row r="116" spans="1:34">
      <c r="J116" s="7"/>
      <c r="K116" s="7"/>
      <c r="L116" s="7"/>
      <c r="M116" s="7"/>
      <c r="N116" s="8"/>
      <c r="O116" s="8"/>
      <c r="P116" s="8"/>
      <c r="Q116" s="16"/>
      <c r="R116" s="16"/>
      <c r="S116" s="16"/>
      <c r="T116" s="16"/>
      <c r="U116" s="16"/>
      <c r="V116" s="15"/>
      <c r="W116" s="15"/>
      <c r="X116" s="15"/>
      <c r="Y116" s="15"/>
      <c r="Z116" s="8"/>
      <c r="AA116" s="11"/>
      <c r="AB116" s="4"/>
      <c r="AC116" s="8"/>
      <c r="AD116" s="7"/>
      <c r="AE116" s="8"/>
      <c r="AF116" s="4"/>
      <c r="AG116" s="7"/>
    </row>
    <row r="117" spans="1:34">
      <c r="J117" s="7"/>
      <c r="K117" s="7"/>
      <c r="L117" s="7"/>
      <c r="M117" s="7"/>
      <c r="N117" s="8"/>
      <c r="O117" s="8"/>
      <c r="P117" s="8"/>
      <c r="Q117" s="16"/>
      <c r="R117" s="16"/>
      <c r="S117" s="16"/>
      <c r="T117" s="16"/>
      <c r="U117" s="16"/>
      <c r="V117" s="15"/>
      <c r="W117" s="15"/>
      <c r="X117" s="15"/>
      <c r="Y117" s="15"/>
      <c r="Z117" s="8"/>
      <c r="AA117" s="11"/>
      <c r="AB117" s="4"/>
      <c r="AC117" s="8"/>
      <c r="AD117" s="7"/>
      <c r="AE117" s="8"/>
      <c r="AF117" s="4"/>
      <c r="AG117" s="7"/>
    </row>
    <row r="118" spans="1:34">
      <c r="J118" s="7"/>
      <c r="K118" s="7"/>
      <c r="L118" s="7"/>
      <c r="M118" s="7"/>
      <c r="N118" s="8"/>
      <c r="O118" s="8"/>
      <c r="P118" s="8"/>
      <c r="Q118" s="16"/>
      <c r="R118" s="16"/>
      <c r="S118" s="16"/>
      <c r="T118" s="16"/>
      <c r="U118" s="16"/>
      <c r="V118" s="15"/>
      <c r="W118" s="15"/>
      <c r="X118" s="15"/>
      <c r="Y118" s="15"/>
      <c r="Z118" s="8"/>
      <c r="AA118" s="11"/>
      <c r="AB118" s="4"/>
      <c r="AC118" s="8"/>
      <c r="AD118" s="7"/>
      <c r="AE118" s="8"/>
      <c r="AF118" s="4"/>
      <c r="AG118" s="7"/>
    </row>
    <row r="119" spans="1:34">
      <c r="J119" s="7"/>
      <c r="K119" s="7"/>
      <c r="L119" s="7"/>
      <c r="M119" s="7"/>
      <c r="N119" s="8"/>
      <c r="O119" s="8"/>
      <c r="P119" s="8"/>
      <c r="Q119" s="16"/>
      <c r="R119" s="16"/>
      <c r="S119" s="16"/>
      <c r="T119" s="16"/>
      <c r="U119" s="16"/>
      <c r="V119" s="15"/>
      <c r="W119" s="15"/>
      <c r="X119" s="15"/>
      <c r="Y119" s="15"/>
      <c r="Z119" s="8"/>
      <c r="AA119" s="11"/>
      <c r="AB119" s="4"/>
      <c r="AC119" s="8"/>
      <c r="AD119" s="7"/>
      <c r="AE119" s="8"/>
      <c r="AF119" s="4"/>
      <c r="AG119" s="7"/>
    </row>
    <row r="120" spans="1:34">
      <c r="A120" s="14"/>
      <c r="Q120" s="16"/>
      <c r="R120" s="16"/>
      <c r="S120" s="16"/>
      <c r="T120" s="16"/>
      <c r="U120" s="16"/>
      <c r="V120" s="15"/>
      <c r="W120" s="15"/>
      <c r="X120" s="15"/>
      <c r="Y120" s="15"/>
      <c r="AH120" s="14"/>
    </row>
    <row r="121" spans="1:34">
      <c r="J121" s="7"/>
      <c r="K121" s="7"/>
      <c r="L121" s="7"/>
      <c r="M121" s="7"/>
      <c r="N121" s="8"/>
      <c r="O121" s="8"/>
      <c r="P121" s="8"/>
      <c r="Q121" s="16"/>
      <c r="R121" s="16"/>
      <c r="S121" s="16"/>
      <c r="T121" s="16"/>
      <c r="U121" s="16"/>
      <c r="V121" s="15"/>
      <c r="W121" s="15"/>
      <c r="X121" s="15"/>
      <c r="Y121" s="15"/>
      <c r="Z121" s="8"/>
      <c r="AA121" s="11"/>
      <c r="AB121" s="4"/>
      <c r="AC121" s="8"/>
      <c r="AD121" s="7"/>
      <c r="AE121" s="8"/>
      <c r="AF121" s="4"/>
      <c r="AG121" s="9"/>
    </row>
    <row r="122" spans="1:34">
      <c r="J122" s="7"/>
      <c r="K122" s="7"/>
      <c r="L122" s="7"/>
      <c r="M122" s="7"/>
      <c r="N122" s="8"/>
      <c r="O122" s="8"/>
      <c r="P122" s="8"/>
      <c r="Q122" s="16"/>
      <c r="R122" s="16"/>
      <c r="S122" s="16"/>
      <c r="T122" s="16"/>
      <c r="U122" s="16"/>
      <c r="V122" s="15"/>
      <c r="W122" s="15"/>
      <c r="X122" s="15"/>
      <c r="Y122" s="15"/>
      <c r="Z122" s="8"/>
      <c r="AA122" s="11"/>
      <c r="AB122" s="4"/>
      <c r="AC122" s="8"/>
      <c r="AD122" s="7"/>
      <c r="AE122" s="8"/>
      <c r="AF122" s="4"/>
      <c r="AG122" s="9"/>
    </row>
    <row r="123" spans="1:34">
      <c r="J123" s="7"/>
      <c r="K123" s="7"/>
      <c r="L123" s="7"/>
      <c r="M123" s="7"/>
      <c r="N123" s="8"/>
      <c r="O123" s="8"/>
      <c r="P123" s="8"/>
      <c r="Q123" s="16"/>
      <c r="R123" s="16"/>
      <c r="S123" s="16"/>
      <c r="T123" s="16"/>
      <c r="U123" s="16"/>
      <c r="V123" s="15"/>
      <c r="W123" s="15"/>
      <c r="X123" s="15"/>
      <c r="Y123" s="15"/>
      <c r="Z123" s="8"/>
      <c r="AA123" s="11"/>
      <c r="AB123" s="4"/>
      <c r="AC123" s="8"/>
      <c r="AD123" s="7"/>
      <c r="AE123" s="8"/>
      <c r="AF123" s="4"/>
      <c r="AG123" s="9"/>
    </row>
    <row r="124" spans="1:34">
      <c r="J124" s="7"/>
      <c r="K124" s="7"/>
      <c r="L124" s="7"/>
      <c r="M124" s="7"/>
      <c r="N124" s="8"/>
      <c r="O124" s="8"/>
      <c r="P124" s="8"/>
      <c r="Q124" s="16"/>
      <c r="R124" s="16"/>
      <c r="S124" s="16"/>
      <c r="T124" s="16"/>
      <c r="U124" s="16"/>
      <c r="V124" s="15"/>
      <c r="W124" s="15"/>
      <c r="X124" s="15"/>
      <c r="Y124" s="15"/>
      <c r="Z124" s="8"/>
      <c r="AA124" s="11"/>
      <c r="AB124" s="4"/>
      <c r="AC124" s="8"/>
      <c r="AD124" s="7"/>
      <c r="AE124" s="8"/>
      <c r="AF124" s="4"/>
      <c r="AG124" s="9"/>
    </row>
    <row r="125" spans="1:34">
      <c r="J125" s="7"/>
      <c r="K125" s="7"/>
      <c r="L125" s="7"/>
      <c r="M125" s="7"/>
      <c r="N125" s="8"/>
      <c r="O125" s="8"/>
      <c r="P125" s="8"/>
      <c r="Q125" s="16"/>
      <c r="R125" s="16"/>
      <c r="S125" s="16"/>
      <c r="T125" s="16"/>
      <c r="U125" s="16"/>
      <c r="V125" s="15"/>
      <c r="W125" s="15"/>
      <c r="X125" s="15"/>
      <c r="Y125" s="15"/>
      <c r="Z125" s="8"/>
      <c r="AA125" s="11"/>
      <c r="AB125" s="4"/>
      <c r="AC125" s="8"/>
      <c r="AD125" s="7"/>
      <c r="AE125" s="8"/>
      <c r="AF125" s="4"/>
      <c r="AG125" s="9"/>
    </row>
    <row r="126" spans="1:34">
      <c r="J126" s="7"/>
      <c r="K126" s="7"/>
      <c r="L126" s="7"/>
      <c r="M126" s="7"/>
      <c r="N126" s="8"/>
      <c r="O126" s="8"/>
      <c r="P126" s="8"/>
      <c r="Q126" s="16"/>
      <c r="R126" s="16"/>
      <c r="S126" s="16"/>
      <c r="T126" s="16"/>
      <c r="U126" s="16"/>
      <c r="V126" s="15"/>
      <c r="W126" s="15"/>
      <c r="X126" s="15"/>
      <c r="Y126" s="15"/>
      <c r="Z126" s="8"/>
      <c r="AA126" s="11"/>
      <c r="AB126" s="4"/>
      <c r="AC126" s="8"/>
      <c r="AD126" s="7"/>
      <c r="AE126" s="8"/>
      <c r="AF126" s="4"/>
      <c r="AG126" s="9"/>
    </row>
    <row r="127" spans="1:34">
      <c r="J127" s="7"/>
      <c r="K127" s="7"/>
      <c r="L127" s="7"/>
      <c r="M127" s="7"/>
      <c r="N127" s="8"/>
      <c r="O127" s="8"/>
      <c r="P127" s="8"/>
      <c r="Q127" s="16"/>
      <c r="R127" s="16"/>
      <c r="S127" s="16"/>
      <c r="T127" s="16"/>
      <c r="U127" s="16"/>
      <c r="V127" s="15"/>
      <c r="W127" s="15"/>
      <c r="X127" s="15"/>
      <c r="Y127" s="15"/>
      <c r="Z127" s="8"/>
      <c r="AA127" s="11"/>
      <c r="AB127" s="4"/>
      <c r="AC127" s="8"/>
      <c r="AD127" s="7"/>
      <c r="AE127" s="8"/>
      <c r="AF127" s="4"/>
      <c r="AG127" s="9"/>
    </row>
    <row r="128" spans="1:34">
      <c r="B128" s="8"/>
      <c r="C128" s="8"/>
      <c r="D128" s="8"/>
      <c r="E128" s="7"/>
    </row>
    <row r="129" spans="2:34">
      <c r="B129" s="8"/>
      <c r="J129" s="7"/>
      <c r="K129" s="7"/>
      <c r="L129" s="7"/>
      <c r="M129" s="7"/>
      <c r="N129" s="8"/>
      <c r="O129" s="8"/>
      <c r="P129" s="8"/>
      <c r="Q129" s="16"/>
      <c r="R129" s="16"/>
      <c r="S129" s="16"/>
      <c r="T129" s="16"/>
      <c r="U129" s="16"/>
      <c r="V129" s="15"/>
      <c r="W129" s="15"/>
      <c r="X129" s="15"/>
      <c r="Y129" s="15"/>
      <c r="Z129" s="8"/>
      <c r="AA129" s="11"/>
      <c r="AB129" s="4"/>
      <c r="AC129" s="8"/>
      <c r="AD129" s="7"/>
      <c r="AE129" s="8"/>
      <c r="AF129" s="4"/>
      <c r="AG129" s="9"/>
    </row>
    <row r="130" spans="2:34">
      <c r="B130" s="8"/>
      <c r="J130" s="7"/>
      <c r="K130" s="7"/>
      <c r="L130" s="7"/>
      <c r="M130" s="7"/>
      <c r="N130" s="8"/>
      <c r="O130" s="8"/>
      <c r="P130" s="8"/>
      <c r="Q130" s="16"/>
      <c r="R130" s="16"/>
      <c r="S130" s="16"/>
      <c r="T130" s="16"/>
      <c r="U130" s="16"/>
      <c r="V130" s="15"/>
      <c r="W130" s="15"/>
      <c r="X130" s="15"/>
      <c r="Y130" s="15"/>
      <c r="Z130" s="8"/>
      <c r="AA130" s="11"/>
      <c r="AB130" s="4"/>
      <c r="AC130" s="8"/>
      <c r="AD130" s="7"/>
      <c r="AE130" s="8"/>
      <c r="AF130" s="4"/>
      <c r="AG130" s="9"/>
    </row>
    <row r="131" spans="2:34">
      <c r="B131" s="8"/>
      <c r="J131" s="7"/>
      <c r="K131" s="7"/>
      <c r="L131" s="7"/>
      <c r="M131" s="7"/>
      <c r="N131" s="8"/>
      <c r="O131" s="8"/>
      <c r="P131" s="8"/>
      <c r="Q131" s="16"/>
      <c r="R131" s="16"/>
      <c r="S131" s="16"/>
      <c r="T131" s="16"/>
      <c r="U131" s="16"/>
      <c r="V131" s="15"/>
      <c r="W131" s="15"/>
      <c r="X131" s="15"/>
      <c r="Y131" s="15"/>
      <c r="Z131" s="8"/>
      <c r="AA131" s="11"/>
      <c r="AB131" s="4"/>
      <c r="AC131" s="8"/>
      <c r="AD131" s="7"/>
      <c r="AE131" s="8"/>
      <c r="AF131" s="4"/>
      <c r="AG131" s="9"/>
    </row>
    <row r="132" spans="2:34">
      <c r="B132" s="8"/>
      <c r="J132" s="7"/>
      <c r="K132" s="7"/>
      <c r="L132" s="7"/>
      <c r="M132" s="7"/>
      <c r="N132" s="8"/>
      <c r="O132" s="8"/>
      <c r="P132" s="8"/>
      <c r="Q132" s="16"/>
      <c r="R132" s="16"/>
      <c r="S132" s="16"/>
      <c r="T132" s="16"/>
      <c r="U132" s="16"/>
      <c r="V132" s="15"/>
      <c r="W132" s="15"/>
      <c r="X132" s="15"/>
      <c r="Y132" s="15"/>
      <c r="Z132" s="8"/>
      <c r="AA132" s="11"/>
      <c r="AB132" s="4"/>
      <c r="AC132" s="8"/>
      <c r="AD132" s="7"/>
      <c r="AE132" s="8"/>
      <c r="AF132" s="4"/>
      <c r="AG132" s="9"/>
    </row>
    <row r="133" spans="2:34">
      <c r="B133" s="8"/>
      <c r="J133" s="7"/>
      <c r="K133" s="7"/>
      <c r="L133" s="7"/>
      <c r="M133" s="7"/>
      <c r="N133" s="8"/>
      <c r="O133" s="8"/>
      <c r="P133" s="8"/>
      <c r="Q133" s="16"/>
      <c r="R133" s="16"/>
      <c r="S133" s="16"/>
      <c r="T133" s="16"/>
      <c r="U133" s="16"/>
      <c r="V133" s="15"/>
      <c r="W133" s="15"/>
      <c r="X133" s="15"/>
      <c r="Y133" s="15"/>
      <c r="Z133" s="8"/>
      <c r="AA133" s="11"/>
      <c r="AB133" s="4"/>
      <c r="AC133" s="8"/>
      <c r="AD133" s="7"/>
      <c r="AE133" s="8"/>
      <c r="AF133" s="4"/>
      <c r="AG133" s="9"/>
    </row>
    <row r="134" spans="2:34">
      <c r="B134" s="8"/>
      <c r="J134" s="7"/>
      <c r="K134" s="7"/>
      <c r="L134" s="7"/>
      <c r="M134" s="7"/>
      <c r="N134" s="8"/>
      <c r="O134" s="8"/>
      <c r="P134" s="8"/>
      <c r="Q134" s="16"/>
      <c r="R134" s="16"/>
      <c r="S134" s="16"/>
      <c r="T134" s="16"/>
      <c r="U134" s="16"/>
      <c r="V134" s="15"/>
      <c r="W134" s="15"/>
      <c r="X134" s="15"/>
      <c r="Y134" s="15"/>
      <c r="Z134" s="8"/>
      <c r="AA134" s="11"/>
      <c r="AB134" s="4"/>
      <c r="AC134" s="8"/>
      <c r="AD134" s="7"/>
      <c r="AE134" s="8"/>
      <c r="AF134" s="4"/>
      <c r="AG134" s="9"/>
    </row>
    <row r="135" spans="2:34">
      <c r="B135" s="8"/>
      <c r="J135" s="7"/>
      <c r="K135" s="7"/>
      <c r="L135" s="7"/>
      <c r="M135" s="7"/>
      <c r="N135" s="8"/>
      <c r="O135" s="8"/>
      <c r="P135" s="8"/>
      <c r="Q135" s="16"/>
      <c r="R135" s="16"/>
      <c r="S135" s="16"/>
      <c r="T135" s="16"/>
      <c r="U135" s="16"/>
      <c r="V135" s="15"/>
      <c r="W135" s="15"/>
      <c r="X135" s="15"/>
      <c r="Y135" s="15"/>
      <c r="Z135" s="8"/>
      <c r="AA135" s="11"/>
      <c r="AB135" s="4"/>
      <c r="AC135" s="8"/>
      <c r="AD135" s="7"/>
      <c r="AE135" s="8"/>
      <c r="AF135" s="4"/>
      <c r="AG135" s="9"/>
    </row>
    <row r="138" spans="2:34">
      <c r="AH138" s="6"/>
    </row>
    <row r="140" spans="2:34">
      <c r="J140" s="7"/>
      <c r="K140" s="7"/>
      <c r="L140" s="7"/>
      <c r="M140" s="7"/>
      <c r="N140" s="8"/>
      <c r="O140" s="8"/>
      <c r="P140" s="8"/>
      <c r="Q140" s="16"/>
      <c r="R140" s="16"/>
      <c r="S140" s="16"/>
      <c r="T140" s="16"/>
      <c r="U140" s="16"/>
      <c r="V140" s="15"/>
      <c r="W140" s="15"/>
      <c r="X140" s="15"/>
      <c r="Y140" s="15"/>
      <c r="Z140" s="8"/>
      <c r="AA140" s="11"/>
      <c r="AB140" s="4"/>
      <c r="AC140" s="8"/>
      <c r="AD140" s="7"/>
      <c r="AE140" s="8"/>
      <c r="AF140" s="4"/>
      <c r="AH140" s="4"/>
    </row>
    <row r="141" spans="2:34">
      <c r="J141" s="7"/>
      <c r="K141" s="7"/>
      <c r="L141" s="7"/>
      <c r="M141" s="7"/>
      <c r="N141" s="8"/>
      <c r="O141" s="8"/>
      <c r="P141" s="8"/>
      <c r="Q141" s="16"/>
      <c r="R141" s="16"/>
      <c r="S141" s="16"/>
      <c r="T141" s="16"/>
      <c r="U141" s="16"/>
      <c r="V141" s="15"/>
      <c r="W141" s="15"/>
      <c r="X141" s="15"/>
      <c r="Y141" s="15"/>
      <c r="Z141" s="8"/>
      <c r="AA141" s="11"/>
      <c r="AB141" s="4"/>
      <c r="AC141" s="8"/>
      <c r="AD141" s="7"/>
      <c r="AE141" s="8"/>
      <c r="AF141" s="4"/>
    </row>
    <row r="142" spans="2:34">
      <c r="AH142" s="4"/>
    </row>
    <row r="143" spans="2:34">
      <c r="AH143" s="4"/>
    </row>
  </sheetData>
  <pageMargins left="0" right="0" top="0.39416666666666711" bottom="0.39416666666666711" header="0" footer="0"/>
  <pageSetup fitToWidth="0" fitToHeight="0" orientation="portrait" r:id="rId1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7123-C0EE-44FA-853B-6D68146E6171}">
  <dimension ref="A1:AY143"/>
  <sheetViews>
    <sheetView zoomScaleNormal="100" workbookViewId="0">
      <selection activeCell="AI1" sqref="AI1:BD33"/>
    </sheetView>
  </sheetViews>
  <sheetFormatPr defaultColWidth="9" defaultRowHeight="14.25"/>
  <cols>
    <col min="1" max="1" width="23.125" customWidth="1"/>
    <col min="2" max="2" width="21" customWidth="1"/>
    <col min="3" max="3" width="13" customWidth="1"/>
    <col min="4" max="4" width="17.625" customWidth="1"/>
    <col min="5" max="5" width="18.25" customWidth="1"/>
    <col min="6" max="6" width="31.375" customWidth="1"/>
    <col min="7" max="7" width="22.75" customWidth="1"/>
    <col min="8" max="8" width="22.625" customWidth="1"/>
    <col min="9" max="9" width="30" customWidth="1"/>
    <col min="10" max="10" width="12.125" customWidth="1"/>
    <col min="11" max="11" width="20.625" customWidth="1"/>
    <col min="12" max="12" width="14.875" customWidth="1"/>
    <col min="13" max="13" width="23.25" customWidth="1"/>
    <col min="14" max="14" width="15.125" customWidth="1"/>
    <col min="15" max="15" width="18.125" customWidth="1"/>
    <col min="16" max="16" width="13" customWidth="1"/>
    <col min="17" max="17" width="23.25" customWidth="1"/>
    <col min="18" max="18" width="14.25" customWidth="1"/>
    <col min="19" max="19" width="19.125" customWidth="1"/>
    <col min="20" max="20" width="16.125" customWidth="1"/>
    <col min="21" max="21" width="21.625" customWidth="1"/>
    <col min="22" max="24" width="22.25" customWidth="1"/>
    <col min="25" max="25" width="32.25" customWidth="1"/>
    <col min="26" max="26" width="10.75" customWidth="1"/>
    <col min="27" max="27" width="21.75" customWidth="1"/>
    <col min="28" max="28" width="16.75" customWidth="1"/>
    <col min="29" max="29" width="14.875" customWidth="1"/>
    <col min="30" max="31" width="10.75" customWidth="1"/>
    <col min="32" max="32" width="19.625" customWidth="1"/>
    <col min="33" max="33" width="25" customWidth="1"/>
    <col min="34" max="34" width="23.25" customWidth="1"/>
    <col min="35" max="1025" width="10.75" customWidth="1"/>
    <col min="1026" max="1026" width="9" customWidth="1"/>
  </cols>
  <sheetData>
    <row r="1" spans="1:51" ht="15">
      <c r="A1" t="s">
        <v>47</v>
      </c>
      <c r="B1">
        <v>2</v>
      </c>
      <c r="H1" t="s">
        <v>72</v>
      </c>
      <c r="K1" t="s">
        <v>86</v>
      </c>
      <c r="L1" s="27">
        <v>130.68</v>
      </c>
      <c r="M1" t="s">
        <v>87</v>
      </c>
      <c r="N1" t="s">
        <v>72</v>
      </c>
      <c r="O1" s="8">
        <v>2.70590029233333E-10</v>
      </c>
      <c r="R1" t="s">
        <v>39</v>
      </c>
    </row>
    <row r="2" spans="1:51">
      <c r="A2" t="s">
        <v>48</v>
      </c>
      <c r="B2" s="8">
        <f>O6</f>
        <v>6.3942155849131362E-20</v>
      </c>
      <c r="C2" t="s">
        <v>49</v>
      </c>
      <c r="D2" s="8">
        <f>B2*(100^2)</f>
        <v>6.3942155849131364E-16</v>
      </c>
      <c r="E2" t="s">
        <v>50</v>
      </c>
      <c r="H2" s="8">
        <v>2.7058999999999999E-10</v>
      </c>
      <c r="I2" t="s">
        <v>73</v>
      </c>
      <c r="J2" s="7"/>
      <c r="L2">
        <f>L1/6.02E+23</f>
        <v>2.1707641196013289E-22</v>
      </c>
      <c r="M2" t="s">
        <v>57</v>
      </c>
      <c r="N2" t="s">
        <v>48</v>
      </c>
      <c r="O2">
        <f>O1*SQRT(3)*O1/2</f>
        <v>6.3409482793925798E-20</v>
      </c>
      <c r="X2" t="s">
        <v>0</v>
      </c>
    </row>
    <row r="3" spans="1:51">
      <c r="A3" t="s">
        <v>51</v>
      </c>
      <c r="B3" s="8">
        <v>1.5999999999999999E-19</v>
      </c>
      <c r="C3" t="s">
        <v>52</v>
      </c>
      <c r="H3" s="8">
        <f>H2*H2/2*(3^0.5)</f>
        <v>6.3409469092974345E-20</v>
      </c>
      <c r="I3" t="s">
        <v>49</v>
      </c>
      <c r="J3" s="7"/>
      <c r="L3">
        <f>L2/1.6E-19</f>
        <v>1.3567275747508308E-3</v>
      </c>
      <c r="M3" t="s">
        <v>88</v>
      </c>
      <c r="X3" t="s">
        <v>1</v>
      </c>
    </row>
    <row r="4" spans="1:51">
      <c r="A4" t="s">
        <v>53</v>
      </c>
      <c r="B4" s="8">
        <v>6.6200000000000001E-34</v>
      </c>
      <c r="C4" t="s">
        <v>54</v>
      </c>
      <c r="D4" t="s">
        <v>55</v>
      </c>
      <c r="E4">
        <v>8.6099585062240669E-5</v>
      </c>
      <c r="G4" t="s">
        <v>74</v>
      </c>
      <c r="H4" s="8">
        <v>1000</v>
      </c>
      <c r="J4" s="7"/>
      <c r="L4">
        <f>L3*B6</f>
        <v>0.40701827242524924</v>
      </c>
      <c r="M4" t="s">
        <v>89</v>
      </c>
      <c r="X4" t="s">
        <v>2</v>
      </c>
      <c r="Y4" t="s">
        <v>3</v>
      </c>
    </row>
    <row r="5" spans="1:51">
      <c r="A5" t="s">
        <v>56</v>
      </c>
      <c r="B5" s="8">
        <v>1.3800000000000001E-23</v>
      </c>
      <c r="C5" t="s">
        <v>57</v>
      </c>
      <c r="D5" t="s">
        <v>58</v>
      </c>
      <c r="E5" s="8">
        <v>8.6250000000000009E-5</v>
      </c>
      <c r="H5" s="8"/>
      <c r="J5" s="7"/>
      <c r="O5">
        <f>18.51664226 *16.03588259*0.5291*0.5291</f>
        <v>83.124802603870762</v>
      </c>
    </row>
    <row r="6" spans="1:51">
      <c r="A6" t="s">
        <v>59</v>
      </c>
      <c r="B6">
        <v>300</v>
      </c>
      <c r="C6" t="s">
        <v>60</v>
      </c>
      <c r="J6" s="7"/>
      <c r="O6">
        <f>O5/13/100000000000000000000</f>
        <v>6.3942155849131362E-20</v>
      </c>
      <c r="AO6" s="24"/>
      <c r="AX6" s="18"/>
      <c r="AY6" s="18"/>
    </row>
    <row r="7" spans="1:51">
      <c r="B7" s="1"/>
      <c r="C7" s="1"/>
      <c r="D7" s="1"/>
      <c r="E7" s="1"/>
      <c r="AO7" s="24"/>
      <c r="AP7" s="17"/>
      <c r="AX7" s="18"/>
      <c r="AY7" s="18"/>
    </row>
    <row r="8" spans="1:51">
      <c r="B8" s="1"/>
      <c r="C8" s="1"/>
      <c r="D8" s="1"/>
      <c r="E8" s="1"/>
      <c r="V8">
        <v>1.5</v>
      </c>
      <c r="W8">
        <f>V8-0.2</f>
        <v>1.3</v>
      </c>
      <c r="X8">
        <f t="shared" ref="X8:AD8" si="0">W8-0.2</f>
        <v>1.1000000000000001</v>
      </c>
      <c r="Y8">
        <f t="shared" si="0"/>
        <v>0.90000000000000013</v>
      </c>
      <c r="Z8">
        <f t="shared" si="0"/>
        <v>0.70000000000000018</v>
      </c>
      <c r="AA8">
        <f>Z8-0.2</f>
        <v>0.50000000000000022</v>
      </c>
      <c r="AB8">
        <f t="shared" si="0"/>
        <v>0.30000000000000021</v>
      </c>
      <c r="AC8">
        <f t="shared" si="0"/>
        <v>0.1000000000000002</v>
      </c>
      <c r="AD8">
        <f t="shared" si="0"/>
        <v>-9.9999999999999811E-2</v>
      </c>
      <c r="AO8" s="24"/>
      <c r="AX8" s="18"/>
      <c r="AY8" s="18"/>
    </row>
    <row r="9" spans="1:51">
      <c r="A9" t="s">
        <v>4</v>
      </c>
      <c r="B9" s="1"/>
      <c r="C9" s="1"/>
      <c r="D9" s="1"/>
      <c r="E9" s="1"/>
      <c r="F9">
        <v>-16.809909999999999</v>
      </c>
      <c r="G9">
        <v>6.4589999999999996</v>
      </c>
      <c r="H9">
        <v>0.24199999999999999</v>
      </c>
      <c r="I9">
        <v>1.1100000000000001E-3</v>
      </c>
      <c r="J9">
        <f>F9*627.5096+G9+H9+B9+D9-0.29815*(C9+E9+I9)</f>
        <v>-10541.679231082497</v>
      </c>
      <c r="K9" t="s">
        <v>29</v>
      </c>
      <c r="L9" t="s">
        <v>38</v>
      </c>
      <c r="U9" t="s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O9" s="24"/>
      <c r="AX9" s="18"/>
      <c r="AY9" s="6"/>
    </row>
    <row r="10" spans="1:51">
      <c r="A10" t="s">
        <v>29</v>
      </c>
      <c r="B10" s="1"/>
      <c r="C10" s="1"/>
      <c r="D10" s="1"/>
      <c r="E10" s="12">
        <f>(H$20+I$20)</f>
        <v>-0.14013323160494667</v>
      </c>
      <c r="K10">
        <v>-1.1653116527471199</v>
      </c>
      <c r="L10">
        <f>K10-2*(H$20+I$20)</f>
        <v>-0.88504518953722655</v>
      </c>
      <c r="U10" t="s">
        <v>25</v>
      </c>
      <c r="V10">
        <v>-1.403672059269055</v>
      </c>
      <c r="W10">
        <v>-1.1318461505453223</v>
      </c>
      <c r="X10">
        <v>-0.84439289141522278</v>
      </c>
      <c r="Y10">
        <v>-0.54131228188381775</v>
      </c>
      <c r="Z10">
        <v>-0.22260432194224963</v>
      </c>
      <c r="AA10">
        <v>0.11173098840188923</v>
      </c>
      <c r="AB10">
        <v>0.46169364915492578</v>
      </c>
      <c r="AC10">
        <v>0.82728366030800238</v>
      </c>
      <c r="AD10">
        <v>1.2085010218598535</v>
      </c>
      <c r="AO10" s="24"/>
      <c r="AP10" s="17"/>
      <c r="AX10" s="18"/>
      <c r="AY10" s="18"/>
    </row>
    <row r="11" spans="1:51">
      <c r="E11">
        <f>4.66/27.2</f>
        <v>0.17132352941176471</v>
      </c>
      <c r="J11" t="s">
        <v>5</v>
      </c>
      <c r="K11" t="s">
        <v>6</v>
      </c>
      <c r="U11" t="s">
        <v>26</v>
      </c>
      <c r="V11">
        <v>2.7128891315242862</v>
      </c>
      <c r="W11">
        <v>2.822191464345214</v>
      </c>
      <c r="X11">
        <v>2.9393182733164513</v>
      </c>
      <c r="Y11">
        <v>3.0642695584202833</v>
      </c>
      <c r="Z11">
        <v>3.1970453196693636</v>
      </c>
      <c r="AA11">
        <v>3.3376455570598962</v>
      </c>
      <c r="AB11">
        <v>3.4860702705982081</v>
      </c>
      <c r="AC11">
        <v>3.6423194602741757</v>
      </c>
      <c r="AD11">
        <v>3.8063931260928614</v>
      </c>
      <c r="AO11" s="24"/>
      <c r="AX11" s="18"/>
      <c r="AY11" s="18"/>
    </row>
    <row r="12" spans="1:51">
      <c r="C12">
        <v>-1233.5484164598799</v>
      </c>
      <c r="D12">
        <v>-1527.77089179312</v>
      </c>
      <c r="K12" t="s">
        <v>30</v>
      </c>
      <c r="L12" t="s">
        <v>31</v>
      </c>
      <c r="U12" t="s">
        <v>27</v>
      </c>
      <c r="V12">
        <v>-1.3526834151454512</v>
      </c>
      <c r="W12">
        <v>-1.1835622978826945</v>
      </c>
      <c r="X12">
        <v>-1.0012053585024145</v>
      </c>
      <c r="Y12">
        <v>-0.80561259698816168</v>
      </c>
      <c r="Z12">
        <v>-0.59678401335512044</v>
      </c>
      <c r="AA12">
        <v>-0.37471960760455619</v>
      </c>
      <c r="AB12">
        <v>-0.13941937972128432</v>
      </c>
      <c r="AC12">
        <v>0.10911667027191826</v>
      </c>
      <c r="AD12">
        <v>0.37088854239403229</v>
      </c>
      <c r="AO12" s="24"/>
      <c r="AX12" s="18"/>
      <c r="AY12" s="18"/>
    </row>
    <row r="13" spans="1:51">
      <c r="A13" t="s">
        <v>7</v>
      </c>
      <c r="D13">
        <v>-0.15398547600000001</v>
      </c>
      <c r="E13">
        <v>-0.14477606500000001</v>
      </c>
      <c r="H13" t="s">
        <v>8</v>
      </c>
      <c r="I13" s="6">
        <v>13</v>
      </c>
      <c r="K13">
        <f>0.5*E97</f>
        <v>0</v>
      </c>
      <c r="L13">
        <f>K13*630-(-4.66*23.06)-0.0592*23.06*I13</f>
        <v>89.712623999999991</v>
      </c>
      <c r="O13" t="s">
        <v>24</v>
      </c>
      <c r="P13" s="4" t="e">
        <f>#REF!</f>
        <v>#REF!</v>
      </c>
      <c r="U13" t="s">
        <v>28</v>
      </c>
      <c r="V13">
        <v>3.3866367385084941</v>
      </c>
      <c r="W13">
        <v>3.3746967741969023</v>
      </c>
      <c r="X13">
        <v>3.371191047654619</v>
      </c>
      <c r="Y13">
        <v>3.3761195588702559</v>
      </c>
      <c r="Z13">
        <v>3.389482307842548</v>
      </c>
      <c r="AA13">
        <v>3.4112792945854142</v>
      </c>
      <c r="AB13">
        <v>3.4415105191064472</v>
      </c>
      <c r="AC13">
        <v>3.4801759813689506</v>
      </c>
      <c r="AD13">
        <v>3.5272756814045589</v>
      </c>
      <c r="AO13" s="24"/>
      <c r="AP13" s="17"/>
      <c r="AX13" s="18"/>
      <c r="AY13" s="18"/>
    </row>
    <row r="14" spans="1:51">
      <c r="A14" t="s">
        <v>9</v>
      </c>
      <c r="C14">
        <f>-0.1488986+4.66/27.2</f>
        <v>2.2424929411764716E-2</v>
      </c>
      <c r="D14">
        <f>D13+4.66/27.2</f>
        <v>1.7338053411764698E-2</v>
      </c>
      <c r="E14">
        <f>E13+4.66/27.2</f>
        <v>2.6547464411764699E-2</v>
      </c>
      <c r="H14" t="s">
        <v>10</v>
      </c>
      <c r="I14" s="13">
        <f>-AI36</f>
        <v>0.08</v>
      </c>
      <c r="O14" t="s">
        <v>28</v>
      </c>
      <c r="P14" s="4" t="e">
        <f>#REF!</f>
        <v>#REF!</v>
      </c>
      <c r="U14" t="s">
        <v>36</v>
      </c>
      <c r="AO14" s="24"/>
      <c r="AX14" s="18"/>
      <c r="AY14" s="18"/>
    </row>
    <row r="15" spans="1:51">
      <c r="C15">
        <f>-C14*27.2</f>
        <v>-0.60995808000000029</v>
      </c>
      <c r="D15">
        <f>-D14*27.2</f>
        <v>-0.47159505279999975</v>
      </c>
      <c r="E15">
        <f>-E14*27.2</f>
        <v>-0.7220910319999998</v>
      </c>
      <c r="L15" s="2"/>
      <c r="O15" t="s">
        <v>25</v>
      </c>
      <c r="P15" s="4" t="e">
        <f>#REF!</f>
        <v>#REF!</v>
      </c>
      <c r="U15" t="s">
        <v>24</v>
      </c>
      <c r="V15">
        <v>-3.5663614113835376</v>
      </c>
      <c r="W15">
        <v>-3.7331230898904009</v>
      </c>
      <c r="X15">
        <v>-3.848278211156392</v>
      </c>
      <c r="Y15">
        <v>-3.9118267751612659</v>
      </c>
      <c r="Z15">
        <v>-3.9237687819708218</v>
      </c>
      <c r="AA15">
        <v>-3.8841042314939527</v>
      </c>
      <c r="AB15">
        <v>-3.7928331237660884</v>
      </c>
      <c r="AC15">
        <v>-3.6499554588125371</v>
      </c>
      <c r="AD15">
        <v>-3.4554712366231759</v>
      </c>
      <c r="AO15" s="24"/>
    </row>
    <row r="16" spans="1:51">
      <c r="I16" s="4">
        <f>AF123</f>
        <v>0</v>
      </c>
      <c r="L16" s="2"/>
      <c r="O16" t="s">
        <v>26</v>
      </c>
      <c r="P16" s="4" t="e">
        <f>#REF!</f>
        <v>#REF!</v>
      </c>
      <c r="U16" t="s">
        <v>25</v>
      </c>
      <c r="V16">
        <v>-3.0462243078863653</v>
      </c>
      <c r="W16">
        <v>-3.2127958224813007</v>
      </c>
      <c r="X16">
        <v>-3.3243789344307277</v>
      </c>
      <c r="Y16">
        <v>-3.3809736436789692</v>
      </c>
      <c r="Z16">
        <v>-3.3825799502563947</v>
      </c>
      <c r="AA16">
        <v>-3.3291978541680654</v>
      </c>
      <c r="AB16">
        <v>-3.2208273553734887</v>
      </c>
      <c r="AC16">
        <v>-3.0574684539232808</v>
      </c>
      <c r="AD16">
        <v>-2.8391211498123794</v>
      </c>
      <c r="AO16" s="24"/>
      <c r="AP16" s="25"/>
    </row>
    <row r="17" spans="1:45">
      <c r="F17">
        <f>I14/27.212+(I13*1.36/627.5096)</f>
        <v>3.1114747227921184E-2</v>
      </c>
      <c r="L17" s="2"/>
      <c r="O17" t="s">
        <v>27</v>
      </c>
      <c r="P17" s="4" t="e">
        <f>#REF!</f>
        <v>#REF!</v>
      </c>
      <c r="U17" t="s">
        <v>26</v>
      </c>
      <c r="V17">
        <v>-2.9069135051129549</v>
      </c>
      <c r="W17">
        <v>-2.9748772065175455</v>
      </c>
      <c r="X17">
        <v>-2.9941653914739499</v>
      </c>
      <c r="Y17">
        <v>-2.9647780599062452</v>
      </c>
      <c r="Z17">
        <v>-2.8867152118701083</v>
      </c>
      <c r="AA17">
        <v>-2.7599768473503543</v>
      </c>
      <c r="AB17">
        <v>-2.584562966331799</v>
      </c>
      <c r="AC17">
        <v>-2.3604735688195038</v>
      </c>
      <c r="AD17">
        <v>-2.0877086548337145</v>
      </c>
      <c r="AO17" s="24"/>
    </row>
    <row r="18" spans="1:45">
      <c r="F18">
        <f>I14</f>
        <v>0.08</v>
      </c>
      <c r="L18" s="2"/>
      <c r="U18" t="s">
        <v>27</v>
      </c>
      <c r="V18">
        <v>-5.2666987744716769</v>
      </c>
      <c r="W18">
        <v>-5.3410404970231671</v>
      </c>
      <c r="X18">
        <v>-5.3686658085840149</v>
      </c>
      <c r="Y18">
        <v>-5.3495747090631127</v>
      </c>
      <c r="Z18">
        <v>-5.283767198556629</v>
      </c>
      <c r="AA18">
        <v>-5.1712432770392578</v>
      </c>
      <c r="AB18">
        <v>-5.0120029444654435</v>
      </c>
      <c r="AC18">
        <v>-4.8060462008503713</v>
      </c>
      <c r="AD18">
        <v>-4.553373046259841</v>
      </c>
      <c r="AO18" s="24"/>
    </row>
    <row r="19" spans="1:45">
      <c r="G19" s="8"/>
      <c r="H19" t="s">
        <v>40</v>
      </c>
      <c r="I19" t="s">
        <v>23</v>
      </c>
      <c r="J19" t="s">
        <v>22</v>
      </c>
      <c r="Q19" t="s">
        <v>32</v>
      </c>
      <c r="R19" s="4">
        <f>AF25/50</f>
        <v>0</v>
      </c>
      <c r="U19" t="s">
        <v>28</v>
      </c>
      <c r="V19">
        <v>-2.3841007545529664</v>
      </c>
      <c r="W19">
        <v>-2.4749515371994399</v>
      </c>
      <c r="X19">
        <v>-2.5226864287194433</v>
      </c>
      <c r="Y19">
        <v>-2.5273054290471761</v>
      </c>
      <c r="Z19">
        <v>-2.4888085382484384</v>
      </c>
      <c r="AA19">
        <v>-2.4071957562979232</v>
      </c>
      <c r="AB19">
        <v>-2.2824670831956295</v>
      </c>
      <c r="AC19">
        <v>-2.1146225189364962</v>
      </c>
      <c r="AD19">
        <v>-1.9036620635458308</v>
      </c>
      <c r="AO19" s="24"/>
      <c r="AP19" s="17"/>
    </row>
    <row r="20" spans="1:45">
      <c r="A20" t="s">
        <v>11</v>
      </c>
      <c r="F20" s="3"/>
      <c r="H20" s="18">
        <f xml:space="preserve"> (-4.66)/27.212</f>
        <v>-0.17124797883286785</v>
      </c>
      <c r="I20" s="19">
        <f>I14/27.212+(I13*1.36/627.5096)</f>
        <v>3.1114747227921184E-2</v>
      </c>
      <c r="J20">
        <f>-4.66*23.06+I20*627.5096</f>
        <v>-87.934797412906065</v>
      </c>
      <c r="K20">
        <f>J20/627.5096</f>
        <v>-0.14013299145209263</v>
      </c>
      <c r="Q20" t="s">
        <v>33</v>
      </c>
      <c r="AO20" s="24"/>
      <c r="AS20" s="6"/>
    </row>
    <row r="21" spans="1:45">
      <c r="I21" t="s">
        <v>12</v>
      </c>
      <c r="Q21" t="s">
        <v>9</v>
      </c>
      <c r="AO21" s="24"/>
    </row>
    <row r="22" spans="1:45">
      <c r="Q22" t="s">
        <v>7</v>
      </c>
      <c r="R22">
        <f>L10/2*627.5096</f>
        <v>-277.68717643421462</v>
      </c>
      <c r="AP22" s="17"/>
    </row>
    <row r="23" spans="1:45">
      <c r="Z23" t="s">
        <v>13</v>
      </c>
      <c r="AA23" t="s">
        <v>14</v>
      </c>
      <c r="AB23" t="s">
        <v>15</v>
      </c>
      <c r="AF23" t="s">
        <v>6</v>
      </c>
    </row>
    <row r="24" spans="1:45">
      <c r="AA24" t="s">
        <v>20</v>
      </c>
      <c r="AB24" t="s">
        <v>21</v>
      </c>
      <c r="AC24" t="s">
        <v>34</v>
      </c>
      <c r="AD24" t="s">
        <v>37</v>
      </c>
      <c r="AE24" t="s">
        <v>35</v>
      </c>
    </row>
    <row r="25" spans="1:45">
      <c r="F25" s="5"/>
      <c r="G25" s="5"/>
      <c r="H25" s="5"/>
      <c r="J25" s="7"/>
      <c r="K25" s="7"/>
      <c r="L25" s="7"/>
      <c r="M25" s="7"/>
      <c r="N25" s="8"/>
      <c r="O25" s="8"/>
      <c r="P25" s="8"/>
      <c r="Q25" s="16"/>
      <c r="R25" s="16"/>
      <c r="S25" s="16"/>
      <c r="T25" s="16"/>
      <c r="U25" s="16"/>
      <c r="V25" s="15"/>
      <c r="W25" s="15"/>
      <c r="X25" s="15"/>
      <c r="Y25" s="15"/>
      <c r="Z25" s="8"/>
      <c r="AA25" s="11"/>
      <c r="AB25" s="4"/>
      <c r="AC25" s="8"/>
      <c r="AD25" s="7"/>
      <c r="AE25" s="8"/>
      <c r="AF25" s="4"/>
      <c r="AG25" t="s">
        <v>77</v>
      </c>
    </row>
    <row r="26" spans="1:45">
      <c r="F26" s="5"/>
      <c r="G26" s="5"/>
      <c r="H26" s="5"/>
      <c r="J26" s="7"/>
      <c r="K26" s="7"/>
      <c r="L26" s="7"/>
      <c r="M26" s="7"/>
      <c r="N26" s="8"/>
      <c r="O26" s="8"/>
      <c r="P26" s="8"/>
      <c r="Q26" s="16"/>
      <c r="R26" s="16"/>
      <c r="S26" s="16"/>
      <c r="T26" s="16"/>
      <c r="U26" s="16"/>
      <c r="V26" s="15"/>
      <c r="W26" s="15"/>
      <c r="X26" s="15"/>
      <c r="Y26" s="15"/>
      <c r="Z26" s="8"/>
      <c r="AA26" s="11"/>
      <c r="AB26" s="4"/>
      <c r="AC26" s="8"/>
      <c r="AD26" s="7"/>
      <c r="AE26" s="8"/>
      <c r="AF26" s="4"/>
      <c r="AG26">
        <v>-69.142207283931398</v>
      </c>
    </row>
    <row r="27" spans="1:45">
      <c r="F27" s="5"/>
      <c r="G27" s="5"/>
      <c r="H27" s="5"/>
      <c r="I27" s="5"/>
      <c r="J27" s="7"/>
      <c r="K27" s="7"/>
      <c r="L27" s="7"/>
      <c r="M27" s="7"/>
      <c r="N27" s="8"/>
      <c r="O27" s="8"/>
      <c r="P27" s="8"/>
      <c r="Q27" s="16"/>
      <c r="R27" s="16"/>
      <c r="S27" s="16"/>
      <c r="T27" s="16"/>
      <c r="U27" s="16"/>
      <c r="V27" s="15"/>
      <c r="W27" s="15"/>
      <c r="X27" s="15"/>
      <c r="Y27" s="15"/>
      <c r="Z27" s="8"/>
      <c r="AA27" s="11"/>
      <c r="AB27" s="4"/>
      <c r="AC27" s="8"/>
      <c r="AD27" s="7"/>
      <c r="AE27" s="8"/>
      <c r="AF27" s="4"/>
      <c r="AG27" t="s">
        <v>78</v>
      </c>
    </row>
    <row r="28" spans="1:45">
      <c r="F28" s="5"/>
      <c r="G28" s="5"/>
      <c r="H28" s="5"/>
      <c r="J28" s="7"/>
      <c r="K28" s="7"/>
      <c r="L28" s="7"/>
      <c r="M28" s="7"/>
      <c r="N28" s="8"/>
      <c r="O28" s="8"/>
      <c r="P28" s="8"/>
      <c r="Q28" s="16"/>
      <c r="R28" s="16"/>
      <c r="S28" s="16"/>
      <c r="T28" s="16"/>
      <c r="U28" s="16"/>
      <c r="V28" s="15"/>
      <c r="W28" s="15"/>
      <c r="X28" s="15"/>
      <c r="Y28" s="15"/>
      <c r="Z28" s="8"/>
      <c r="AA28" s="11"/>
      <c r="AB28" s="4"/>
      <c r="AC28" s="8"/>
      <c r="AD28" s="7"/>
      <c r="AE28" s="8"/>
      <c r="AF28" s="4"/>
      <c r="AG28">
        <v>-68.679620411672303</v>
      </c>
    </row>
    <row r="29" spans="1:45">
      <c r="J29" s="7"/>
      <c r="K29" s="7"/>
      <c r="L29" s="7"/>
      <c r="M29" s="7"/>
      <c r="N29" s="8"/>
      <c r="O29" s="8"/>
      <c r="P29" s="8"/>
      <c r="Q29" s="16"/>
      <c r="R29" s="16"/>
      <c r="S29" s="16"/>
      <c r="T29" s="16"/>
      <c r="U29" s="16"/>
      <c r="V29" s="15"/>
      <c r="W29" s="15"/>
      <c r="X29" s="15"/>
      <c r="Y29" s="15"/>
      <c r="Z29" s="8"/>
      <c r="AA29" s="11"/>
      <c r="AB29" s="4"/>
      <c r="AC29" s="8"/>
      <c r="AD29" s="7"/>
      <c r="AE29" s="8"/>
      <c r="AF29" s="4"/>
      <c r="AG29" t="s">
        <v>79</v>
      </c>
    </row>
    <row r="30" spans="1:45">
      <c r="F30" s="5"/>
      <c r="G30" s="5"/>
      <c r="H30" s="5"/>
      <c r="J30" s="7"/>
      <c r="K30" s="7"/>
      <c r="L30" s="7"/>
      <c r="M30" s="7"/>
      <c r="N30" s="8"/>
      <c r="O30" s="8"/>
      <c r="P30" s="8"/>
      <c r="Q30" s="16"/>
      <c r="R30" s="16"/>
      <c r="S30" s="16"/>
      <c r="T30" s="16"/>
      <c r="U30" s="16"/>
      <c r="V30" s="15"/>
      <c r="W30" s="15"/>
      <c r="X30" s="15"/>
      <c r="Y30" s="15"/>
      <c r="Z30" s="8"/>
      <c r="AA30" s="11"/>
      <c r="AB30" s="4"/>
      <c r="AC30" s="8"/>
      <c r="AD30" s="7"/>
      <c r="AE30" s="8"/>
      <c r="AF30" s="4"/>
      <c r="AG30">
        <f>27.2*(AG26-AG28)</f>
        <v>-12.582362925447386</v>
      </c>
    </row>
    <row r="31" spans="1:45">
      <c r="F31" t="s">
        <v>43</v>
      </c>
      <c r="J31" t="s">
        <v>42</v>
      </c>
      <c r="Q31" s="16"/>
      <c r="R31" s="16"/>
      <c r="S31" s="16"/>
      <c r="T31" s="16"/>
      <c r="U31" s="16"/>
      <c r="V31" s="15"/>
      <c r="W31" s="15"/>
      <c r="X31" s="15"/>
      <c r="Y31" s="15"/>
      <c r="Z31" s="8"/>
      <c r="AA31" s="11"/>
      <c r="AB31" s="4"/>
      <c r="AC31" s="8"/>
      <c r="AD31" s="7"/>
      <c r="AE31" s="8"/>
      <c r="AF31" s="4"/>
    </row>
    <row r="32" spans="1:45">
      <c r="A32" s="14" t="s">
        <v>198</v>
      </c>
      <c r="B32">
        <v>0</v>
      </c>
      <c r="C32">
        <v>-1</v>
      </c>
      <c r="D32">
        <v>-2</v>
      </c>
      <c r="E32">
        <v>-0.5</v>
      </c>
      <c r="F32">
        <v>0</v>
      </c>
      <c r="G32">
        <v>-1</v>
      </c>
      <c r="H32">
        <v>-2</v>
      </c>
      <c r="I32">
        <v>-0.5</v>
      </c>
      <c r="J32">
        <v>0</v>
      </c>
      <c r="K32">
        <v>-1</v>
      </c>
      <c r="L32">
        <v>-2</v>
      </c>
      <c r="M32">
        <v>-0.5</v>
      </c>
      <c r="N32" t="s">
        <v>16</v>
      </c>
      <c r="O32" t="s">
        <v>17</v>
      </c>
      <c r="P32" t="s">
        <v>18</v>
      </c>
      <c r="Q32" s="16"/>
      <c r="R32" s="16"/>
      <c r="S32" s="16"/>
      <c r="T32" s="16"/>
      <c r="U32" s="16"/>
      <c r="V32" s="15"/>
      <c r="W32" s="15"/>
      <c r="X32" s="15"/>
      <c r="Y32" s="15"/>
      <c r="Z32" s="8"/>
      <c r="AA32" s="11"/>
      <c r="AB32" s="4"/>
      <c r="AC32" s="8"/>
      <c r="AD32" s="7"/>
      <c r="AE32" s="8"/>
      <c r="AF32" s="4"/>
      <c r="AH32" s="14"/>
      <c r="AI32" s="17"/>
    </row>
    <row r="33" spans="1:42">
      <c r="A33">
        <v>0</v>
      </c>
      <c r="B33">
        <v>752</v>
      </c>
      <c r="C33">
        <f t="shared" ref="C33:C42" si="1">B33-1</f>
        <v>751</v>
      </c>
      <c r="D33">
        <f t="shared" ref="D33:D42" si="2">B33-2</f>
        <v>750</v>
      </c>
      <c r="E33">
        <f t="shared" ref="E33:E42" si="3">B33-0.5</f>
        <v>751.5</v>
      </c>
      <c r="F33">
        <v>-3888.1997635851999</v>
      </c>
      <c r="G33">
        <v>-3888.0264445276498</v>
      </c>
      <c r="H33">
        <v>-3887.8228530626702</v>
      </c>
      <c r="I33">
        <v>-3888.1169118757798</v>
      </c>
      <c r="J33" s="7">
        <f t="shared" ref="J33:M34" si="4">F33-B33*($H$20+$I$20)</f>
        <v>-3782.81957341828</v>
      </c>
      <c r="K33" s="7">
        <f t="shared" si="4"/>
        <v>-3782.7863875923349</v>
      </c>
      <c r="L33" s="7">
        <f t="shared" si="4"/>
        <v>-3782.7229293589603</v>
      </c>
      <c r="M33" s="7">
        <f t="shared" si="4"/>
        <v>-3782.8067883246622</v>
      </c>
      <c r="N33" s="8">
        <f t="array" ref="N33:P33">LINEST(TRANSPOSE(J33:L33),TRANSPOSE(B33:D33)^{1,2},TRUE,FALSE)</f>
        <v>1.5136203714749987E-2</v>
      </c>
      <c r="O33" s="8">
        <v>-22.782900009214327</v>
      </c>
      <c r="P33" s="8">
        <v>4790.3374880049196</v>
      </c>
      <c r="Q33" s="26"/>
      <c r="R33" s="26"/>
      <c r="S33" s="26"/>
      <c r="T33" s="26"/>
      <c r="U33" s="16"/>
      <c r="V33" s="15"/>
      <c r="W33" s="15"/>
      <c r="X33" s="15"/>
      <c r="Y33" s="15"/>
      <c r="Z33" s="8">
        <f>B33</f>
        <v>752</v>
      </c>
      <c r="AA33" s="11">
        <f>-(O33/(2*N33))</f>
        <v>752.59624006687875</v>
      </c>
      <c r="AB33" s="4">
        <f>N33*AA33^2+(O33)*AA33+P33</f>
        <v>-3782.8249543722595</v>
      </c>
      <c r="AC33" s="8">
        <f>1/2/N33/27.2/6240000000000000000</f>
        <v>1.9462541268181954E-19</v>
      </c>
      <c r="AD33" s="7">
        <f>27.2*(-O33-I$20-2*Z33*N33)</f>
        <v>-0.35537139993401751</v>
      </c>
      <c r="AE33" s="8">
        <f>Z33-AA33</f>
        <v>-0.59624006687874953</v>
      </c>
      <c r="AF33" s="4">
        <f>AB33*627.5096</f>
        <v>-2373758.9739881549</v>
      </c>
      <c r="AG33" s="7">
        <f>AG$30*(9-A33)+AF33/23</f>
        <v>-103320.15317885751</v>
      </c>
      <c r="AH33" s="7">
        <f>AG33-MIN(AG$33:AG$46)</f>
        <v>1.018988793817698</v>
      </c>
      <c r="AK33" s="8"/>
      <c r="AN33" s="8"/>
      <c r="AO33" s="8"/>
    </row>
    <row r="34" spans="1:42">
      <c r="A34">
        <v>1</v>
      </c>
      <c r="B34">
        <f>B33+1</f>
        <v>753</v>
      </c>
      <c r="C34">
        <f t="shared" si="1"/>
        <v>752</v>
      </c>
      <c r="D34">
        <f t="shared" si="2"/>
        <v>751</v>
      </c>
      <c r="E34">
        <f t="shared" si="3"/>
        <v>752.5</v>
      </c>
      <c r="F34">
        <v>-3888.8079239840299</v>
      </c>
      <c r="G34">
        <v>-3888.6344987902598</v>
      </c>
      <c r="H34">
        <v>-3888.4302753401798</v>
      </c>
      <c r="I34">
        <v>-3888.7250600724301</v>
      </c>
      <c r="J34" s="7">
        <f t="shared" si="4"/>
        <v>-3783.2876005855051</v>
      </c>
      <c r="K34" s="7">
        <f t="shared" si="4"/>
        <v>-3783.25430862334</v>
      </c>
      <c r="L34" s="7">
        <f t="shared" si="4"/>
        <v>-3783.1902184048649</v>
      </c>
      <c r="M34" s="7">
        <f t="shared" si="4"/>
        <v>-3783.2748032897075</v>
      </c>
      <c r="N34" s="8">
        <f t="array" ref="N34:P34">LINEST(TRANSPOSE(J34:L34),TRANSPOSE(B34:D34)^{1,2},TRUE,FALSE)</f>
        <v>1.5399128154981725E-2</v>
      </c>
      <c r="O34" s="8">
        <v>-23.20897983541257</v>
      </c>
      <c r="P34" s="8">
        <v>4961.6299594521279</v>
      </c>
      <c r="Q34" s="26"/>
      <c r="R34" s="26"/>
      <c r="S34" s="26"/>
      <c r="T34" s="26"/>
      <c r="U34" s="16"/>
      <c r="V34" s="15"/>
      <c r="W34" s="15"/>
      <c r="X34" s="15"/>
      <c r="Y34" s="15"/>
      <c r="Z34" s="8">
        <f>B34</f>
        <v>753</v>
      </c>
      <c r="AA34" s="11">
        <f>-(O34/(2*N34))</f>
        <v>753.58096905974196</v>
      </c>
      <c r="AB34" s="4">
        <f>N34*AA34^2+(O34)*AA34+P34</f>
        <v>-3783.292798176979</v>
      </c>
      <c r="AC34" s="8">
        <f>1/2/N34/27.2/6240000000000000000</f>
        <v>1.9130238184726647E-19</v>
      </c>
      <c r="AD34" s="7">
        <f>27.2*(-O34-I$20-2*Z34*N34)</f>
        <v>-0.35963603952497464</v>
      </c>
      <c r="AE34" s="8">
        <f>Z34-AA34</f>
        <v>-0.58096905974196034</v>
      </c>
      <c r="AF34" s="4">
        <f>AB34*627.5096</f>
        <v>-2374052.5504669165</v>
      </c>
      <c r="AG34" s="7">
        <f>AG$30*(9-A34)+AF34/23</f>
        <v>-103320.33501066083</v>
      </c>
      <c r="AH34" s="7">
        <f>AG34-MIN(AG$33:AG$46)</f>
        <v>0.8371569904993521</v>
      </c>
      <c r="AK34" s="8"/>
      <c r="AN34" s="8"/>
      <c r="AO34" s="8"/>
    </row>
    <row r="35" spans="1:42">
      <c r="A35">
        <v>2</v>
      </c>
      <c r="B35">
        <f t="shared" ref="B35:B46" si="5">B34+1</f>
        <v>754</v>
      </c>
      <c r="C35">
        <f t="shared" si="1"/>
        <v>753</v>
      </c>
      <c r="D35">
        <f t="shared" si="2"/>
        <v>752</v>
      </c>
      <c r="E35">
        <f t="shared" si="3"/>
        <v>753.5</v>
      </c>
      <c r="F35">
        <v>-3889.4170169506201</v>
      </c>
      <c r="G35">
        <v>-3889.2435322474898</v>
      </c>
      <c r="H35">
        <v>-3889.0390942906902</v>
      </c>
      <c r="I35">
        <v>-3888.7250600724301</v>
      </c>
      <c r="J35" s="7">
        <f>F35-B35*($H$20+$I$20)</f>
        <v>-3783.7565603204903</v>
      </c>
      <c r="K35" s="7">
        <f>G35-C35*($H$20+$I$20)</f>
        <v>-3783.723208848965</v>
      </c>
      <c r="L35" s="7">
        <f>H35-D35*($H$20+$I$20)</f>
        <v>-3783.6589041237703</v>
      </c>
      <c r="M35" s="7">
        <f>I35-E35*($H$20+$I$20)</f>
        <v>-3783.134670058103</v>
      </c>
      <c r="N35" s="8">
        <f t="array" ref="N35:P35">LINEST(TRANSPOSE(J35:L35),TRANSPOSE(B35:D35)^{1,2},TRUE,FALSE)</f>
        <v>1.5476626834697516E-2</v>
      </c>
      <c r="O35" s="8">
        <v>-23.356628111414452</v>
      </c>
      <c r="P35" s="8">
        <v>5028.4310541311133</v>
      </c>
      <c r="Q35" s="16"/>
      <c r="R35" s="16"/>
      <c r="S35" s="16"/>
      <c r="T35" s="16"/>
      <c r="U35" s="16"/>
      <c r="V35" s="15"/>
      <c r="W35" s="15"/>
      <c r="X35" s="15"/>
      <c r="Y35" s="15"/>
      <c r="Z35" s="8">
        <f>B35</f>
        <v>754</v>
      </c>
      <c r="AA35" s="11">
        <f>-(O35/(2*N35))</f>
        <v>754.57747870002663</v>
      </c>
      <c r="AB35" s="4">
        <f>N35*AA35^2+(O35)*AA35+P35</f>
        <v>-3783.7617214915299</v>
      </c>
      <c r="AC35" s="8">
        <f>1/2/N35/27.2/6240000000000000000</f>
        <v>1.9034444171095647E-19</v>
      </c>
      <c r="AD35" s="7">
        <f>27.2*(-O35-I$20-2*Z35*N35)</f>
        <v>-0.36012534901524873</v>
      </c>
      <c r="AE35" s="8">
        <f>Z35-AA35</f>
        <v>-0.57747870002663149</v>
      </c>
      <c r="AF35" s="4">
        <f>AB35*627.5096</f>
        <v>-2374346.8043484613</v>
      </c>
      <c r="AG35" s="7">
        <f>AG$30*(9-A35)+AF35/23</f>
        <v>-103320.54629475906</v>
      </c>
      <c r="AH35" s="7">
        <f>AG35-MIN(AG$33:AG$46)</f>
        <v>0.62587289226939902</v>
      </c>
      <c r="AI35" t="s">
        <v>80</v>
      </c>
      <c r="AK35" s="8"/>
      <c r="AM35" t="s">
        <v>81</v>
      </c>
      <c r="AN35" t="s">
        <v>82</v>
      </c>
      <c r="AO35" s="23" t="s">
        <v>83</v>
      </c>
    </row>
    <row r="36" spans="1:42">
      <c r="A36">
        <v>3</v>
      </c>
      <c r="B36">
        <f t="shared" si="5"/>
        <v>755</v>
      </c>
      <c r="C36">
        <f t="shared" si="1"/>
        <v>754</v>
      </c>
      <c r="D36">
        <f t="shared" si="2"/>
        <v>753</v>
      </c>
      <c r="E36">
        <f t="shared" si="3"/>
        <v>754.5</v>
      </c>
      <c r="J36" s="7"/>
      <c r="K36" s="7"/>
      <c r="L36" s="7"/>
      <c r="M36" s="7"/>
      <c r="N36" s="8"/>
      <c r="O36" s="8"/>
      <c r="P36" s="8"/>
      <c r="Q36" s="16"/>
      <c r="R36" s="16"/>
      <c r="S36" s="16"/>
      <c r="T36" s="16"/>
      <c r="U36" s="16"/>
      <c r="V36" s="15"/>
      <c r="W36" s="15"/>
      <c r="X36" s="15"/>
      <c r="Y36" s="15"/>
      <c r="Z36" s="8"/>
      <c r="AA36" s="11"/>
      <c r="AB36" s="4"/>
      <c r="AC36" s="8"/>
      <c r="AD36" s="7"/>
      <c r="AE36" s="8"/>
      <c r="AF36" s="4"/>
      <c r="AG36" s="7"/>
      <c r="AH36" s="7"/>
      <c r="AI36">
        <v>-0.08</v>
      </c>
      <c r="AK36" s="21">
        <v>0</v>
      </c>
      <c r="AL36" s="7">
        <f>AK36/9*100</f>
        <v>0</v>
      </c>
      <c r="AM36">
        <v>0</v>
      </c>
      <c r="AN36">
        <v>6.8289439514046493E-2</v>
      </c>
      <c r="AO36" s="8">
        <f>AH33</f>
        <v>1.018988793817698</v>
      </c>
    </row>
    <row r="37" spans="1:42">
      <c r="A37">
        <v>4</v>
      </c>
      <c r="B37">
        <f t="shared" si="5"/>
        <v>756</v>
      </c>
      <c r="C37">
        <f t="shared" si="1"/>
        <v>755</v>
      </c>
      <c r="D37">
        <f t="shared" si="2"/>
        <v>754</v>
      </c>
      <c r="E37">
        <f t="shared" si="3"/>
        <v>755.5</v>
      </c>
      <c r="F37">
        <v>-3890.6273199503498</v>
      </c>
      <c r="G37">
        <v>-3890.4532262257499</v>
      </c>
      <c r="H37">
        <v>-3890.2463500322701</v>
      </c>
      <c r="I37">
        <v>-3890.5377382452002</v>
      </c>
      <c r="J37" s="7">
        <f>F37-B37*($H$20+$I$20)</f>
        <v>-3784.68659685701</v>
      </c>
      <c r="K37" s="7">
        <f>G37-C37*($H$20+$I$20)</f>
        <v>-3784.6526363640151</v>
      </c>
      <c r="L37" s="7">
        <f>H37-D37*($H$20+$I$20)</f>
        <v>-3784.5858934021403</v>
      </c>
      <c r="M37" s="7">
        <f>I37-E37*($H$20+$I$20)</f>
        <v>-3784.6670817676631</v>
      </c>
      <c r="N37" s="8">
        <f t="array" ref="N37:P37">LINEST(TRANSPOSE(J37:L37),TRANSPOSE(B37:D37)^{1,2},TRUE,FALSE)</f>
        <v>1.639123443987818E-2</v>
      </c>
      <c r="O37" s="8">
        <v>-24.801115731650928</v>
      </c>
      <c r="P37" s="8">
        <v>5596.7763294408742</v>
      </c>
      <c r="Q37" s="16"/>
      <c r="R37" s="16"/>
      <c r="S37" s="16"/>
      <c r="T37" s="16"/>
      <c r="U37" s="16"/>
      <c r="V37" s="15"/>
      <c r="W37" s="15"/>
      <c r="X37" s="15"/>
      <c r="Y37" s="15"/>
      <c r="Z37" s="8">
        <f>B37</f>
        <v>756</v>
      </c>
      <c r="AA37" s="11">
        <f>-(O37/(2*N37))</f>
        <v>756.53593457587226</v>
      </c>
      <c r="AB37" s="4">
        <f>N37*AA37^2+(O37)*AA37+P37</f>
        <v>-3784.6913048435763</v>
      </c>
      <c r="AC37" s="8">
        <f>1/2/N37/27.2/6240000000000000000</f>
        <v>1.7972349216434002E-19</v>
      </c>
      <c r="AD37" s="7">
        <f>27.2*(-O37-I$20-2*Z37*N37)</f>
        <v>-0.36843729190017599</v>
      </c>
      <c r="AE37" s="8">
        <f>Z37-AA37</f>
        <v>-0.53593457587226112</v>
      </c>
      <c r="AF37" s="4">
        <f>AB37*627.5096</f>
        <v>-2374930.1268258705</v>
      </c>
      <c r="AG37" s="7">
        <f>AG$30*(9-A37)+AF37/23</f>
        <v>-103320.74341575205</v>
      </c>
      <c r="AH37" s="7">
        <f>AG37-MIN(AG$33:AG$46)</f>
        <v>0.4287518992787227</v>
      </c>
      <c r="AK37" s="21">
        <v>2</v>
      </c>
      <c r="AL37" s="7">
        <f>AK37/9*100</f>
        <v>22.222222222222221</v>
      </c>
      <c r="AM37">
        <v>7.7603696860023774E-2</v>
      </c>
      <c r="AN37">
        <v>5.4322958181728609E-2</v>
      </c>
      <c r="AO37" s="8">
        <f>AH35</f>
        <v>0.62587289226939902</v>
      </c>
    </row>
    <row r="38" spans="1:42">
      <c r="A38">
        <v>5</v>
      </c>
      <c r="B38">
        <f t="shared" si="5"/>
        <v>757</v>
      </c>
      <c r="C38">
        <f t="shared" si="1"/>
        <v>756</v>
      </c>
      <c r="D38">
        <f t="shared" si="2"/>
        <v>755</v>
      </c>
      <c r="E38">
        <f t="shared" si="3"/>
        <v>756.5</v>
      </c>
      <c r="J38" s="7"/>
      <c r="K38" s="7"/>
      <c r="L38" s="7"/>
      <c r="M38" s="7"/>
      <c r="N38" s="8" t="e">
        <f t="array" ref="N38:P38">LINEST(TRANSPOSE(J38:M38),TRANSPOSE(B38:E38)^{1,2},TRUE,FALSE)</f>
        <v>#VALUE!</v>
      </c>
      <c r="O38" s="8" t="e">
        <v>#VALUE!</v>
      </c>
      <c r="P38" s="8" t="e">
        <v>#VALUE!</v>
      </c>
      <c r="Q38" s="16"/>
      <c r="R38" s="16"/>
      <c r="S38" s="16"/>
      <c r="T38" s="16"/>
      <c r="U38" s="16"/>
      <c r="V38" s="15"/>
      <c r="W38" s="15"/>
      <c r="X38" s="15"/>
      <c r="Y38" s="15"/>
      <c r="Z38" s="8"/>
      <c r="AA38" s="11"/>
      <c r="AB38" s="4"/>
      <c r="AC38" s="8"/>
      <c r="AD38" s="7"/>
      <c r="AE38" s="8"/>
      <c r="AF38" s="4"/>
      <c r="AG38" s="7"/>
      <c r="AH38" s="7"/>
      <c r="AK38" s="21">
        <v>5</v>
      </c>
      <c r="AL38" s="7">
        <f>AK38/9*100</f>
        <v>55.555555555555557</v>
      </c>
      <c r="AM38">
        <v>0.17291141122404952</v>
      </c>
      <c r="AN38">
        <v>0</v>
      </c>
      <c r="AO38" s="8">
        <f>AH38</f>
        <v>0</v>
      </c>
    </row>
    <row r="39" spans="1:42">
      <c r="A39">
        <v>6</v>
      </c>
      <c r="B39">
        <f t="shared" si="5"/>
        <v>758</v>
      </c>
      <c r="C39">
        <f t="shared" si="1"/>
        <v>757</v>
      </c>
      <c r="D39">
        <f t="shared" si="2"/>
        <v>756</v>
      </c>
      <c r="E39">
        <f t="shared" si="3"/>
        <v>757.5</v>
      </c>
      <c r="F39">
        <v>-3891.8396850120498</v>
      </c>
      <c r="G39">
        <v>-3891.6664305137201</v>
      </c>
      <c r="H39">
        <v>-3891.4589869062602</v>
      </c>
      <c r="J39" s="7">
        <f t="shared" ref="J39:M40" si="6">F39-B39*($H$20+$I$20)</f>
        <v>-3785.6186954555001</v>
      </c>
      <c r="K39" s="7">
        <f t="shared" si="6"/>
        <v>-3785.5855741887754</v>
      </c>
      <c r="L39" s="7">
        <f t="shared" si="6"/>
        <v>-3785.5182638129204</v>
      </c>
      <c r="M39" s="7">
        <f t="shared" si="6"/>
        <v>106.15092294074711</v>
      </c>
      <c r="N39" s="8">
        <f t="array" ref="N39:P39">LINEST(TRANSPOSE(J39:L39),TRANSPOSE(B39:D39)^{1,2},TRUE,FALSE)</f>
        <v>1.7094554565117458E-2</v>
      </c>
      <c r="O39" s="8">
        <v>-25.931371432877665</v>
      </c>
      <c r="P39" s="8">
        <v>6048.445201513623</v>
      </c>
      <c r="Q39" s="16"/>
      <c r="R39" s="16"/>
      <c r="S39" s="16"/>
      <c r="T39" s="16"/>
      <c r="U39" s="16"/>
      <c r="V39" s="15"/>
      <c r="W39" s="15"/>
      <c r="X39" s="15"/>
      <c r="Y39" s="15"/>
      <c r="Z39" s="8">
        <f>B39</f>
        <v>758</v>
      </c>
      <c r="AA39" s="11">
        <f>-(O39/(2*N39))</f>
        <v>758.46876659168129</v>
      </c>
      <c r="AB39" s="4">
        <f>N39*AA39^2+(O39)*AA39+P39</f>
        <v>-3785.6224518491181</v>
      </c>
      <c r="AC39" s="8">
        <f>1/2/N39/27.2/6240000000000000000</f>
        <v>1.7232914044046429E-19</v>
      </c>
      <c r="AD39" s="7">
        <f>27.2*(-O39-I$20-2*Z39*N39)</f>
        <v>-0.41039455385840712</v>
      </c>
      <c r="AE39" s="8">
        <f>Z39-AA39</f>
        <v>-0.46876659168128754</v>
      </c>
      <c r="AF39" s="4">
        <f>AB39*627.5096</f>
        <v>-2375514.4305108595</v>
      </c>
      <c r="AG39" s="7">
        <f>AG$30*(9-A39)+AF39/23</f>
        <v>-103320.98319794415</v>
      </c>
      <c r="AH39" s="7">
        <f>AG39-MIN(AG$33:AG$46)</f>
        <v>0.1889697071746923</v>
      </c>
      <c r="AK39" s="21">
        <v>7</v>
      </c>
      <c r="AL39" s="7">
        <f>AK39/9*100</f>
        <v>77.777777777777786</v>
      </c>
      <c r="AM39">
        <v>0.36234219565812964</v>
      </c>
      <c r="AN39">
        <v>9.0485037988401018E-2</v>
      </c>
      <c r="AO39" s="8">
        <f>AH40</f>
        <v>0.27159452896739822</v>
      </c>
    </row>
    <row r="40" spans="1:42">
      <c r="A40" s="14">
        <v>7</v>
      </c>
      <c r="B40">
        <f t="shared" si="5"/>
        <v>759</v>
      </c>
      <c r="C40">
        <f t="shared" si="1"/>
        <v>758</v>
      </c>
      <c r="D40">
        <f t="shared" si="2"/>
        <v>757</v>
      </c>
      <c r="E40">
        <f t="shared" si="3"/>
        <v>758.5</v>
      </c>
      <c r="F40">
        <v>-3892.4378419336599</v>
      </c>
      <c r="G40">
        <v>-3892.2639993427802</v>
      </c>
      <c r="H40">
        <v>-3892.0555346586002</v>
      </c>
      <c r="I40">
        <v>-3892.3552578839299</v>
      </c>
      <c r="J40" s="7">
        <f t="shared" si="6"/>
        <v>-3786.0767191455052</v>
      </c>
      <c r="K40" s="7">
        <f t="shared" si="6"/>
        <v>-3786.0430097862304</v>
      </c>
      <c r="L40" s="7">
        <f t="shared" si="6"/>
        <v>-3785.9746783336554</v>
      </c>
      <c r="M40" s="7">
        <f t="shared" si="6"/>
        <v>-3786.0642017115779</v>
      </c>
      <c r="N40" s="8">
        <f t="array" ref="N40:P40">LINEST(TRANSPOSE(J40:L40),TRANSPOSE(B40:D40)^{1,2},TRUE,FALSE)</f>
        <v>1.7311046650096508E-2</v>
      </c>
      <c r="O40" s="8">
        <v>-26.294567127471183</v>
      </c>
      <c r="P40" s="8">
        <v>6198.9346653708762</v>
      </c>
      <c r="Q40" s="16"/>
      <c r="R40" s="16"/>
      <c r="S40" s="16"/>
      <c r="T40" s="16"/>
      <c r="U40" s="16"/>
      <c r="V40" s="15"/>
      <c r="W40" s="15"/>
      <c r="X40" s="15"/>
      <c r="Y40" s="15"/>
      <c r="Z40" s="8">
        <f>B40</f>
        <v>759</v>
      </c>
      <c r="AA40" s="11">
        <f>-(O40/(2*N40))</f>
        <v>759.47363723742819</v>
      </c>
      <c r="AB40" s="4">
        <f>N40*AA40^2+(O40)*AA40+P40</f>
        <v>-3786.08060257125</v>
      </c>
      <c r="AC40" s="8">
        <f>1/2/N40/27.2/6240000000000000000</f>
        <v>1.7017399086050542E-19</v>
      </c>
      <c r="AD40" s="7">
        <f>27.2*(-O40-I$20-2*Z40*N40)</f>
        <v>-0.40028702120804383</v>
      </c>
      <c r="AE40" s="8">
        <f>Z40-AA40</f>
        <v>-0.47363723742819275</v>
      </c>
      <c r="AF40" s="4">
        <f>AB40*627.5096</f>
        <v>-2375801.9244872439</v>
      </c>
      <c r="AG40" s="7">
        <f>AG$30*(9-A40)+AF40/23</f>
        <v>-103320.90057312236</v>
      </c>
      <c r="AH40" s="7">
        <f>AG40-MIN(AG$33:AG$46)</f>
        <v>0.27159452896739822</v>
      </c>
      <c r="AK40" s="21">
        <v>9</v>
      </c>
      <c r="AL40" s="7">
        <f>AK40/9*100</f>
        <v>100</v>
      </c>
      <c r="AM40">
        <v>0.62238058961520437</v>
      </c>
      <c r="AN40">
        <v>0.24940274153777864</v>
      </c>
      <c r="AO40" s="8">
        <v>0</v>
      </c>
    </row>
    <row r="41" spans="1:42">
      <c r="A41">
        <v>8</v>
      </c>
      <c r="B41">
        <f t="shared" si="5"/>
        <v>760</v>
      </c>
      <c r="C41">
        <f t="shared" si="1"/>
        <v>759</v>
      </c>
      <c r="D41">
        <f t="shared" si="2"/>
        <v>758</v>
      </c>
      <c r="E41">
        <f t="shared" si="3"/>
        <v>759.5</v>
      </c>
      <c r="J41" s="7"/>
      <c r="K41" s="7"/>
      <c r="L41" s="7"/>
      <c r="M41" s="7"/>
      <c r="N41" s="8" t="e">
        <f t="array" ref="N41:P41">LINEST(TRANSPOSE(J41:M41),TRANSPOSE(B41:E41)^{1,2},TRUE,FALSE)</f>
        <v>#VALUE!</v>
      </c>
      <c r="O41" s="8" t="e">
        <v>#VALUE!</v>
      </c>
      <c r="P41" s="8" t="e">
        <v>#VALUE!</v>
      </c>
      <c r="Q41" s="16"/>
      <c r="R41" s="16"/>
      <c r="S41" s="16"/>
      <c r="T41" s="16"/>
      <c r="U41" s="16"/>
      <c r="V41" s="15"/>
      <c r="W41" s="15"/>
      <c r="X41" s="15"/>
      <c r="Y41" s="15"/>
      <c r="Z41" s="8"/>
      <c r="AA41" s="11"/>
      <c r="AB41" s="4"/>
      <c r="AC41" s="8"/>
      <c r="AD41" s="7"/>
      <c r="AE41" s="8"/>
      <c r="AF41" s="4"/>
      <c r="AG41" s="7"/>
      <c r="AH41" s="7"/>
      <c r="AK41" s="8"/>
      <c r="AN41" s="8"/>
      <c r="AO41" s="8"/>
    </row>
    <row r="42" spans="1:42">
      <c r="A42">
        <v>9</v>
      </c>
      <c r="B42">
        <f t="shared" si="5"/>
        <v>761</v>
      </c>
      <c r="C42">
        <f t="shared" si="1"/>
        <v>760</v>
      </c>
      <c r="D42">
        <f t="shared" si="2"/>
        <v>759</v>
      </c>
      <c r="E42">
        <f t="shared" si="3"/>
        <v>760.5</v>
      </c>
      <c r="F42">
        <v>-3893.6508570762298</v>
      </c>
      <c r="G42">
        <v>-3893.4788101456102</v>
      </c>
      <c r="H42">
        <v>-3893.2709789371902</v>
      </c>
      <c r="J42" s="7">
        <f t="shared" ref="J42:L43" si="7">F42-B42*($H$20+$I$20)</f>
        <v>-3787.0094678248656</v>
      </c>
      <c r="K42" s="7">
        <f t="shared" si="7"/>
        <v>-3786.9775541258505</v>
      </c>
      <c r="L42" s="7">
        <f t="shared" si="7"/>
        <v>-3786.9098561490355</v>
      </c>
      <c r="M42" s="7"/>
      <c r="N42" s="8">
        <f t="array" ref="N42:P42">LINEST(TRANSPOSE(J42:L42),TRANSPOSE(B42:D42)^{1,2},TRUE,FALSE)</f>
        <v>1.789213889992913E-2</v>
      </c>
      <c r="O42" s="8">
        <v>-27.245856965807349</v>
      </c>
      <c r="P42" s="8">
        <v>6585.3743112886714</v>
      </c>
      <c r="Q42" s="16"/>
      <c r="R42" s="16"/>
      <c r="S42" s="16"/>
      <c r="T42" s="16"/>
      <c r="U42" s="16"/>
      <c r="V42" s="15"/>
      <c r="W42" s="15"/>
      <c r="X42" s="15"/>
      <c r="Y42" s="15"/>
      <c r="Z42" s="8">
        <f>B42</f>
        <v>761</v>
      </c>
      <c r="AA42" s="11">
        <f>-(O42/(2*N42))</f>
        <v>761.39183577194535</v>
      </c>
      <c r="AB42" s="4">
        <f>N42*AA42^2+(O42)*AA42+P42</f>
        <v>-3787.0122148992796</v>
      </c>
      <c r="AC42" s="8">
        <f>1/2/N42/27.2/6240000000000000000</f>
        <v>1.6464716213615885E-19</v>
      </c>
      <c r="AD42" s="7">
        <f>27.2*(-O42-I$20-2*Z42*N42)</f>
        <v>-0.46493468946562189</v>
      </c>
      <c r="AE42" s="8">
        <f>Z42-AA42</f>
        <v>-0.39183577194535246</v>
      </c>
      <c r="AF42" s="4">
        <f>AB42*627.5096</f>
        <v>-2376386.520166561</v>
      </c>
      <c r="AG42" s="7">
        <f>AG$30*(9-A42)+AF42/23</f>
        <v>-103321.15305072004</v>
      </c>
      <c r="AH42" s="7">
        <f>AG42-MIN(AG$33:AG$46)</f>
        <v>1.9116931289318018E-2</v>
      </c>
      <c r="AK42" s="8"/>
      <c r="AN42" s="8"/>
      <c r="AO42" s="8"/>
    </row>
    <row r="43" spans="1:42">
      <c r="A43">
        <v>10</v>
      </c>
      <c r="B43">
        <f t="shared" si="5"/>
        <v>762</v>
      </c>
      <c r="C43">
        <f>B43-1</f>
        <v>761</v>
      </c>
      <c r="D43">
        <f>B43-2</f>
        <v>760</v>
      </c>
      <c r="E43">
        <f>B43-0.5</f>
        <v>761.5</v>
      </c>
      <c r="F43">
        <v>-3894.2512232413501</v>
      </c>
      <c r="G43">
        <v>-3894.0793824581301</v>
      </c>
      <c r="H43">
        <v>-3893.8713880710002</v>
      </c>
      <c r="I43">
        <v>-3894.1698128605999</v>
      </c>
      <c r="J43" s="7">
        <f t="shared" si="7"/>
        <v>-3787.4697007583809</v>
      </c>
      <c r="K43" s="7">
        <f t="shared" si="7"/>
        <v>-3787.4379932067659</v>
      </c>
      <c r="L43" s="7">
        <f t="shared" si="7"/>
        <v>-3787.3701320512409</v>
      </c>
      <c r="M43" s="7">
        <f>I43-E43*($H$20+$I$20)</f>
        <v>-3787.458356993433</v>
      </c>
      <c r="N43" s="8">
        <f t="array" ref="N43:P43">LINEST(TRANSPOSE(J43:L43),TRANSPOSE(B43:D43)^{1,2},TRUE,FALSE)</f>
        <v>1.8076801954971643E-2</v>
      </c>
      <c r="O43" s="8">
        <v>-27.562676929036819</v>
      </c>
      <c r="P43" s="8">
        <v>6719.103524825121</v>
      </c>
      <c r="Q43" s="16"/>
      <c r="R43" s="16"/>
      <c r="S43" s="16"/>
      <c r="T43" s="16"/>
      <c r="U43" s="16"/>
      <c r="V43" s="15"/>
      <c r="W43" s="15"/>
      <c r="X43" s="15"/>
      <c r="Y43" s="15"/>
      <c r="Z43" s="8">
        <f>B43</f>
        <v>762</v>
      </c>
      <c r="AA43" s="11">
        <f>-(O43/(2*N43))</f>
        <v>762.3770232614703</v>
      </c>
      <c r="AB43" s="4">
        <f>N43*AA43^2+(O43)*AA43+P43</f>
        <v>-3787.4722703132265</v>
      </c>
      <c r="AC43" s="8">
        <f>1/2/N43/27.2/6240000000000000000</f>
        <v>1.6296521374507295E-19</v>
      </c>
      <c r="AD43" s="7">
        <f>27.2*(-O43-I$20-2*Z43*N43)</f>
        <v>-0.47556473384651099</v>
      </c>
      <c r="AE43" s="8">
        <f>Z43-AA43</f>
        <v>-0.37702326147029908</v>
      </c>
      <c r="AF43" s="4">
        <f>AB43*627.5096</f>
        <v>-2376675.2093553445</v>
      </c>
      <c r="AG43" s="7">
        <f>AG$30*(9-A43)+AF43/23</f>
        <v>-103321.12239165475</v>
      </c>
      <c r="AH43" s="7">
        <f>AG43-MIN(AG$33:AG$46)</f>
        <v>4.9775996580137871E-2</v>
      </c>
      <c r="AK43" s="8"/>
      <c r="AN43" s="8"/>
      <c r="AO43" s="8"/>
    </row>
    <row r="44" spans="1:42">
      <c r="A44">
        <v>11</v>
      </c>
      <c r="B44">
        <f t="shared" si="5"/>
        <v>763</v>
      </c>
      <c r="C44">
        <f>B44-1</f>
        <v>762</v>
      </c>
      <c r="D44">
        <f>B44-2</f>
        <v>761</v>
      </c>
      <c r="E44">
        <f>B44-0.5</f>
        <v>762.5</v>
      </c>
      <c r="F44">
        <v>-3894.8544708629302</v>
      </c>
      <c r="G44">
        <v>-3894.6828668201501</v>
      </c>
      <c r="H44">
        <v>-3894.47502092287</v>
      </c>
      <c r="J44" s="7">
        <f>F44-B44*($H$20+$I$20)</f>
        <v>-3787.932815148356</v>
      </c>
      <c r="K44" s="7">
        <f>G44-C44*($H$20+$I$20)</f>
        <v>-3787.9013443371809</v>
      </c>
      <c r="L44" s="7">
        <f>H44-D44*($H$20+$I$20)</f>
        <v>-3787.8336316715058</v>
      </c>
      <c r="M44" s="7"/>
      <c r="N44" s="8">
        <f t="array" ref="N44:P44">LINEST(TRANSPOSE(J44:L44),TRANSPOSE(B44:D44)^{1,2},TRUE,FALSE)</f>
        <v>1.8120927250035963E-2</v>
      </c>
      <c r="O44" s="8">
        <v>-27.665884867479889</v>
      </c>
      <c r="P44" s="8">
        <v>6771.6952425126146</v>
      </c>
      <c r="Q44" s="16"/>
      <c r="R44" s="16"/>
      <c r="S44" s="16"/>
      <c r="T44" s="16"/>
      <c r="U44" s="16"/>
      <c r="V44" s="15"/>
      <c r="W44" s="15"/>
      <c r="X44" s="15"/>
      <c r="Y44" s="15"/>
      <c r="Z44" s="8">
        <f>B44</f>
        <v>763</v>
      </c>
      <c r="AA44" s="11">
        <f>-(O44/(2*N44))</f>
        <v>763.36835543073505</v>
      </c>
      <c r="AB44" s="4">
        <f>N44*AA44^2+(O44)*AA44+P44</f>
        <v>-3787.9352738994767</v>
      </c>
      <c r="AC44" s="8">
        <f>1/2/N44/27.2/6240000000000000000</f>
        <v>1.6256838592039819E-19</v>
      </c>
      <c r="AD44" s="7">
        <f>27.2*(-O44-I$20-2*Z44*N44)</f>
        <v>-0.48320428183919262</v>
      </c>
      <c r="AE44" s="8">
        <f>Z44-AA44</f>
        <v>-0.3683554307350505</v>
      </c>
      <c r="AF44" s="4">
        <f>AB44*627.5096</f>
        <v>-2376965.748550551</v>
      </c>
      <c r="AG44" s="7">
        <f>AG$30*(9-A44)+AF44/23</f>
        <v>-103321.17216765133</v>
      </c>
      <c r="AH44" s="22">
        <f>AG44-MIN(AG$33:AG$46)</f>
        <v>0</v>
      </c>
      <c r="AK44" s="8"/>
      <c r="AN44" s="8"/>
      <c r="AO44" s="8"/>
      <c r="AP44">
        <v>1.8890000000000001E-3</v>
      </c>
    </row>
    <row r="45" spans="1:42">
      <c r="A45">
        <v>12</v>
      </c>
      <c r="B45">
        <f t="shared" si="5"/>
        <v>764</v>
      </c>
      <c r="C45">
        <f>B45-1</f>
        <v>763</v>
      </c>
      <c r="D45">
        <f>B45-2</f>
        <v>762</v>
      </c>
      <c r="E45">
        <f>B45-0.5</f>
        <v>763.5</v>
      </c>
      <c r="F45">
        <v>-3895.4540763257401</v>
      </c>
      <c r="G45">
        <v>-3895.28274393945</v>
      </c>
      <c r="H45">
        <v>-3895.07468460881</v>
      </c>
      <c r="I45">
        <v>-3895.3729998005001</v>
      </c>
      <c r="J45" s="7">
        <f t="shared" ref="J45:M46" si="8">F45-B45*($H$20+$I$20)</f>
        <v>-3788.3922873795609</v>
      </c>
      <c r="K45" s="7">
        <f t="shared" si="8"/>
        <v>-3788.3610882248759</v>
      </c>
      <c r="L45" s="7">
        <f t="shared" si="8"/>
        <v>-3788.2931621258408</v>
      </c>
      <c r="M45" s="7">
        <f t="shared" si="8"/>
        <v>-3788.3812774701232</v>
      </c>
      <c r="N45" s="8">
        <f t="array" ref="N45:P45">LINEST(TRANSPOSE(J45:L45),TRANSPOSE(B45:D45)^{1,2},TRUE,FALSE)</f>
        <v>1.8363472174990538E-2</v>
      </c>
      <c r="O45" s="8">
        <v>-28.072221165895616</v>
      </c>
      <c r="P45" s="8">
        <v>6940.0994287114154</v>
      </c>
      <c r="Q45" s="26"/>
      <c r="R45" s="26"/>
      <c r="S45" s="26"/>
      <c r="T45" s="26"/>
      <c r="U45" s="16"/>
      <c r="V45" s="15"/>
      <c r="W45" s="15"/>
      <c r="X45" s="15"/>
      <c r="Y45" s="15"/>
      <c r="Z45" s="8">
        <f>B45</f>
        <v>764</v>
      </c>
      <c r="AA45" s="11">
        <f>-(O45/(2*N45))</f>
        <v>764.34948952975117</v>
      </c>
      <c r="AB45" s="4">
        <f>N45*AA45^2+(O45)*AA45+P45</f>
        <v>-3788.3945303478795</v>
      </c>
      <c r="AC45" s="8">
        <f>1/2/N45/27.2/6240000000000000000</f>
        <v>1.6042118104610703E-19</v>
      </c>
      <c r="AD45" s="7">
        <f>27.2*(-O45-I$20-2*Z45*N45)</f>
        <v>-0.49719056032548109</v>
      </c>
      <c r="AE45" s="8">
        <f>Z45-AA45</f>
        <v>-0.34948952975116754</v>
      </c>
      <c r="AF45" s="4">
        <f>AB45*627.5096</f>
        <v>-2377253.9363807854</v>
      </c>
      <c r="AG45" s="7">
        <f>AG$30*(9-A45)+AF45/23</f>
        <v>-103321.11971038823</v>
      </c>
      <c r="AH45" s="22">
        <f>AG45-MIN(AG$33:AG$46)</f>
        <v>5.2457263096584938E-2</v>
      </c>
      <c r="AK45" s="8"/>
      <c r="AN45" s="8"/>
      <c r="AO45" s="8"/>
      <c r="AP45">
        <f>AP44*300</f>
        <v>0.56669999999999998</v>
      </c>
    </row>
    <row r="46" spans="1:42">
      <c r="A46">
        <v>13</v>
      </c>
      <c r="B46">
        <f t="shared" si="5"/>
        <v>765</v>
      </c>
      <c r="C46">
        <f>B46-1</f>
        <v>764</v>
      </c>
      <c r="D46">
        <f>B46-2</f>
        <v>763</v>
      </c>
      <c r="E46">
        <f>B46-0.5</f>
        <v>764.5</v>
      </c>
      <c r="F46">
        <v>-3896.0539228375601</v>
      </c>
      <c r="G46">
        <v>-3895.88283669353</v>
      </c>
      <c r="H46">
        <v>-3895.6747317672398</v>
      </c>
      <c r="I46">
        <v>-3895.97300513549</v>
      </c>
      <c r="J46" s="7">
        <f t="shared" si="8"/>
        <v>-3788.852000659776</v>
      </c>
      <c r="K46" s="7">
        <f t="shared" si="8"/>
        <v>-3788.8210477473508</v>
      </c>
      <c r="L46" s="7">
        <f t="shared" si="8"/>
        <v>-3788.7530760526656</v>
      </c>
      <c r="M46" s="7">
        <f t="shared" si="8"/>
        <v>-3788.8411495735081</v>
      </c>
      <c r="N46" s="8">
        <f t="array" ref="N46:P46">LINEST(TRANSPOSE(J46:L46),TRANSPOSE(B46:D46)^{1,2},TRUE,FALSE)</f>
        <v>1.8509391130004861E-2</v>
      </c>
      <c r="O46" s="8">
        <v>-28.331811950202599</v>
      </c>
      <c r="P46" s="8">
        <v>7052.8257171881196</v>
      </c>
      <c r="Q46" s="26"/>
      <c r="R46" s="26"/>
      <c r="S46" s="26"/>
      <c r="T46" s="26"/>
      <c r="U46" s="16"/>
      <c r="V46" s="15"/>
      <c r="W46" s="15"/>
      <c r="X46" s="15"/>
      <c r="Y46" s="15"/>
      <c r="Z46" s="8">
        <f>B46</f>
        <v>765</v>
      </c>
      <c r="AA46" s="11">
        <f>-(O46/(2*N46))</f>
        <v>765.33614075168009</v>
      </c>
      <c r="AB46" s="4">
        <f>N46*AA46^2+(O46)*AA46+P46</f>
        <v>-3788.854092047075</v>
      </c>
      <c r="AC46" s="8">
        <f>1/2/N46/27.2/6240000000000000000</f>
        <v>1.5915649919158269E-19</v>
      </c>
      <c r="AD46" s="7">
        <f>27.2*(-O46-I$20-2*Z46*N46)</f>
        <v>-0.5078573453710703</v>
      </c>
      <c r="AE46" s="8">
        <f>Z46-AA46</f>
        <v>-0.33614075168009094</v>
      </c>
      <c r="AF46" s="4">
        <f>AB46*627.5096</f>
        <v>-2377542.315758823</v>
      </c>
      <c r="AG46" s="7">
        <f>AG$30*(9-A46)+AF46/23</f>
        <v>-103321.07558129051</v>
      </c>
      <c r="AH46" s="22">
        <f>AG46-MIN(AG$33:AG$46)</f>
        <v>9.6586360814399086E-2</v>
      </c>
      <c r="AK46" s="8"/>
      <c r="AN46" s="8"/>
      <c r="AO46" s="8"/>
    </row>
    <row r="47" spans="1:42">
      <c r="J47" s="7"/>
      <c r="K47" s="7"/>
      <c r="L47" s="7"/>
      <c r="M47" s="7"/>
      <c r="N47" s="8"/>
      <c r="O47" s="8"/>
      <c r="P47" s="8"/>
      <c r="Q47" s="16"/>
      <c r="R47" s="16"/>
      <c r="S47" s="16"/>
      <c r="T47" s="16"/>
      <c r="U47" s="16"/>
      <c r="V47" s="15"/>
      <c r="W47" s="15"/>
      <c r="X47" s="15"/>
      <c r="Y47" s="15"/>
      <c r="Z47" s="8"/>
      <c r="AA47" s="11"/>
      <c r="AB47" s="4"/>
      <c r="AC47" s="8"/>
      <c r="AD47" s="7"/>
      <c r="AE47" s="8"/>
      <c r="AF47" s="4"/>
      <c r="AG47" s="9"/>
      <c r="AI47" s="7">
        <f>AH44-AH42</f>
        <v>-1.9116931289318018E-2</v>
      </c>
      <c r="AK47" s="8"/>
      <c r="AN47" s="8"/>
      <c r="AO47" s="8"/>
    </row>
    <row r="48" spans="1:42">
      <c r="A48" s="14"/>
      <c r="B48" s="17"/>
      <c r="N48" s="8"/>
      <c r="O48" s="8"/>
      <c r="P48" s="8"/>
      <c r="Q48" s="16"/>
      <c r="R48" s="16"/>
      <c r="S48" s="16"/>
      <c r="T48" s="16"/>
      <c r="U48" s="16"/>
      <c r="V48" s="15"/>
      <c r="W48" s="15"/>
      <c r="X48" s="15"/>
      <c r="Y48" s="15"/>
      <c r="Z48" s="8"/>
      <c r="AA48" s="11"/>
      <c r="AB48" s="4"/>
      <c r="AC48" s="8"/>
      <c r="AD48" s="7"/>
      <c r="AE48" s="8"/>
      <c r="AF48" s="4"/>
      <c r="AH48" s="14">
        <v>2</v>
      </c>
      <c r="AI48" s="17" t="s">
        <v>139</v>
      </c>
      <c r="AJ48">
        <v>1.4130076817578809</v>
      </c>
      <c r="AK48" s="8"/>
      <c r="AN48" s="8"/>
      <c r="AO48" s="8"/>
    </row>
    <row r="49" spans="1:41">
      <c r="J49" s="7"/>
      <c r="K49" s="7"/>
      <c r="L49" s="7"/>
      <c r="M49" s="7"/>
      <c r="N49" s="8"/>
      <c r="O49" s="8"/>
      <c r="P49" s="8"/>
      <c r="Q49" s="16"/>
      <c r="R49" s="16"/>
      <c r="S49" s="16"/>
      <c r="T49" s="16"/>
      <c r="U49" s="16"/>
      <c r="V49" s="15"/>
      <c r="W49" s="15"/>
      <c r="X49" s="15"/>
      <c r="Y49" s="15"/>
      <c r="Z49" s="8"/>
      <c r="AA49" s="11"/>
      <c r="AB49" s="4"/>
      <c r="AC49" s="8"/>
      <c r="AD49" s="7"/>
      <c r="AE49" s="8"/>
      <c r="AF49" s="4"/>
      <c r="AG49" s="7"/>
      <c r="AH49">
        <v>6</v>
      </c>
      <c r="AI49">
        <v>3.1805211249148466E-2</v>
      </c>
      <c r="AJ49">
        <v>1.3359212290721187</v>
      </c>
      <c r="AK49" s="8"/>
      <c r="AN49" s="8"/>
      <c r="AO49" s="8"/>
    </row>
    <row r="50" spans="1:41">
      <c r="J50" s="7"/>
      <c r="K50" s="7"/>
      <c r="L50" s="7"/>
      <c r="M50" s="7"/>
      <c r="N50" s="8"/>
      <c r="O50" s="8"/>
      <c r="P50" s="8"/>
      <c r="Q50" s="16"/>
      <c r="R50" s="16"/>
      <c r="S50" s="16"/>
      <c r="T50" s="16"/>
      <c r="U50" s="16"/>
      <c r="V50" s="15"/>
      <c r="W50" s="15"/>
      <c r="X50" s="15"/>
      <c r="Y50" s="15"/>
      <c r="Z50" s="8"/>
      <c r="AA50" s="11"/>
      <c r="AB50" s="4"/>
      <c r="AC50" s="8"/>
      <c r="AD50" s="7"/>
      <c r="AE50" s="8"/>
      <c r="AF50" s="4">
        <v>1.9462541268181947E-19</v>
      </c>
      <c r="AG50" s="7">
        <v>-0.35537139993537037</v>
      </c>
      <c r="AH50">
        <v>9</v>
      </c>
      <c r="AI50">
        <v>-2.2070289628675931E-2</v>
      </c>
      <c r="AJ50">
        <v>1.2039090977887099</v>
      </c>
      <c r="AK50" s="8"/>
      <c r="AN50" s="8"/>
      <c r="AO50" s="8"/>
    </row>
    <row r="51" spans="1:41">
      <c r="J51" s="7"/>
      <c r="K51" s="7"/>
      <c r="L51" s="7"/>
      <c r="M51" s="7"/>
      <c r="N51" s="8"/>
      <c r="O51" s="8"/>
      <c r="P51" s="8"/>
      <c r="Q51" s="16"/>
      <c r="R51" s="16"/>
      <c r="S51" s="16"/>
      <c r="T51" s="16"/>
      <c r="U51" s="16"/>
      <c r="V51" s="15"/>
      <c r="W51" s="15"/>
      <c r="X51" s="15"/>
      <c r="Y51" s="15"/>
      <c r="Z51" s="8"/>
      <c r="AA51" s="11"/>
      <c r="AB51" s="4"/>
      <c r="AC51" s="8"/>
      <c r="AD51" s="7"/>
      <c r="AE51" s="8"/>
      <c r="AF51" s="4">
        <v>1.9034444171095659E-19</v>
      </c>
      <c r="AG51" s="7">
        <v>-0.36012534901669824</v>
      </c>
      <c r="AH51">
        <v>11</v>
      </c>
      <c r="AI51">
        <v>-7.0351868102003515E-2</v>
      </c>
      <c r="AJ51">
        <f>P64</f>
        <v>1.1346570583904394</v>
      </c>
      <c r="AK51" s="8"/>
      <c r="AN51" s="8"/>
      <c r="AO51" s="8"/>
    </row>
    <row r="52" spans="1:41">
      <c r="J52" s="7"/>
      <c r="K52" s="7"/>
      <c r="L52" s="7" t="s">
        <v>29</v>
      </c>
      <c r="M52" s="8" t="s">
        <v>92</v>
      </c>
      <c r="N52" s="4" t="s">
        <v>135</v>
      </c>
      <c r="O52" s="9" t="s">
        <v>136</v>
      </c>
      <c r="P52" t="s">
        <v>137</v>
      </c>
      <c r="Q52" t="s">
        <v>93</v>
      </c>
      <c r="R52" s="16"/>
      <c r="S52" s="16"/>
      <c r="T52" s="16"/>
      <c r="U52" s="16"/>
      <c r="V52" s="15"/>
      <c r="W52" s="15"/>
      <c r="X52" s="15"/>
      <c r="Y52" s="15"/>
      <c r="Z52" s="8"/>
      <c r="AA52" s="11"/>
      <c r="AB52" s="4"/>
      <c r="AC52" s="8"/>
      <c r="AD52" s="7"/>
      <c r="AE52" s="8"/>
      <c r="AF52" s="4">
        <v>1.7232914044046429E-19</v>
      </c>
      <c r="AG52" s="7">
        <v>-0.41039455385975998</v>
      </c>
      <c r="AH52">
        <v>13</v>
      </c>
      <c r="AI52">
        <v>-0.12893127759955758</v>
      </c>
      <c r="AJ52" s="8">
        <v>1.0616184379156037</v>
      </c>
      <c r="AK52" s="8"/>
      <c r="AN52" s="8"/>
      <c r="AO52" s="8"/>
    </row>
    <row r="53" spans="1:41">
      <c r="J53" s="7"/>
      <c r="K53" s="7"/>
      <c r="L53" s="7"/>
      <c r="M53" s="8"/>
      <c r="N53" s="4"/>
      <c r="O53" s="9"/>
      <c r="P53" s="9"/>
      <c r="Q53" s="9">
        <v>-2332.3617441708998</v>
      </c>
      <c r="R53" s="16"/>
      <c r="S53" s="16"/>
      <c r="T53" s="16"/>
      <c r="U53" s="16"/>
      <c r="V53" s="15"/>
      <c r="W53" s="15"/>
      <c r="X53" s="15"/>
      <c r="Y53" s="15"/>
      <c r="Z53" s="8"/>
      <c r="AA53" s="11"/>
      <c r="AB53" s="4"/>
      <c r="AC53" s="8"/>
      <c r="AD53" s="7"/>
      <c r="AE53" s="8"/>
      <c r="AF53" s="4">
        <v>1.6464716213197411E-19</v>
      </c>
      <c r="AG53" s="7">
        <v>-0.46493468949190625</v>
      </c>
      <c r="AK53" s="8"/>
      <c r="AN53" s="8"/>
      <c r="AO53" s="8"/>
    </row>
    <row r="54" spans="1:41">
      <c r="J54" s="7"/>
      <c r="K54" s="7"/>
      <c r="L54" s="7"/>
      <c r="M54" s="8"/>
      <c r="N54" s="4"/>
      <c r="O54" s="9"/>
      <c r="P54" s="9"/>
      <c r="Q54" s="9">
        <v>-2334.7645768736002</v>
      </c>
      <c r="R54" s="16"/>
      <c r="S54" s="16"/>
      <c r="T54" s="16"/>
      <c r="U54" s="16"/>
      <c r="V54" s="15"/>
      <c r="W54" s="15"/>
      <c r="X54" s="15"/>
      <c r="Y54" s="15"/>
      <c r="Z54" s="8"/>
      <c r="AA54" s="11"/>
      <c r="AB54" s="4"/>
      <c r="AC54" s="8"/>
      <c r="AD54" s="7"/>
      <c r="AE54" s="8"/>
      <c r="AF54" s="4">
        <v>1.6256838592039814E-19</v>
      </c>
      <c r="AG54" s="7">
        <v>-0.48320428184064212</v>
      </c>
      <c r="AK54" s="8"/>
      <c r="AN54" s="8"/>
      <c r="AO54" s="8"/>
    </row>
    <row r="55" spans="1:41">
      <c r="J55" s="7"/>
      <c r="K55" s="7"/>
      <c r="L55" s="7"/>
      <c r="M55" s="8"/>
      <c r="N55" s="4"/>
      <c r="O55" s="9"/>
      <c r="Q55">
        <v>-2.3318061686</v>
      </c>
      <c r="R55" s="16"/>
      <c r="S55" s="16"/>
      <c r="T55" s="16"/>
      <c r="U55" s="16"/>
      <c r="V55" s="15"/>
      <c r="W55" s="15"/>
      <c r="X55" s="15"/>
      <c r="Y55" s="15"/>
      <c r="Z55" s="8"/>
      <c r="AA55" s="11"/>
      <c r="AB55" s="4"/>
      <c r="AC55" s="8"/>
      <c r="AD55" s="7"/>
      <c r="AE55" s="8"/>
      <c r="AF55" s="4">
        <v>1.5915649919158283E-19</v>
      </c>
      <c r="AG55" s="7">
        <v>-0.50785734537242322</v>
      </c>
      <c r="AK55" s="8"/>
      <c r="AN55" s="8"/>
      <c r="AO55" s="8"/>
    </row>
    <row r="56" spans="1:41">
      <c r="A56" s="14"/>
      <c r="L56" s="7"/>
      <c r="M56" s="8"/>
      <c r="N56" s="4"/>
      <c r="O56" s="9"/>
      <c r="Q56">
        <f>Q53+Q55-Q54</f>
        <v>7.1026534100383287E-2</v>
      </c>
      <c r="R56" s="16"/>
      <c r="S56" s="16"/>
      <c r="T56" s="16"/>
      <c r="U56" s="16"/>
      <c r="V56" s="15"/>
      <c r="W56" s="15"/>
      <c r="X56" s="15"/>
      <c r="Y56" s="15"/>
      <c r="AH56" s="14"/>
      <c r="AK56" s="8"/>
      <c r="AN56" s="8"/>
      <c r="AO56" s="8"/>
    </row>
    <row r="57" spans="1:41">
      <c r="J57" s="7"/>
      <c r="K57" s="7"/>
      <c r="L57" s="7"/>
      <c r="M57" s="8">
        <f>0.004*13.6</f>
        <v>5.4399999999999997E-2</v>
      </c>
      <c r="N57" s="4"/>
      <c r="O57" s="9"/>
      <c r="Q57">
        <f>Q56*13.6</f>
        <v>0.96596086376521273</v>
      </c>
      <c r="R57" s="16"/>
      <c r="S57" s="16"/>
      <c r="T57" s="16"/>
      <c r="U57" s="16"/>
      <c r="V57" s="15"/>
      <c r="W57" s="15"/>
      <c r="X57" s="15"/>
      <c r="Y57" s="15"/>
      <c r="Z57" s="8"/>
      <c r="AA57" s="11"/>
      <c r="AB57" s="4"/>
      <c r="AC57" s="8"/>
      <c r="AD57" s="7"/>
      <c r="AE57" s="8"/>
      <c r="AF57" s="4"/>
      <c r="AG57" s="9"/>
      <c r="AK57" s="8"/>
      <c r="AN57" s="8"/>
      <c r="AO57" s="8"/>
    </row>
    <row r="58" spans="1:41">
      <c r="J58" s="7"/>
      <c r="K58" s="7"/>
      <c r="L58" s="7"/>
      <c r="M58" s="8"/>
      <c r="N58" s="4"/>
      <c r="O58" s="9"/>
      <c r="R58" s="16"/>
      <c r="S58" s="16"/>
      <c r="T58" s="16"/>
      <c r="U58" s="16"/>
      <c r="V58" s="15"/>
      <c r="W58" s="15"/>
      <c r="X58" s="15"/>
      <c r="Y58" s="15"/>
      <c r="Z58" s="8"/>
      <c r="AA58" s="11"/>
      <c r="AB58" s="4"/>
      <c r="AC58" s="8"/>
      <c r="AD58" s="7"/>
      <c r="AE58" s="8"/>
      <c r="AF58" s="4"/>
      <c r="AG58" s="9"/>
      <c r="AK58" s="8"/>
      <c r="AN58" s="8"/>
      <c r="AO58" s="8"/>
    </row>
    <row r="59" spans="1:41">
      <c r="J59" s="7"/>
      <c r="K59" s="7"/>
      <c r="L59" s="7"/>
      <c r="M59" s="8"/>
      <c r="N59" s="4"/>
      <c r="R59" s="16"/>
      <c r="S59" s="16"/>
      <c r="T59" s="16"/>
      <c r="U59" s="16"/>
      <c r="V59" s="15"/>
      <c r="W59" s="15"/>
      <c r="X59" s="15"/>
      <c r="Y59" s="15"/>
      <c r="Z59" s="8"/>
      <c r="AA59" s="11"/>
      <c r="AB59" s="4"/>
      <c r="AC59" s="8"/>
      <c r="AD59" s="7"/>
      <c r="AE59" s="8"/>
      <c r="AF59" s="4"/>
      <c r="AG59" s="9"/>
      <c r="AK59" s="8"/>
      <c r="AN59" s="8"/>
      <c r="AO59" s="8"/>
    </row>
    <row r="60" spans="1:41">
      <c r="J60" s="7"/>
      <c r="K60" s="7"/>
      <c r="L60" s="7">
        <v>-3889.4170169506201</v>
      </c>
      <c r="M60" s="8">
        <v>-3890.6273199503498</v>
      </c>
      <c r="N60" s="4">
        <v>-3891.8396850120498</v>
      </c>
      <c r="O60">
        <v>-3893.6508570762298</v>
      </c>
      <c r="P60">
        <v>-3894.8544708629302</v>
      </c>
      <c r="Q60">
        <v>-3896.0539228375601</v>
      </c>
      <c r="R60" s="16"/>
      <c r="S60" s="16"/>
      <c r="T60" s="16"/>
      <c r="U60" s="16"/>
      <c r="V60" s="15"/>
      <c r="W60" s="15"/>
      <c r="X60" s="15"/>
      <c r="Y60" s="15"/>
      <c r="Z60" s="8"/>
      <c r="AA60" s="11"/>
      <c r="AB60" s="4"/>
      <c r="AC60" s="8"/>
      <c r="AD60" s="7"/>
      <c r="AE60" s="8"/>
      <c r="AF60" s="4"/>
      <c r="AG60" s="9"/>
      <c r="AK60" s="8"/>
      <c r="AN60" s="8"/>
      <c r="AO60" s="8"/>
    </row>
    <row r="61" spans="1:41">
      <c r="J61" s="7"/>
      <c r="K61" s="7"/>
      <c r="L61" s="7">
        <v>-3888.1997635851999</v>
      </c>
      <c r="M61" s="7">
        <v>-3889.4092146692501</v>
      </c>
      <c r="N61" s="4">
        <v>-3890.6252657073901</v>
      </c>
      <c r="O61" s="30">
        <v>-3892.4418656177099</v>
      </c>
      <c r="P61" s="7">
        <v>-3893.6474509763102</v>
      </c>
      <c r="Q61">
        <v>-3894.84958819434</v>
      </c>
      <c r="R61" s="16"/>
      <c r="S61" s="16"/>
      <c r="T61" s="16"/>
      <c r="U61" s="16"/>
      <c r="V61" s="15"/>
      <c r="W61" s="15"/>
      <c r="X61" s="15"/>
      <c r="Y61" s="15"/>
      <c r="Z61" s="8"/>
      <c r="AA61" s="11"/>
      <c r="AB61" s="4"/>
      <c r="AC61" s="8"/>
      <c r="AD61" s="7"/>
      <c r="AE61" s="8"/>
      <c r="AF61" s="4"/>
      <c r="AG61" s="9"/>
      <c r="AK61" s="8"/>
      <c r="AN61" s="8"/>
      <c r="AO61" s="8"/>
    </row>
    <row r="62" spans="1:41">
      <c r="J62" s="7"/>
      <c r="K62" s="7"/>
      <c r="L62">
        <v>-1.16530455359108</v>
      </c>
      <c r="M62">
        <v>-1.16530455359108</v>
      </c>
      <c r="N62">
        <v>-1.16530455359108</v>
      </c>
      <c r="O62">
        <v>-1.16530455359108</v>
      </c>
      <c r="P62">
        <v>-1.16530455359108</v>
      </c>
      <c r="Q62">
        <v>-1.16530455359108</v>
      </c>
      <c r="R62" s="16"/>
      <c r="S62" s="16"/>
      <c r="T62" s="16"/>
      <c r="U62" s="16"/>
      <c r="V62" s="15"/>
      <c r="W62" s="15"/>
      <c r="X62" s="15"/>
      <c r="Y62" s="15"/>
      <c r="Z62" s="8"/>
      <c r="AA62" s="11"/>
      <c r="AB62" s="4"/>
      <c r="AC62" s="8"/>
      <c r="AD62" s="7"/>
      <c r="AE62" s="8"/>
      <c r="AF62" s="4"/>
      <c r="AG62" s="9"/>
      <c r="AK62" s="8"/>
      <c r="AN62" s="8"/>
      <c r="AO62" s="8"/>
    </row>
    <row r="63" spans="1:41">
      <c r="J63" s="7"/>
      <c r="K63" s="7"/>
      <c r="L63">
        <f t="shared" ref="L63:Q63" si="9">-L60+L62+L61</f>
        <v>5.1948811829333863E-2</v>
      </c>
      <c r="M63">
        <f t="shared" si="9"/>
        <v>5.2800727508838463E-2</v>
      </c>
      <c r="N63">
        <f t="shared" si="9"/>
        <v>4.91147510688279E-2</v>
      </c>
      <c r="O63">
        <f t="shared" si="9"/>
        <v>4.3686904929018056E-2</v>
      </c>
      <c r="P63">
        <f t="shared" si="9"/>
        <v>4.1715333029060275E-2</v>
      </c>
      <c r="Q63">
        <f t="shared" si="9"/>
        <v>3.9030089629250142E-2</v>
      </c>
      <c r="R63" s="16"/>
      <c r="S63" s="16"/>
      <c r="T63" s="16"/>
      <c r="U63" s="16"/>
      <c r="V63" s="15"/>
      <c r="W63" s="15"/>
      <c r="X63" s="15"/>
      <c r="Y63" s="15"/>
      <c r="Z63" s="8"/>
      <c r="AA63" s="11"/>
      <c r="AB63" s="4"/>
      <c r="AC63" s="8"/>
      <c r="AD63" s="7"/>
      <c r="AE63" s="8"/>
      <c r="AF63" s="4"/>
      <c r="AG63" s="9"/>
      <c r="AK63" s="8"/>
      <c r="AN63" s="8"/>
      <c r="AO63" s="8"/>
    </row>
    <row r="64" spans="1:41">
      <c r="A64" s="14"/>
      <c r="B64" s="17"/>
      <c r="L64">
        <f t="shared" ref="L64:Q64" si="10">L63*27.2</f>
        <v>1.4130076817578809</v>
      </c>
      <c r="M64">
        <f t="shared" si="10"/>
        <v>1.4361797882404062</v>
      </c>
      <c r="N64">
        <f t="shared" si="10"/>
        <v>1.3359212290721187</v>
      </c>
      <c r="O64">
        <f t="shared" si="10"/>
        <v>1.1882838140692911</v>
      </c>
      <c r="P64">
        <f t="shared" si="10"/>
        <v>1.1346570583904394</v>
      </c>
      <c r="Q64">
        <f t="shared" si="10"/>
        <v>1.0616184379156037</v>
      </c>
      <c r="R64" s="16"/>
      <c r="S64" s="16"/>
      <c r="T64" s="16"/>
      <c r="U64" s="16"/>
      <c r="V64" s="15"/>
      <c r="W64" s="15"/>
      <c r="X64" s="15"/>
      <c r="Y64" s="15"/>
      <c r="Z64" s="8"/>
      <c r="AA64" s="11"/>
      <c r="AB64" s="4"/>
      <c r="AC64" s="8"/>
      <c r="AD64" s="7"/>
      <c r="AE64" s="8"/>
      <c r="AF64" s="4"/>
      <c r="AH64" s="14"/>
      <c r="AI64" s="17"/>
      <c r="AK64" s="8"/>
      <c r="AN64" s="8"/>
      <c r="AO64" s="8"/>
    </row>
    <row r="65" spans="1:41">
      <c r="F65" s="16"/>
      <c r="G65" s="16"/>
      <c r="H65" s="16"/>
      <c r="I65" s="16"/>
      <c r="J65" s="7"/>
      <c r="K65" s="7"/>
      <c r="L65" s="7"/>
      <c r="M65" s="7"/>
      <c r="N65" s="8"/>
      <c r="O65" s="8"/>
      <c r="P65" s="8"/>
      <c r="Q65" s="16"/>
      <c r="R65" s="16"/>
      <c r="S65" s="16"/>
      <c r="T65" s="16"/>
      <c r="U65" s="16"/>
      <c r="V65" s="15"/>
      <c r="W65" s="15"/>
      <c r="X65" s="15"/>
      <c r="Y65" s="15"/>
      <c r="Z65" s="8"/>
      <c r="AA65" s="11"/>
      <c r="AB65" s="4"/>
      <c r="AC65" s="8"/>
      <c r="AD65" s="7"/>
      <c r="AE65" s="8"/>
      <c r="AF65" s="4"/>
      <c r="AG65" s="7"/>
      <c r="AK65" s="8"/>
      <c r="AN65" s="8"/>
      <c r="AO65" s="8"/>
    </row>
    <row r="66" spans="1:41">
      <c r="F66" s="16"/>
      <c r="G66" s="16"/>
      <c r="H66" s="16"/>
      <c r="I66" s="16"/>
      <c r="J66" s="7"/>
      <c r="K66" s="7"/>
      <c r="L66" s="7"/>
      <c r="M66" s="7"/>
      <c r="N66" s="8"/>
      <c r="O66" s="8"/>
      <c r="P66" s="8"/>
      <c r="Q66" s="16"/>
      <c r="R66" s="16"/>
      <c r="S66" s="16"/>
      <c r="T66" s="16"/>
      <c r="U66" s="16"/>
      <c r="V66" s="15"/>
      <c r="W66" s="15"/>
      <c r="X66" s="15"/>
      <c r="Y66" s="15"/>
      <c r="Z66" s="8"/>
      <c r="AA66" s="11"/>
      <c r="AB66" s="4"/>
      <c r="AC66" s="8"/>
      <c r="AD66" s="7"/>
      <c r="AE66" s="8"/>
      <c r="AF66" s="4"/>
      <c r="AG66" s="7"/>
      <c r="AK66" s="8"/>
      <c r="AN66" s="8"/>
      <c r="AO66" s="8"/>
    </row>
    <row r="67" spans="1:41">
      <c r="F67" s="16"/>
      <c r="G67" s="16"/>
      <c r="H67" s="16"/>
      <c r="I67" s="16"/>
      <c r="J67" s="7"/>
      <c r="K67" s="7"/>
      <c r="L67" s="7"/>
      <c r="M67" s="7"/>
      <c r="N67" s="8"/>
      <c r="O67" s="8" t="s">
        <v>140</v>
      </c>
      <c r="P67" s="8"/>
      <c r="Q67" s="16"/>
      <c r="R67" s="16"/>
      <c r="S67" s="16"/>
      <c r="T67" s="16"/>
      <c r="U67" s="16"/>
      <c r="V67" s="15"/>
      <c r="W67" s="15"/>
      <c r="X67" s="15"/>
      <c r="Y67" s="15"/>
      <c r="Z67" s="8"/>
      <c r="AA67" s="11"/>
      <c r="AB67" s="4"/>
      <c r="AC67" s="8"/>
      <c r="AD67" s="7"/>
      <c r="AE67" s="8"/>
      <c r="AF67" s="4"/>
      <c r="AG67" s="7"/>
      <c r="AK67" s="8"/>
      <c r="AN67" s="8"/>
      <c r="AO67" s="8"/>
    </row>
    <row r="68" spans="1:41">
      <c r="F68" s="16"/>
      <c r="G68" s="16"/>
      <c r="H68" s="16"/>
      <c r="I68" s="16"/>
      <c r="J68" s="7"/>
      <c r="K68" s="7"/>
      <c r="L68" s="7"/>
      <c r="M68" s="7"/>
      <c r="N68" s="8"/>
      <c r="O68" s="8" t="s">
        <v>141</v>
      </c>
      <c r="P68" s="8"/>
      <c r="Q68" s="16"/>
      <c r="R68" s="16"/>
      <c r="S68" s="16"/>
      <c r="T68" s="16"/>
      <c r="U68" s="16"/>
      <c r="V68" s="15"/>
      <c r="W68" s="15"/>
      <c r="X68" s="15"/>
      <c r="Y68" s="15"/>
      <c r="Z68" s="8"/>
      <c r="AA68" s="11"/>
      <c r="AB68" s="4"/>
      <c r="AC68" s="8"/>
      <c r="AD68" s="7"/>
      <c r="AE68" s="8"/>
      <c r="AF68" s="4"/>
      <c r="AG68" s="7"/>
      <c r="AK68" s="8"/>
      <c r="AN68" s="8"/>
      <c r="AO68" s="8"/>
    </row>
    <row r="69" spans="1:41">
      <c r="F69" s="16"/>
      <c r="G69" s="16"/>
      <c r="H69" s="16"/>
      <c r="I69" s="16"/>
      <c r="J69" s="7"/>
      <c r="K69" s="7"/>
      <c r="L69" s="7"/>
      <c r="M69" s="7"/>
      <c r="N69" s="8"/>
      <c r="O69" s="8"/>
      <c r="P69" s="8"/>
      <c r="Q69" s="16"/>
      <c r="R69" s="16"/>
      <c r="S69" s="16"/>
      <c r="T69" s="16"/>
      <c r="U69" s="16"/>
      <c r="V69" s="15"/>
      <c r="W69" s="15"/>
      <c r="X69" s="15"/>
      <c r="Y69" s="15"/>
      <c r="Z69" s="8"/>
      <c r="AA69" s="11"/>
      <c r="AB69" s="4"/>
      <c r="AC69" s="8"/>
      <c r="AD69" s="7"/>
      <c r="AE69" s="8"/>
      <c r="AF69" s="4"/>
      <c r="AG69" s="10"/>
      <c r="AJ69" s="7"/>
      <c r="AK69" s="8"/>
      <c r="AN69" s="8"/>
      <c r="AO69" s="8"/>
    </row>
    <row r="70" spans="1:41">
      <c r="F70" s="16"/>
      <c r="G70" s="16"/>
      <c r="H70" s="16"/>
      <c r="I70" s="16"/>
      <c r="J70" s="7"/>
      <c r="K70" s="7"/>
      <c r="L70" s="7"/>
      <c r="M70" s="7"/>
      <c r="N70" s="8"/>
      <c r="O70" s="8"/>
      <c r="P70" s="8"/>
      <c r="Q70" s="16"/>
      <c r="R70" s="16"/>
      <c r="S70" s="16"/>
      <c r="T70" s="16"/>
      <c r="U70" s="16"/>
      <c r="V70" s="15"/>
      <c r="W70" s="15"/>
      <c r="X70" s="15"/>
      <c r="Y70" s="15"/>
      <c r="Z70" s="8"/>
      <c r="AA70" s="11"/>
      <c r="AB70" s="4"/>
      <c r="AC70" s="8"/>
      <c r="AD70" s="7"/>
      <c r="AE70" s="8"/>
      <c r="AF70" s="4"/>
      <c r="AG70" s="10"/>
      <c r="AJ70" s="7"/>
      <c r="AK70" s="8"/>
      <c r="AN70" s="8"/>
      <c r="AO70" s="8"/>
    </row>
    <row r="71" spans="1:41">
      <c r="F71" s="16"/>
      <c r="G71" s="16"/>
      <c r="H71" s="16"/>
      <c r="I71" s="16"/>
      <c r="J71" s="7"/>
      <c r="K71" s="7"/>
      <c r="L71" s="7"/>
      <c r="M71" s="7"/>
      <c r="N71" s="8"/>
      <c r="O71" s="8" t="s">
        <v>142</v>
      </c>
      <c r="P71" s="8"/>
      <c r="Q71" s="16"/>
      <c r="R71" s="16"/>
      <c r="S71" s="16"/>
      <c r="T71" s="16"/>
      <c r="U71" s="16"/>
      <c r="V71" s="15"/>
      <c r="W71" s="15"/>
      <c r="X71" s="15"/>
      <c r="Y71" s="15"/>
      <c r="Z71" s="8"/>
      <c r="AA71" s="11"/>
      <c r="AB71" s="4"/>
      <c r="AC71" s="8"/>
      <c r="AD71" s="7"/>
      <c r="AE71" s="8"/>
      <c r="AF71" s="4"/>
      <c r="AG71" s="10"/>
      <c r="AJ71" s="7"/>
      <c r="AK71" s="8"/>
      <c r="AN71" s="8"/>
      <c r="AO71" s="8"/>
    </row>
    <row r="72" spans="1:41">
      <c r="A72" s="14"/>
      <c r="Q72" s="16"/>
      <c r="R72" s="16"/>
      <c r="S72" s="16"/>
      <c r="T72" s="16"/>
      <c r="U72" s="16"/>
      <c r="V72" s="15"/>
      <c r="W72" s="15"/>
      <c r="X72" s="15"/>
      <c r="Y72" s="15"/>
      <c r="AH72" s="14"/>
      <c r="AK72" s="8"/>
      <c r="AN72" s="8"/>
      <c r="AO72" s="8"/>
    </row>
    <row r="73" spans="1:41">
      <c r="J73" s="7"/>
      <c r="K73" s="7"/>
      <c r="L73" s="7"/>
      <c r="M73" s="7"/>
      <c r="N73" s="8"/>
      <c r="O73" s="8" t="s">
        <v>150</v>
      </c>
      <c r="P73" s="8"/>
      <c r="Q73" s="16"/>
      <c r="R73" s="16"/>
      <c r="S73" s="16"/>
      <c r="T73" s="16"/>
      <c r="U73" s="16"/>
      <c r="V73" s="15"/>
      <c r="W73" s="15"/>
      <c r="X73" s="15"/>
      <c r="Y73" s="15"/>
      <c r="Z73" s="8"/>
      <c r="AA73" s="11"/>
      <c r="AB73" s="4"/>
      <c r="AC73" s="8"/>
      <c r="AD73" s="7"/>
      <c r="AE73" s="8"/>
      <c r="AF73" s="4"/>
      <c r="AG73" s="9"/>
      <c r="AK73" s="8"/>
      <c r="AN73" s="8"/>
      <c r="AO73" s="8"/>
    </row>
    <row r="74" spans="1:41">
      <c r="J74" s="7"/>
      <c r="K74" s="7"/>
      <c r="L74" s="7"/>
      <c r="M74" s="7"/>
      <c r="N74" s="8"/>
      <c r="O74" s="8"/>
      <c r="P74" s="8"/>
      <c r="Q74" s="16"/>
      <c r="R74" s="16"/>
      <c r="S74" s="16"/>
      <c r="T74" s="16"/>
      <c r="U74" s="16"/>
      <c r="V74" s="15"/>
      <c r="W74" s="15"/>
      <c r="X74" s="15"/>
      <c r="Y74" s="15"/>
      <c r="Z74" s="8"/>
      <c r="AA74" s="11"/>
      <c r="AB74" s="4"/>
      <c r="AC74" s="8"/>
      <c r="AD74" s="7"/>
      <c r="AE74" s="8"/>
      <c r="AF74" s="4"/>
      <c r="AG74" s="9"/>
      <c r="AK74" s="8"/>
      <c r="AN74" s="8"/>
      <c r="AO74" s="8"/>
    </row>
    <row r="75" spans="1:41">
      <c r="J75" s="7"/>
      <c r="K75" s="7"/>
      <c r="L75" s="7"/>
      <c r="M75" s="7"/>
      <c r="N75" s="8"/>
      <c r="O75" s="8"/>
      <c r="P75" s="8"/>
      <c r="Q75" s="16"/>
      <c r="R75" s="16"/>
      <c r="S75" s="16"/>
      <c r="T75" s="16"/>
      <c r="U75" s="16"/>
      <c r="V75" s="15"/>
      <c r="W75" s="15"/>
      <c r="X75" s="15"/>
      <c r="Y75" s="15"/>
      <c r="Z75" s="8"/>
      <c r="AA75" s="11"/>
      <c r="AB75" s="4"/>
      <c r="AC75" s="8"/>
      <c r="AD75" s="7"/>
      <c r="AE75" s="8"/>
      <c r="AF75" s="4"/>
      <c r="AG75" s="9"/>
      <c r="AK75" s="8"/>
      <c r="AN75" s="8"/>
      <c r="AO75" s="8"/>
    </row>
    <row r="76" spans="1:41">
      <c r="J76" s="7"/>
      <c r="K76" s="7"/>
      <c r="L76" s="7"/>
      <c r="M76" s="7"/>
      <c r="N76" s="8"/>
      <c r="O76" s="8"/>
      <c r="P76" s="8"/>
      <c r="Q76" s="16"/>
      <c r="R76" s="16"/>
      <c r="S76" s="16"/>
      <c r="T76" s="16"/>
      <c r="U76" s="16"/>
      <c r="V76" s="15"/>
      <c r="W76" s="15"/>
      <c r="X76" s="15"/>
      <c r="Y76" s="15"/>
      <c r="Z76" s="8"/>
      <c r="AA76" s="11"/>
      <c r="AB76" s="4"/>
      <c r="AC76" s="8"/>
      <c r="AD76" s="7"/>
      <c r="AE76" s="8"/>
      <c r="AF76" s="4"/>
      <c r="AG76" s="9"/>
      <c r="AK76" s="8"/>
      <c r="AN76" s="8"/>
      <c r="AO76" s="8"/>
    </row>
    <row r="77" spans="1:41">
      <c r="J77" s="7"/>
      <c r="K77" s="7"/>
      <c r="L77" s="7"/>
      <c r="M77" s="7"/>
      <c r="N77" s="8"/>
      <c r="O77" s="8"/>
      <c r="P77" s="8"/>
      <c r="Q77" s="16"/>
      <c r="R77" s="16"/>
      <c r="S77" s="16"/>
      <c r="T77" s="16"/>
      <c r="U77" s="16"/>
      <c r="V77" s="15"/>
      <c r="W77" s="15"/>
      <c r="X77" s="15"/>
      <c r="Y77" s="15"/>
      <c r="Z77" s="8"/>
      <c r="AA77" s="11"/>
      <c r="AB77" s="4"/>
      <c r="AC77" s="8"/>
      <c r="AD77" s="7"/>
      <c r="AE77" s="8"/>
      <c r="AF77" s="4"/>
      <c r="AG77" s="9"/>
      <c r="AK77" s="8"/>
      <c r="AN77" s="8"/>
      <c r="AO77" s="8"/>
    </row>
    <row r="78" spans="1:41">
      <c r="J78" s="7"/>
      <c r="K78" s="7"/>
      <c r="L78" s="7"/>
      <c r="M78" s="7"/>
      <c r="N78" s="8"/>
      <c r="O78" s="8"/>
      <c r="P78" s="8"/>
      <c r="Q78" s="16"/>
      <c r="R78" s="16"/>
      <c r="S78" s="16"/>
      <c r="T78" s="16"/>
      <c r="U78" s="16"/>
      <c r="V78" s="15"/>
      <c r="W78" s="15"/>
      <c r="X78" s="15"/>
      <c r="Y78" s="15"/>
      <c r="Z78" s="8"/>
      <c r="AA78" s="11"/>
      <c r="AB78" s="4"/>
      <c r="AC78" s="8"/>
      <c r="AD78" s="7"/>
      <c r="AE78" s="8"/>
      <c r="AF78" s="4"/>
      <c r="AG78" s="9"/>
      <c r="AK78" s="8"/>
      <c r="AN78" s="8"/>
      <c r="AO78" s="8"/>
    </row>
    <row r="79" spans="1:41">
      <c r="J79" s="7"/>
      <c r="K79" s="7"/>
      <c r="L79" s="7"/>
      <c r="M79" s="7"/>
      <c r="N79" s="8"/>
      <c r="O79" s="8"/>
      <c r="P79" s="8"/>
      <c r="Q79" s="16"/>
      <c r="R79" s="16"/>
      <c r="S79" s="16"/>
      <c r="T79" s="16"/>
      <c r="U79" s="16"/>
      <c r="V79" s="15"/>
      <c r="W79" s="15"/>
      <c r="X79" s="15"/>
      <c r="Y79" s="15"/>
      <c r="Z79" s="8"/>
      <c r="AA79" s="11"/>
      <c r="AB79" s="4"/>
      <c r="AC79" s="8"/>
      <c r="AD79" s="7"/>
      <c r="AE79" s="8"/>
      <c r="AF79" s="4"/>
      <c r="AG79" s="9"/>
      <c r="AK79" s="8"/>
      <c r="AN79" s="8"/>
      <c r="AO79" s="8"/>
    </row>
    <row r="80" spans="1:41">
      <c r="A80" s="14"/>
      <c r="B80" s="17"/>
      <c r="N80" s="8"/>
      <c r="O80" s="8"/>
      <c r="P80" s="8"/>
      <c r="Q80" s="16"/>
      <c r="R80" s="16"/>
      <c r="S80" s="16"/>
      <c r="T80" s="16"/>
      <c r="U80" s="16"/>
      <c r="V80" s="15"/>
      <c r="W80" s="15"/>
      <c r="X80" s="15"/>
      <c r="Y80" s="15"/>
      <c r="Z80" s="8"/>
      <c r="AA80" s="11"/>
      <c r="AB80" s="4"/>
      <c r="AC80" s="8"/>
      <c r="AD80" s="7"/>
      <c r="AE80" s="8"/>
      <c r="AF80" s="4"/>
      <c r="AH80" s="14"/>
      <c r="AI80" s="17"/>
      <c r="AK80" s="8"/>
      <c r="AN80" s="8"/>
      <c r="AO80" s="8"/>
    </row>
    <row r="81" spans="1:41">
      <c r="J81" s="7"/>
      <c r="K81" s="7"/>
      <c r="L81" s="7"/>
      <c r="M81" s="7"/>
      <c r="N81" s="8"/>
      <c r="O81" s="8"/>
      <c r="P81" s="8"/>
      <c r="Q81" s="16"/>
      <c r="R81" s="16"/>
      <c r="S81" s="16"/>
      <c r="T81" s="16"/>
      <c r="U81" s="16"/>
      <c r="V81" s="15"/>
      <c r="W81" s="15"/>
      <c r="X81" s="15"/>
      <c r="Y81" s="15"/>
      <c r="Z81" s="8"/>
      <c r="AA81" s="11"/>
      <c r="AB81" s="4"/>
      <c r="AC81" s="8"/>
      <c r="AD81" s="7"/>
      <c r="AE81" s="8"/>
      <c r="AF81" s="4"/>
      <c r="AG81" s="7"/>
      <c r="AK81" s="8"/>
      <c r="AN81" s="8"/>
      <c r="AO81" s="8"/>
    </row>
    <row r="82" spans="1:41">
      <c r="J82" s="7"/>
      <c r="K82" s="7"/>
      <c r="L82" s="7"/>
      <c r="M82" s="7"/>
      <c r="N82" s="8"/>
      <c r="O82" s="8"/>
      <c r="P82" s="8"/>
      <c r="Q82" s="16"/>
      <c r="R82" s="16"/>
      <c r="S82" s="16"/>
      <c r="T82" s="16"/>
      <c r="U82" s="16"/>
      <c r="V82" s="15"/>
      <c r="W82" s="15"/>
      <c r="X82" s="15"/>
      <c r="Y82" s="15"/>
      <c r="Z82" s="8"/>
      <c r="AA82" s="11"/>
      <c r="AB82" s="4"/>
      <c r="AC82" s="8"/>
      <c r="AD82" s="7"/>
      <c r="AE82" s="8"/>
      <c r="AF82" s="4"/>
      <c r="AG82" s="7"/>
      <c r="AK82" s="8"/>
      <c r="AN82" s="8"/>
      <c r="AO82" s="8"/>
    </row>
    <row r="83" spans="1:41">
      <c r="J83" s="7"/>
      <c r="K83" s="7"/>
      <c r="L83" s="7"/>
      <c r="M83" s="7"/>
      <c r="N83" s="8"/>
      <c r="O83" s="8"/>
      <c r="P83" s="8"/>
      <c r="Q83" s="16"/>
      <c r="R83" s="16"/>
      <c r="S83" s="16"/>
      <c r="T83" s="16"/>
      <c r="U83" s="16"/>
      <c r="V83" s="15"/>
      <c r="W83" s="15"/>
      <c r="X83" s="15"/>
      <c r="Y83" s="15"/>
      <c r="Z83" s="8"/>
      <c r="AA83" s="11"/>
      <c r="AB83" s="4"/>
      <c r="AC83" s="8"/>
      <c r="AD83" s="7"/>
      <c r="AE83" s="8"/>
      <c r="AF83" s="4"/>
      <c r="AG83" s="10"/>
      <c r="AK83" s="8"/>
      <c r="AN83" s="8"/>
      <c r="AO83" s="8"/>
    </row>
    <row r="84" spans="1:41">
      <c r="J84" s="7"/>
      <c r="K84" s="7"/>
      <c r="L84" s="7"/>
      <c r="M84" s="7"/>
      <c r="N84" s="8"/>
      <c r="O84" s="8"/>
      <c r="P84" s="8"/>
      <c r="Q84" s="16"/>
      <c r="R84" s="16"/>
      <c r="S84" s="16"/>
      <c r="T84" s="16"/>
      <c r="U84" s="16"/>
      <c r="V84" s="15"/>
      <c r="W84" s="15"/>
      <c r="X84" s="15"/>
      <c r="Y84" s="15"/>
      <c r="Z84" s="8"/>
      <c r="AA84" s="11"/>
      <c r="AB84" s="4"/>
      <c r="AC84" s="8"/>
      <c r="AD84" s="7"/>
      <c r="AE84" s="8"/>
      <c r="AF84" s="4"/>
      <c r="AG84" s="10"/>
      <c r="AK84" s="8"/>
      <c r="AN84" s="8"/>
      <c r="AO84" s="8"/>
    </row>
    <row r="85" spans="1:41">
      <c r="J85" s="7"/>
      <c r="K85" s="7"/>
      <c r="L85" s="7"/>
      <c r="M85" s="7"/>
      <c r="N85" s="8"/>
      <c r="O85" s="8"/>
      <c r="P85" s="8"/>
      <c r="Q85" s="16"/>
      <c r="R85" s="16"/>
      <c r="S85" s="16"/>
      <c r="T85" s="16"/>
      <c r="U85" s="16"/>
      <c r="V85" s="15"/>
      <c r="W85" s="15"/>
      <c r="X85" s="15"/>
      <c r="Y85" s="15"/>
      <c r="Z85" s="8"/>
      <c r="AA85" s="11"/>
      <c r="AB85" s="4"/>
      <c r="AC85" s="8"/>
      <c r="AD85" s="7"/>
      <c r="AE85" s="8"/>
      <c r="AF85" s="4"/>
      <c r="AG85" s="10"/>
      <c r="AK85" s="8"/>
      <c r="AN85" s="8"/>
      <c r="AO85" s="8"/>
    </row>
    <row r="86" spans="1:41">
      <c r="J86" s="7"/>
      <c r="K86" s="7"/>
      <c r="L86" s="7"/>
      <c r="M86" s="7"/>
      <c r="N86" s="8"/>
      <c r="O86" s="8"/>
      <c r="P86" s="8"/>
      <c r="Q86" s="16"/>
      <c r="R86" s="16"/>
      <c r="S86" s="16"/>
      <c r="T86" s="16"/>
      <c r="U86" s="16"/>
      <c r="V86" s="15"/>
      <c r="W86" s="15"/>
      <c r="X86" s="15"/>
      <c r="Y86" s="15"/>
      <c r="Z86" s="8"/>
      <c r="AA86" s="11"/>
      <c r="AB86" s="4"/>
      <c r="AC86" s="8"/>
      <c r="AD86" s="7"/>
      <c r="AE86" s="8"/>
      <c r="AF86" s="4"/>
      <c r="AG86" s="10"/>
      <c r="AK86" s="8"/>
      <c r="AN86" s="8"/>
      <c r="AO86" s="8"/>
    </row>
    <row r="87" spans="1:41">
      <c r="J87" s="7"/>
      <c r="K87" s="7"/>
      <c r="L87" s="7"/>
      <c r="M87" s="7"/>
      <c r="N87" s="8"/>
      <c r="O87" s="8"/>
      <c r="P87" s="8"/>
      <c r="Q87" s="16"/>
      <c r="R87" s="16"/>
      <c r="S87" s="16"/>
      <c r="T87" s="16"/>
      <c r="U87" s="16"/>
      <c r="V87" s="15"/>
      <c r="W87" s="15"/>
      <c r="X87" s="15"/>
      <c r="Y87" s="15"/>
      <c r="Z87" s="8"/>
      <c r="AA87" s="11"/>
      <c r="AB87" s="4"/>
      <c r="AC87" s="8"/>
      <c r="AD87" s="7"/>
      <c r="AE87" s="8"/>
      <c r="AF87" s="4"/>
      <c r="AG87" s="10"/>
      <c r="AK87" s="8"/>
      <c r="AN87" s="8"/>
      <c r="AO87" s="8"/>
    </row>
    <row r="88" spans="1:41">
      <c r="A88" s="14"/>
      <c r="Q88" s="16"/>
      <c r="R88" s="16"/>
      <c r="S88" s="16"/>
      <c r="T88" s="16"/>
      <c r="U88" s="16"/>
      <c r="V88" s="15"/>
      <c r="W88" s="15"/>
      <c r="X88" s="15"/>
      <c r="Y88" s="15"/>
      <c r="AH88" s="14"/>
      <c r="AK88" s="8"/>
      <c r="AN88" s="8"/>
      <c r="AO88" s="8"/>
    </row>
    <row r="89" spans="1:41">
      <c r="J89" s="7"/>
      <c r="K89" s="7"/>
      <c r="L89" s="7"/>
      <c r="M89" s="7"/>
      <c r="N89" s="8"/>
      <c r="O89" s="8"/>
      <c r="P89" s="8"/>
      <c r="Q89" s="16"/>
      <c r="R89" s="16"/>
      <c r="S89" s="16"/>
      <c r="T89" s="16"/>
      <c r="U89" s="16"/>
      <c r="V89" s="15"/>
      <c r="W89" s="15"/>
      <c r="X89" s="15"/>
      <c r="Y89" s="15"/>
      <c r="Z89" s="8"/>
      <c r="AA89" s="11"/>
      <c r="AB89" s="4"/>
      <c r="AC89" s="8"/>
      <c r="AD89" s="7"/>
      <c r="AE89" s="8"/>
      <c r="AF89" s="4"/>
      <c r="AG89" s="9"/>
      <c r="AK89" s="8"/>
      <c r="AN89" s="8"/>
      <c r="AO89" s="8"/>
    </row>
    <row r="90" spans="1:41">
      <c r="J90" s="7"/>
      <c r="K90" s="7"/>
      <c r="L90" s="7"/>
      <c r="M90" s="7"/>
      <c r="N90" s="8"/>
      <c r="O90" s="8"/>
      <c r="P90" s="8"/>
      <c r="Q90" s="16"/>
      <c r="R90" s="16"/>
      <c r="S90" s="16"/>
      <c r="T90" s="16"/>
      <c r="U90" s="16"/>
      <c r="V90" s="15"/>
      <c r="W90" s="15"/>
      <c r="X90" s="15"/>
      <c r="Y90" s="15"/>
      <c r="Z90" s="8"/>
      <c r="AA90" s="11"/>
      <c r="AB90" s="4"/>
      <c r="AC90" s="8"/>
      <c r="AD90" s="7"/>
      <c r="AE90" s="8"/>
      <c r="AF90" s="4"/>
      <c r="AG90" s="9"/>
      <c r="AK90" s="8"/>
      <c r="AN90" s="8"/>
      <c r="AO90" s="8"/>
    </row>
    <row r="91" spans="1:41">
      <c r="J91" s="7"/>
      <c r="K91" s="7"/>
      <c r="L91" s="7"/>
      <c r="M91" s="7"/>
      <c r="N91" s="8"/>
      <c r="O91" s="8"/>
      <c r="P91" s="8"/>
      <c r="Q91" s="16"/>
      <c r="R91" s="16"/>
      <c r="S91" s="16"/>
      <c r="T91" s="16"/>
      <c r="U91" s="16"/>
      <c r="V91" s="15"/>
      <c r="W91" s="15"/>
      <c r="X91" s="15"/>
      <c r="Y91" s="15"/>
      <c r="Z91" s="8"/>
      <c r="AA91" s="11"/>
      <c r="AB91" s="4"/>
      <c r="AC91" s="8"/>
      <c r="AD91" s="7"/>
      <c r="AE91" s="8"/>
      <c r="AF91" s="4"/>
      <c r="AG91" s="9"/>
      <c r="AK91" s="8"/>
      <c r="AN91" s="8"/>
      <c r="AO91" s="8"/>
    </row>
    <row r="92" spans="1:41">
      <c r="J92" s="7"/>
      <c r="K92" s="7"/>
      <c r="L92" s="7"/>
      <c r="M92" s="7"/>
      <c r="N92" s="8"/>
      <c r="O92" s="8"/>
      <c r="P92" s="8"/>
      <c r="Q92" s="16"/>
      <c r="R92" s="16"/>
      <c r="S92" s="16"/>
      <c r="T92" s="16"/>
      <c r="U92" s="16"/>
      <c r="V92" s="15"/>
      <c r="W92" s="15"/>
      <c r="X92" s="15"/>
      <c r="Y92" s="15"/>
      <c r="Z92" s="8"/>
      <c r="AA92" s="11"/>
      <c r="AB92" s="4"/>
      <c r="AC92" s="8"/>
      <c r="AD92" s="7"/>
      <c r="AE92" s="8"/>
      <c r="AF92" s="4"/>
      <c r="AG92" s="9"/>
      <c r="AK92" s="8"/>
      <c r="AN92" s="8"/>
      <c r="AO92" s="8"/>
    </row>
    <row r="93" spans="1:41">
      <c r="J93" s="7"/>
      <c r="K93" s="7"/>
      <c r="L93" s="7"/>
      <c r="M93" s="7"/>
      <c r="N93" s="8"/>
      <c r="O93" s="8"/>
      <c r="P93" s="8"/>
      <c r="Q93" s="16"/>
      <c r="R93" s="16"/>
      <c r="S93" s="16"/>
      <c r="T93" s="16"/>
      <c r="U93" s="16"/>
      <c r="V93" s="15"/>
      <c r="W93" s="15"/>
      <c r="X93" s="15"/>
      <c r="Y93" s="15"/>
      <c r="Z93" s="8"/>
      <c r="AA93" s="11"/>
      <c r="AB93" s="4"/>
      <c r="AC93" s="8"/>
      <c r="AD93" s="7"/>
      <c r="AE93" s="8"/>
      <c r="AF93" s="4"/>
      <c r="AG93" s="9"/>
      <c r="AK93" s="8"/>
      <c r="AN93" s="8"/>
      <c r="AO93" s="8"/>
    </row>
    <row r="94" spans="1:41">
      <c r="J94" s="7"/>
      <c r="K94" s="7"/>
      <c r="L94" s="7"/>
      <c r="M94" s="7"/>
      <c r="N94" s="8"/>
      <c r="O94" s="8"/>
      <c r="P94" s="8"/>
      <c r="Q94" s="16"/>
      <c r="R94" s="16"/>
      <c r="S94" s="16"/>
      <c r="T94" s="16"/>
      <c r="U94" s="16"/>
      <c r="V94" s="15"/>
      <c r="W94" s="15"/>
      <c r="X94" s="15"/>
      <c r="Y94" s="15"/>
      <c r="Z94" s="8"/>
      <c r="AA94" s="11"/>
      <c r="AB94" s="4"/>
      <c r="AC94" s="8"/>
      <c r="AD94" s="7"/>
      <c r="AE94" s="8"/>
      <c r="AF94" s="4"/>
      <c r="AG94" s="9"/>
      <c r="AK94" s="8"/>
      <c r="AN94" s="8"/>
      <c r="AO94" s="8"/>
    </row>
    <row r="95" spans="1:41">
      <c r="J95" s="7"/>
      <c r="K95" s="7"/>
      <c r="L95" s="7"/>
      <c r="M95" s="7"/>
      <c r="N95" s="8"/>
      <c r="O95" s="8"/>
      <c r="P95" s="8"/>
      <c r="Q95" s="16"/>
      <c r="R95" s="16"/>
      <c r="S95" s="16"/>
      <c r="T95" s="16"/>
      <c r="U95" s="16"/>
      <c r="V95" s="15"/>
      <c r="W95" s="15"/>
      <c r="X95" s="15"/>
      <c r="Y95" s="15"/>
      <c r="Z95" s="8"/>
      <c r="AA95" s="11"/>
      <c r="AB95" s="4"/>
      <c r="AC95" s="8"/>
      <c r="AD95" s="7"/>
      <c r="AE95" s="8"/>
      <c r="AF95" s="4"/>
      <c r="AG95" s="9"/>
      <c r="AK95" s="8"/>
      <c r="AN95" s="8"/>
      <c r="AO95" s="8"/>
    </row>
    <row r="96" spans="1:41">
      <c r="A96" s="14"/>
      <c r="B96" s="17"/>
      <c r="N96" s="8"/>
      <c r="O96" s="8"/>
      <c r="P96" s="8"/>
      <c r="Q96" s="16"/>
      <c r="R96" s="16"/>
      <c r="S96" s="16"/>
      <c r="T96" s="16"/>
      <c r="U96" s="16"/>
      <c r="V96" s="15"/>
      <c r="W96" s="15"/>
      <c r="X96" s="15"/>
      <c r="Y96" s="15"/>
      <c r="Z96" s="8"/>
      <c r="AA96" s="11"/>
      <c r="AB96" s="4"/>
      <c r="AC96" s="8"/>
      <c r="AD96" s="7"/>
      <c r="AE96" s="8"/>
      <c r="AF96" s="4"/>
      <c r="AH96" s="14"/>
      <c r="AI96" s="17"/>
    </row>
    <row r="97" spans="1:35">
      <c r="F97" s="16"/>
      <c r="G97" s="16"/>
      <c r="H97" s="16"/>
      <c r="I97" s="16"/>
      <c r="J97" s="7"/>
      <c r="K97" s="7"/>
      <c r="L97" s="7"/>
      <c r="M97" s="7"/>
      <c r="N97" s="8"/>
      <c r="O97" s="8"/>
      <c r="P97" s="8"/>
      <c r="Q97" s="16"/>
      <c r="R97" s="16"/>
      <c r="S97" s="16"/>
      <c r="T97" s="16"/>
      <c r="U97" s="16"/>
      <c r="V97" s="15"/>
      <c r="W97" s="15"/>
      <c r="X97" s="15"/>
      <c r="Y97" s="15"/>
      <c r="Z97" s="8"/>
      <c r="AA97" s="11"/>
      <c r="AB97" s="4"/>
      <c r="AC97" s="8"/>
      <c r="AD97" s="7"/>
      <c r="AE97" s="8"/>
      <c r="AF97" s="4"/>
      <c r="AG97" s="7"/>
    </row>
    <row r="98" spans="1:35">
      <c r="F98" s="16"/>
      <c r="G98" s="16"/>
      <c r="H98" s="16"/>
      <c r="I98" s="16"/>
      <c r="J98" s="7"/>
      <c r="K98" s="7"/>
      <c r="L98" s="7"/>
      <c r="M98" s="7"/>
      <c r="N98" s="8"/>
      <c r="O98" s="8"/>
      <c r="P98" s="8"/>
      <c r="Q98" s="16"/>
      <c r="R98" s="16"/>
      <c r="S98" s="16"/>
      <c r="T98" s="16"/>
      <c r="U98" s="16"/>
      <c r="V98" s="15"/>
      <c r="W98" s="15"/>
      <c r="X98" s="15"/>
      <c r="Y98" s="15"/>
      <c r="Z98" s="8"/>
      <c r="AA98" s="11"/>
      <c r="AB98" s="4"/>
      <c r="AC98" s="8"/>
      <c r="AD98" s="7"/>
      <c r="AE98" s="8"/>
      <c r="AF98" s="4"/>
      <c r="AG98" s="7"/>
    </row>
    <row r="99" spans="1:35">
      <c r="F99" s="16"/>
      <c r="G99" s="16"/>
      <c r="H99" s="16"/>
      <c r="I99" s="16"/>
      <c r="J99" s="7"/>
      <c r="K99" s="7"/>
      <c r="L99" s="7"/>
      <c r="M99" s="7"/>
      <c r="N99" s="8"/>
      <c r="O99" s="8"/>
      <c r="P99" s="8"/>
      <c r="Q99" s="16"/>
      <c r="R99" s="16"/>
      <c r="S99" s="16"/>
      <c r="T99" s="16"/>
      <c r="U99" s="16"/>
      <c r="V99" s="15"/>
      <c r="W99" s="15"/>
      <c r="X99" s="15"/>
      <c r="Y99" s="15"/>
      <c r="Z99" s="8"/>
      <c r="AA99" s="11"/>
      <c r="AB99" s="4"/>
      <c r="AC99" s="8"/>
      <c r="AD99" s="7"/>
      <c r="AE99" s="8"/>
      <c r="AF99" s="4"/>
      <c r="AG99" s="7"/>
    </row>
    <row r="100" spans="1:35">
      <c r="F100" s="16"/>
      <c r="G100" s="16"/>
      <c r="H100" s="16"/>
      <c r="I100" s="16"/>
      <c r="J100" s="7"/>
      <c r="K100" s="7"/>
      <c r="L100" s="7"/>
      <c r="M100" s="7"/>
      <c r="N100" s="8"/>
      <c r="O100" s="8"/>
      <c r="P100" s="8"/>
      <c r="Q100" s="16"/>
      <c r="R100" s="16"/>
      <c r="S100" s="16"/>
      <c r="T100" s="16"/>
      <c r="U100" s="16"/>
      <c r="V100" s="15"/>
      <c r="W100" s="15"/>
      <c r="X100" s="15"/>
      <c r="Y100" s="15"/>
      <c r="Z100" s="8"/>
      <c r="AA100" s="11"/>
      <c r="AB100" s="4"/>
      <c r="AC100" s="8"/>
      <c r="AD100" s="7"/>
      <c r="AE100" s="8"/>
      <c r="AF100" s="4"/>
      <c r="AG100" s="7"/>
    </row>
    <row r="101" spans="1:35">
      <c r="F101" s="16"/>
      <c r="G101" s="16"/>
      <c r="H101" s="16"/>
      <c r="I101" s="16"/>
      <c r="J101" s="7"/>
      <c r="K101" s="7"/>
      <c r="L101" s="7"/>
      <c r="M101" s="7"/>
      <c r="N101" s="8"/>
      <c r="O101" s="8"/>
      <c r="P101" s="8"/>
      <c r="Q101" s="16"/>
      <c r="R101" s="16"/>
      <c r="S101" s="16"/>
      <c r="T101" s="16"/>
      <c r="U101" s="16"/>
      <c r="V101" s="15"/>
      <c r="W101" s="15"/>
      <c r="X101" s="15"/>
      <c r="Y101" s="15"/>
      <c r="Z101" s="8"/>
      <c r="AA101" s="11"/>
      <c r="AB101" s="4"/>
      <c r="AC101" s="8"/>
      <c r="AD101" s="7"/>
      <c r="AE101" s="8"/>
      <c r="AF101" s="4"/>
      <c r="AG101" s="7"/>
    </row>
    <row r="102" spans="1:35">
      <c r="F102" s="16"/>
      <c r="G102" s="16"/>
      <c r="H102" s="16"/>
      <c r="I102" s="16"/>
      <c r="J102" s="7"/>
      <c r="K102" s="7"/>
      <c r="L102" s="7"/>
      <c r="M102" s="7"/>
      <c r="N102" s="8"/>
      <c r="O102" s="8"/>
      <c r="P102" s="8"/>
      <c r="Q102" s="16"/>
      <c r="R102" s="16"/>
      <c r="S102" s="16"/>
      <c r="T102" s="16"/>
      <c r="U102" s="16"/>
      <c r="V102" s="15"/>
      <c r="W102" s="15"/>
      <c r="X102" s="15"/>
      <c r="Y102" s="15"/>
      <c r="Z102" s="8"/>
      <c r="AA102" s="11"/>
      <c r="AB102" s="4"/>
      <c r="AC102" s="8"/>
      <c r="AD102" s="7"/>
      <c r="AE102" s="8"/>
      <c r="AF102" s="4"/>
      <c r="AG102" s="7"/>
    </row>
    <row r="103" spans="1:35">
      <c r="F103" s="16"/>
      <c r="G103" s="16"/>
      <c r="H103" s="16"/>
      <c r="I103" s="16"/>
      <c r="J103" s="7"/>
      <c r="K103" s="7"/>
      <c r="L103" s="7"/>
      <c r="M103" s="7"/>
      <c r="N103" s="8"/>
      <c r="O103" s="8"/>
      <c r="P103" s="8"/>
      <c r="Q103" s="16"/>
      <c r="R103" s="16"/>
      <c r="S103" s="16"/>
      <c r="T103" s="16"/>
      <c r="U103" s="16"/>
      <c r="V103" s="15"/>
      <c r="W103" s="15"/>
      <c r="X103" s="15"/>
      <c r="Y103" s="15"/>
      <c r="Z103" s="8"/>
      <c r="AA103" s="11"/>
      <c r="AB103" s="4"/>
      <c r="AC103" s="8"/>
      <c r="AD103" s="7"/>
      <c r="AE103" s="8"/>
      <c r="AF103" s="4"/>
      <c r="AG103" s="7"/>
    </row>
    <row r="104" spans="1:35">
      <c r="A104" s="14"/>
      <c r="Q104" s="16"/>
      <c r="R104" s="16"/>
      <c r="S104" s="16"/>
      <c r="T104" s="16"/>
      <c r="U104" s="16"/>
      <c r="V104" s="15"/>
      <c r="W104" s="15"/>
      <c r="X104" s="15"/>
      <c r="Y104" s="15"/>
      <c r="AH104" s="14"/>
    </row>
    <row r="105" spans="1:35">
      <c r="J105" s="7"/>
      <c r="K105" s="7"/>
      <c r="L105" s="7"/>
      <c r="M105" s="7"/>
      <c r="N105" s="8"/>
      <c r="O105" s="8"/>
      <c r="P105" s="8"/>
      <c r="Q105" s="16"/>
      <c r="R105" s="16"/>
      <c r="S105" s="16"/>
      <c r="T105" s="16"/>
      <c r="U105" s="16"/>
      <c r="V105" s="15"/>
      <c r="W105" s="15"/>
      <c r="X105" s="15"/>
      <c r="Y105" s="15"/>
      <c r="Z105" s="8"/>
      <c r="AA105" s="11"/>
      <c r="AB105" s="4"/>
      <c r="AC105" s="8"/>
      <c r="AD105" s="7"/>
      <c r="AE105" s="8"/>
      <c r="AF105" s="4"/>
      <c r="AG105" s="9"/>
    </row>
    <row r="106" spans="1:35">
      <c r="J106" s="7"/>
      <c r="K106" s="7"/>
      <c r="L106" s="7"/>
      <c r="M106" s="7"/>
      <c r="N106" s="8"/>
      <c r="O106" s="8"/>
      <c r="P106" s="8"/>
      <c r="Q106" s="16"/>
      <c r="R106" s="16"/>
      <c r="S106" s="16"/>
      <c r="T106" s="16"/>
      <c r="U106" s="16"/>
      <c r="V106" s="15"/>
      <c r="W106" s="15"/>
      <c r="X106" s="15"/>
      <c r="Y106" s="15"/>
      <c r="Z106" s="8"/>
      <c r="AA106" s="11"/>
      <c r="AB106" s="4"/>
      <c r="AC106" s="8"/>
      <c r="AD106" s="7"/>
      <c r="AE106" s="8"/>
      <c r="AF106" s="4"/>
      <c r="AG106" s="9"/>
    </row>
    <row r="107" spans="1:35">
      <c r="J107" s="7"/>
      <c r="K107" s="7"/>
      <c r="L107" s="7"/>
      <c r="M107" s="7"/>
      <c r="N107" s="8"/>
      <c r="O107" s="8"/>
      <c r="P107" s="8"/>
      <c r="Q107" s="16"/>
      <c r="R107" s="16"/>
      <c r="S107" s="16"/>
      <c r="T107" s="16"/>
      <c r="U107" s="16"/>
      <c r="V107" s="15"/>
      <c r="W107" s="15"/>
      <c r="X107" s="15"/>
      <c r="Y107" s="15"/>
      <c r="Z107" s="8"/>
      <c r="AA107" s="11"/>
      <c r="AB107" s="4"/>
      <c r="AC107" s="8"/>
      <c r="AD107" s="7"/>
      <c r="AE107" s="8"/>
      <c r="AF107" s="4"/>
      <c r="AG107" s="9"/>
    </row>
    <row r="108" spans="1:35">
      <c r="J108" s="7"/>
      <c r="K108" s="7"/>
      <c r="L108" s="7"/>
      <c r="M108" s="7"/>
      <c r="N108" s="8"/>
      <c r="O108" s="8"/>
      <c r="P108" s="8"/>
      <c r="Q108" s="16"/>
      <c r="R108" s="16"/>
      <c r="S108" s="16"/>
      <c r="T108" s="16"/>
      <c r="U108" s="16"/>
      <c r="V108" s="15"/>
      <c r="W108" s="15"/>
      <c r="X108" s="15"/>
      <c r="Y108" s="15"/>
      <c r="Z108" s="8"/>
      <c r="AA108" s="11"/>
      <c r="AB108" s="4"/>
      <c r="AC108" s="8"/>
      <c r="AD108" s="7"/>
      <c r="AE108" s="8"/>
      <c r="AF108" s="4"/>
      <c r="AG108" s="9"/>
    </row>
    <row r="109" spans="1:35">
      <c r="J109" s="7"/>
      <c r="K109" s="7"/>
      <c r="L109" s="7"/>
      <c r="M109" s="7"/>
      <c r="N109" s="8"/>
      <c r="O109" s="8"/>
      <c r="P109" s="8"/>
      <c r="Q109" s="16"/>
      <c r="R109" s="16"/>
      <c r="S109" s="16"/>
      <c r="T109" s="16"/>
      <c r="U109" s="16"/>
      <c r="V109" s="15"/>
      <c r="W109" s="15"/>
      <c r="X109" s="15"/>
      <c r="Y109" s="15"/>
      <c r="Z109" s="8"/>
      <c r="AA109" s="11"/>
      <c r="AB109" s="4"/>
      <c r="AC109" s="8"/>
      <c r="AD109" s="7"/>
      <c r="AE109" s="8"/>
      <c r="AF109" s="4"/>
      <c r="AG109" s="9"/>
    </row>
    <row r="110" spans="1:35">
      <c r="J110" s="7"/>
      <c r="K110" s="7"/>
      <c r="L110" s="7"/>
      <c r="M110" s="7"/>
      <c r="N110" s="8"/>
      <c r="O110" s="8"/>
      <c r="P110" s="8"/>
      <c r="Q110" s="16"/>
      <c r="R110" s="16"/>
      <c r="S110" s="16"/>
      <c r="T110" s="16"/>
      <c r="U110" s="16"/>
      <c r="V110" s="15"/>
      <c r="W110" s="15"/>
      <c r="X110" s="15"/>
      <c r="Y110" s="15"/>
      <c r="Z110" s="8"/>
      <c r="AA110" s="11"/>
      <c r="AB110" s="4"/>
      <c r="AC110" s="8"/>
      <c r="AD110" s="7"/>
      <c r="AE110" s="8"/>
      <c r="AF110" s="4"/>
      <c r="AG110" s="9"/>
    </row>
    <row r="111" spans="1:35">
      <c r="J111" s="7"/>
      <c r="K111" s="7"/>
      <c r="L111" s="7"/>
      <c r="M111" s="7"/>
      <c r="N111" s="8"/>
      <c r="O111" s="8"/>
      <c r="P111" s="8"/>
      <c r="Q111" s="16"/>
      <c r="R111" s="16"/>
      <c r="S111" s="16"/>
      <c r="T111" s="16"/>
      <c r="U111" s="16"/>
      <c r="V111" s="15"/>
      <c r="W111" s="15"/>
      <c r="X111" s="15"/>
      <c r="Y111" s="15"/>
      <c r="Z111" s="8"/>
      <c r="AA111" s="11"/>
      <c r="AB111" s="4"/>
      <c r="AC111" s="8"/>
      <c r="AD111" s="7"/>
      <c r="AE111" s="8"/>
      <c r="AF111" s="4"/>
      <c r="AG111" s="9"/>
    </row>
    <row r="112" spans="1:35">
      <c r="A112" s="14"/>
      <c r="B112" s="17"/>
      <c r="N112" s="8"/>
      <c r="O112" s="8"/>
      <c r="P112" s="8"/>
      <c r="Q112" s="16"/>
      <c r="R112" s="16"/>
      <c r="S112" s="16"/>
      <c r="T112" s="16"/>
      <c r="U112" s="16"/>
      <c r="V112" s="15"/>
      <c r="W112" s="15"/>
      <c r="X112" s="15"/>
      <c r="Y112" s="15"/>
      <c r="Z112" s="8"/>
      <c r="AA112" s="11"/>
      <c r="AB112" s="4"/>
      <c r="AC112" s="8"/>
      <c r="AD112" s="7"/>
      <c r="AE112" s="8"/>
      <c r="AF112" s="4"/>
      <c r="AH112" s="14"/>
      <c r="AI112" s="17"/>
    </row>
    <row r="113" spans="1:34">
      <c r="J113" s="7"/>
      <c r="K113" s="7"/>
      <c r="L113" s="7"/>
      <c r="M113" s="7"/>
      <c r="N113" s="8"/>
      <c r="O113" s="8"/>
      <c r="P113" s="8"/>
      <c r="Q113" s="16"/>
      <c r="R113" s="16"/>
      <c r="S113" s="16"/>
      <c r="T113" s="16"/>
      <c r="U113" s="16"/>
      <c r="V113" s="15"/>
      <c r="W113" s="15"/>
      <c r="X113" s="15"/>
      <c r="Y113" s="15"/>
      <c r="Z113" s="8"/>
      <c r="AA113" s="11"/>
      <c r="AB113" s="4"/>
      <c r="AC113" s="8"/>
      <c r="AD113" s="7"/>
      <c r="AE113" s="8"/>
      <c r="AF113" s="4"/>
      <c r="AG113" s="7"/>
    </row>
    <row r="114" spans="1:34">
      <c r="J114" s="7"/>
      <c r="K114" s="7"/>
      <c r="L114" s="7"/>
      <c r="M114" s="7"/>
      <c r="N114" s="8"/>
      <c r="O114" s="8"/>
      <c r="P114" s="8"/>
      <c r="Q114" s="16"/>
      <c r="R114" s="16"/>
      <c r="S114" s="16"/>
      <c r="T114" s="16"/>
      <c r="U114" s="16"/>
      <c r="V114" s="15"/>
      <c r="W114" s="15"/>
      <c r="X114" s="15"/>
      <c r="Y114" s="15"/>
      <c r="Z114" s="8"/>
      <c r="AA114" s="11"/>
      <c r="AB114" s="4"/>
      <c r="AC114" s="8"/>
      <c r="AD114" s="7"/>
      <c r="AE114" s="8"/>
      <c r="AF114" s="4"/>
      <c r="AG114" s="7"/>
    </row>
    <row r="115" spans="1:34">
      <c r="J115" s="7"/>
      <c r="K115" s="7"/>
      <c r="L115" s="7"/>
      <c r="M115" s="7"/>
      <c r="N115" s="8"/>
      <c r="O115" s="8"/>
      <c r="P115" s="8"/>
      <c r="Q115" s="16"/>
      <c r="R115" s="16"/>
      <c r="S115" s="16"/>
      <c r="T115" s="16"/>
      <c r="U115" s="16"/>
      <c r="V115" s="15"/>
      <c r="W115" s="15"/>
      <c r="X115" s="15"/>
      <c r="Y115" s="15"/>
      <c r="Z115" s="8"/>
      <c r="AA115" s="11"/>
      <c r="AB115" s="4"/>
      <c r="AC115" s="8"/>
      <c r="AD115" s="7"/>
      <c r="AE115" s="8"/>
      <c r="AF115" s="4"/>
      <c r="AG115" s="7"/>
    </row>
    <row r="116" spans="1:34">
      <c r="J116" s="7"/>
      <c r="K116" s="7"/>
      <c r="L116" s="7"/>
      <c r="M116" s="7"/>
      <c r="N116" s="8"/>
      <c r="O116" s="8"/>
      <c r="P116" s="8"/>
      <c r="Q116" s="16"/>
      <c r="R116" s="16"/>
      <c r="S116" s="16"/>
      <c r="T116" s="16"/>
      <c r="U116" s="16"/>
      <c r="V116" s="15"/>
      <c r="W116" s="15"/>
      <c r="X116" s="15"/>
      <c r="Y116" s="15"/>
      <c r="Z116" s="8"/>
      <c r="AA116" s="11"/>
      <c r="AB116" s="4"/>
      <c r="AC116" s="8"/>
      <c r="AD116" s="7"/>
      <c r="AE116" s="8"/>
      <c r="AF116" s="4"/>
      <c r="AG116" s="7"/>
    </row>
    <row r="117" spans="1:34">
      <c r="J117" s="7"/>
      <c r="K117" s="7"/>
      <c r="L117" s="7"/>
      <c r="M117" s="7"/>
      <c r="N117" s="8"/>
      <c r="O117" s="8"/>
      <c r="P117" s="8"/>
      <c r="Q117" s="16"/>
      <c r="R117" s="16"/>
      <c r="S117" s="16"/>
      <c r="T117" s="16"/>
      <c r="U117" s="16"/>
      <c r="V117" s="15"/>
      <c r="W117" s="15"/>
      <c r="X117" s="15"/>
      <c r="Y117" s="15"/>
      <c r="Z117" s="8"/>
      <c r="AA117" s="11"/>
      <c r="AB117" s="4"/>
      <c r="AC117" s="8"/>
      <c r="AD117" s="7"/>
      <c r="AE117" s="8"/>
      <c r="AF117" s="4"/>
      <c r="AG117" s="7"/>
    </row>
    <row r="118" spans="1:34">
      <c r="J118" s="7"/>
      <c r="K118" s="7"/>
      <c r="L118" s="7"/>
      <c r="M118" s="7"/>
      <c r="N118" s="8"/>
      <c r="O118" s="8"/>
      <c r="P118" s="8"/>
      <c r="Q118" s="16"/>
      <c r="R118" s="16"/>
      <c r="S118" s="16"/>
      <c r="T118" s="16"/>
      <c r="U118" s="16"/>
      <c r="V118" s="15"/>
      <c r="W118" s="15"/>
      <c r="X118" s="15"/>
      <c r="Y118" s="15"/>
      <c r="Z118" s="8"/>
      <c r="AA118" s="11"/>
      <c r="AB118" s="4"/>
      <c r="AC118" s="8"/>
      <c r="AD118" s="7"/>
      <c r="AE118" s="8"/>
      <c r="AF118" s="4"/>
      <c r="AG118" s="7"/>
    </row>
    <row r="119" spans="1:34">
      <c r="J119" s="7"/>
      <c r="K119" s="7"/>
      <c r="L119" s="7"/>
      <c r="M119" s="7"/>
      <c r="N119" s="8"/>
      <c r="O119" s="8"/>
      <c r="P119" s="8"/>
      <c r="Q119" s="16"/>
      <c r="R119" s="16"/>
      <c r="S119" s="16"/>
      <c r="T119" s="16"/>
      <c r="U119" s="16"/>
      <c r="V119" s="15"/>
      <c r="W119" s="15"/>
      <c r="X119" s="15"/>
      <c r="Y119" s="15"/>
      <c r="Z119" s="8"/>
      <c r="AA119" s="11"/>
      <c r="AB119" s="4"/>
      <c r="AC119" s="8"/>
      <c r="AD119" s="7"/>
      <c r="AE119" s="8"/>
      <c r="AF119" s="4"/>
      <c r="AG119" s="7"/>
    </row>
    <row r="120" spans="1:34">
      <c r="A120" s="14"/>
      <c r="Q120" s="16"/>
      <c r="R120" s="16"/>
      <c r="S120" s="16"/>
      <c r="T120" s="16"/>
      <c r="U120" s="16"/>
      <c r="V120" s="15"/>
      <c r="W120" s="15"/>
      <c r="X120" s="15"/>
      <c r="Y120" s="15"/>
      <c r="AH120" s="14"/>
    </row>
    <row r="121" spans="1:34">
      <c r="J121" s="7"/>
      <c r="K121" s="7"/>
      <c r="L121" s="7"/>
      <c r="M121" s="7"/>
      <c r="N121" s="8"/>
      <c r="O121" s="8"/>
      <c r="P121" s="8"/>
      <c r="Q121" s="16"/>
      <c r="R121" s="16"/>
      <c r="S121" s="16"/>
      <c r="T121" s="16"/>
      <c r="U121" s="16"/>
      <c r="V121" s="15"/>
      <c r="W121" s="15"/>
      <c r="X121" s="15"/>
      <c r="Y121" s="15"/>
      <c r="Z121" s="8"/>
      <c r="AA121" s="11"/>
      <c r="AB121" s="4"/>
      <c r="AC121" s="8"/>
      <c r="AD121" s="7"/>
      <c r="AE121" s="8"/>
      <c r="AF121" s="4"/>
      <c r="AG121" s="9"/>
    </row>
    <row r="122" spans="1:34">
      <c r="J122" s="7"/>
      <c r="K122" s="7"/>
      <c r="L122" s="7"/>
      <c r="M122" s="7"/>
      <c r="N122" s="8"/>
      <c r="O122" s="8"/>
      <c r="P122" s="8"/>
      <c r="Q122" s="16"/>
      <c r="R122" s="16"/>
      <c r="S122" s="16"/>
      <c r="T122" s="16"/>
      <c r="U122" s="16"/>
      <c r="V122" s="15"/>
      <c r="W122" s="15"/>
      <c r="X122" s="15"/>
      <c r="Y122" s="15"/>
      <c r="Z122" s="8"/>
      <c r="AA122" s="11"/>
      <c r="AB122" s="4"/>
      <c r="AC122" s="8"/>
      <c r="AD122" s="7"/>
      <c r="AE122" s="8"/>
      <c r="AF122" s="4"/>
      <c r="AG122" s="9"/>
    </row>
    <row r="123" spans="1:34">
      <c r="J123" s="7"/>
      <c r="K123" s="7"/>
      <c r="L123" s="7"/>
      <c r="M123" s="7"/>
      <c r="N123" s="8"/>
      <c r="O123" s="8"/>
      <c r="P123" s="8"/>
      <c r="Q123" s="16"/>
      <c r="R123" s="16"/>
      <c r="S123" s="16"/>
      <c r="T123" s="16"/>
      <c r="U123" s="16"/>
      <c r="V123" s="15"/>
      <c r="W123" s="15"/>
      <c r="X123" s="15"/>
      <c r="Y123" s="15"/>
      <c r="Z123" s="8"/>
      <c r="AA123" s="11"/>
      <c r="AB123" s="4"/>
      <c r="AC123" s="8"/>
      <c r="AD123" s="7"/>
      <c r="AE123" s="8"/>
      <c r="AF123" s="4"/>
      <c r="AG123" s="9"/>
    </row>
    <row r="124" spans="1:34">
      <c r="J124" s="7"/>
      <c r="K124" s="7"/>
      <c r="L124" s="7"/>
      <c r="M124" s="7"/>
      <c r="N124" s="8"/>
      <c r="O124" s="8"/>
      <c r="P124" s="8"/>
      <c r="Q124" s="16"/>
      <c r="R124" s="16"/>
      <c r="S124" s="16"/>
      <c r="T124" s="16"/>
      <c r="U124" s="16"/>
      <c r="V124" s="15"/>
      <c r="W124" s="15"/>
      <c r="X124" s="15"/>
      <c r="Y124" s="15"/>
      <c r="Z124" s="8"/>
      <c r="AA124" s="11"/>
      <c r="AB124" s="4"/>
      <c r="AC124" s="8"/>
      <c r="AD124" s="7"/>
      <c r="AE124" s="8"/>
      <c r="AF124" s="4"/>
      <c r="AG124" s="9"/>
    </row>
    <row r="125" spans="1:34">
      <c r="J125" s="7"/>
      <c r="K125" s="7"/>
      <c r="L125" s="7"/>
      <c r="M125" s="7"/>
      <c r="N125" s="8"/>
      <c r="O125" s="8"/>
      <c r="P125" s="8"/>
      <c r="Q125" s="16"/>
      <c r="R125" s="16"/>
      <c r="S125" s="16"/>
      <c r="T125" s="16"/>
      <c r="U125" s="16"/>
      <c r="V125" s="15"/>
      <c r="W125" s="15"/>
      <c r="X125" s="15"/>
      <c r="Y125" s="15"/>
      <c r="Z125" s="8"/>
      <c r="AA125" s="11"/>
      <c r="AB125" s="4"/>
      <c r="AC125" s="8"/>
      <c r="AD125" s="7"/>
      <c r="AE125" s="8"/>
      <c r="AF125" s="4"/>
      <c r="AG125" s="9"/>
    </row>
    <row r="126" spans="1:34">
      <c r="J126" s="7"/>
      <c r="K126" s="7"/>
      <c r="L126" s="7"/>
      <c r="M126" s="7"/>
      <c r="N126" s="8"/>
      <c r="O126" s="8"/>
      <c r="P126" s="8"/>
      <c r="Q126" s="16"/>
      <c r="R126" s="16"/>
      <c r="S126" s="16"/>
      <c r="T126" s="16"/>
      <c r="U126" s="16"/>
      <c r="V126" s="15"/>
      <c r="W126" s="15"/>
      <c r="X126" s="15"/>
      <c r="Y126" s="15"/>
      <c r="Z126" s="8"/>
      <c r="AA126" s="11"/>
      <c r="AB126" s="4"/>
      <c r="AC126" s="8"/>
      <c r="AD126" s="7"/>
      <c r="AE126" s="8"/>
      <c r="AF126" s="4"/>
      <c r="AG126" s="9"/>
    </row>
    <row r="127" spans="1:34">
      <c r="J127" s="7"/>
      <c r="K127" s="7"/>
      <c r="L127" s="7"/>
      <c r="M127" s="7"/>
      <c r="N127" s="8"/>
      <c r="O127" s="8"/>
      <c r="P127" s="8"/>
      <c r="Q127" s="16"/>
      <c r="R127" s="16"/>
      <c r="S127" s="16"/>
      <c r="T127" s="16"/>
      <c r="U127" s="16"/>
      <c r="V127" s="15"/>
      <c r="W127" s="15"/>
      <c r="X127" s="15"/>
      <c r="Y127" s="15"/>
      <c r="Z127" s="8"/>
      <c r="AA127" s="11"/>
      <c r="AB127" s="4"/>
      <c r="AC127" s="8"/>
      <c r="AD127" s="7"/>
      <c r="AE127" s="8"/>
      <c r="AF127" s="4"/>
      <c r="AG127" s="9"/>
    </row>
    <row r="128" spans="1:34">
      <c r="B128" s="8"/>
      <c r="C128" s="8"/>
      <c r="D128" s="8"/>
      <c r="E128" s="7"/>
    </row>
    <row r="129" spans="2:34">
      <c r="B129" s="8"/>
      <c r="J129" s="7"/>
      <c r="K129" s="7"/>
      <c r="L129" s="7"/>
      <c r="M129" s="7"/>
      <c r="N129" s="8"/>
      <c r="O129" s="8"/>
      <c r="P129" s="8"/>
      <c r="Q129" s="16"/>
      <c r="R129" s="16"/>
      <c r="S129" s="16"/>
      <c r="T129" s="16"/>
      <c r="U129" s="16"/>
      <c r="V129" s="15"/>
      <c r="W129" s="15"/>
      <c r="X129" s="15"/>
      <c r="Y129" s="15"/>
      <c r="Z129" s="8"/>
      <c r="AA129" s="11"/>
      <c r="AB129" s="4"/>
      <c r="AC129" s="8"/>
      <c r="AD129" s="7"/>
      <c r="AE129" s="8"/>
      <c r="AF129" s="4"/>
      <c r="AG129" s="9"/>
    </row>
    <row r="130" spans="2:34">
      <c r="B130" s="8"/>
      <c r="J130" s="7"/>
      <c r="K130" s="7"/>
      <c r="L130" s="7"/>
      <c r="M130" s="7"/>
      <c r="N130" s="8"/>
      <c r="O130" s="8"/>
      <c r="P130" s="8"/>
      <c r="Q130" s="16"/>
      <c r="R130" s="16"/>
      <c r="S130" s="16"/>
      <c r="T130" s="16"/>
      <c r="U130" s="16"/>
      <c r="V130" s="15"/>
      <c r="W130" s="15"/>
      <c r="X130" s="15"/>
      <c r="Y130" s="15"/>
      <c r="Z130" s="8"/>
      <c r="AA130" s="11"/>
      <c r="AB130" s="4"/>
      <c r="AC130" s="8"/>
      <c r="AD130" s="7"/>
      <c r="AE130" s="8"/>
      <c r="AF130" s="4"/>
      <c r="AG130" s="9"/>
    </row>
    <row r="131" spans="2:34">
      <c r="B131" s="8"/>
      <c r="J131" s="7"/>
      <c r="K131" s="7"/>
      <c r="L131" s="7"/>
      <c r="M131" s="7"/>
      <c r="N131" s="8"/>
      <c r="O131" s="8"/>
      <c r="P131" s="8"/>
      <c r="Q131" s="16"/>
      <c r="R131" s="16"/>
      <c r="S131" s="16"/>
      <c r="T131" s="16"/>
      <c r="U131" s="16"/>
      <c r="V131" s="15"/>
      <c r="W131" s="15"/>
      <c r="X131" s="15"/>
      <c r="Y131" s="15"/>
      <c r="Z131" s="8"/>
      <c r="AA131" s="11"/>
      <c r="AB131" s="4"/>
      <c r="AC131" s="8"/>
      <c r="AD131" s="7"/>
      <c r="AE131" s="8"/>
      <c r="AF131" s="4"/>
      <c r="AG131" s="9"/>
    </row>
    <row r="132" spans="2:34">
      <c r="B132" s="8"/>
      <c r="J132" s="7"/>
      <c r="K132" s="7"/>
      <c r="L132" s="7"/>
      <c r="M132" s="7"/>
      <c r="N132" s="8"/>
      <c r="O132" s="8"/>
      <c r="P132" s="8"/>
      <c r="Q132" s="16"/>
      <c r="R132" s="16"/>
      <c r="S132" s="16"/>
      <c r="T132" s="16"/>
      <c r="U132" s="16"/>
      <c r="V132" s="15"/>
      <c r="W132" s="15"/>
      <c r="X132" s="15"/>
      <c r="Y132" s="15"/>
      <c r="Z132" s="8"/>
      <c r="AA132" s="11"/>
      <c r="AB132" s="4"/>
      <c r="AC132" s="8"/>
      <c r="AD132" s="7"/>
      <c r="AE132" s="8"/>
      <c r="AF132" s="4"/>
      <c r="AG132" s="9"/>
    </row>
    <row r="133" spans="2:34">
      <c r="B133" s="8"/>
      <c r="J133" s="7"/>
      <c r="K133" s="7"/>
      <c r="L133" s="7"/>
      <c r="M133" s="7"/>
      <c r="N133" s="8"/>
      <c r="O133" s="8"/>
      <c r="P133" s="8"/>
      <c r="Q133" s="16"/>
      <c r="R133" s="16"/>
      <c r="S133" s="16"/>
      <c r="T133" s="16"/>
      <c r="U133" s="16"/>
      <c r="V133" s="15"/>
      <c r="W133" s="15"/>
      <c r="X133" s="15"/>
      <c r="Y133" s="15"/>
      <c r="Z133" s="8"/>
      <c r="AA133" s="11"/>
      <c r="AB133" s="4"/>
      <c r="AC133" s="8"/>
      <c r="AD133" s="7"/>
      <c r="AE133" s="8"/>
      <c r="AF133" s="4"/>
      <c r="AG133" s="9"/>
    </row>
    <row r="134" spans="2:34">
      <c r="B134" s="8"/>
      <c r="J134" s="7"/>
      <c r="K134" s="7"/>
      <c r="L134" s="7"/>
      <c r="M134" s="7"/>
      <c r="N134" s="8"/>
      <c r="O134" s="8"/>
      <c r="P134" s="8"/>
      <c r="Q134" s="16"/>
      <c r="R134" s="16"/>
      <c r="S134" s="16"/>
      <c r="T134" s="16"/>
      <c r="U134" s="16"/>
      <c r="V134" s="15"/>
      <c r="W134" s="15"/>
      <c r="X134" s="15"/>
      <c r="Y134" s="15"/>
      <c r="Z134" s="8"/>
      <c r="AA134" s="11"/>
      <c r="AB134" s="4"/>
      <c r="AC134" s="8"/>
      <c r="AD134" s="7"/>
      <c r="AE134" s="8"/>
      <c r="AF134" s="4"/>
      <c r="AG134" s="9"/>
    </row>
    <row r="135" spans="2:34">
      <c r="B135" s="8"/>
      <c r="J135" s="7"/>
      <c r="K135" s="7"/>
      <c r="L135" s="7"/>
      <c r="M135" s="7"/>
      <c r="N135" s="8"/>
      <c r="O135" s="8"/>
      <c r="P135" s="8"/>
      <c r="Q135" s="16"/>
      <c r="R135" s="16"/>
      <c r="S135" s="16"/>
      <c r="T135" s="16"/>
      <c r="U135" s="16"/>
      <c r="V135" s="15"/>
      <c r="W135" s="15"/>
      <c r="X135" s="15"/>
      <c r="Y135" s="15"/>
      <c r="Z135" s="8"/>
      <c r="AA135" s="11"/>
      <c r="AB135" s="4"/>
      <c r="AC135" s="8"/>
      <c r="AD135" s="7"/>
      <c r="AE135" s="8"/>
      <c r="AF135" s="4"/>
      <c r="AG135" s="9"/>
    </row>
    <row r="138" spans="2:34">
      <c r="AH138" s="6"/>
    </row>
    <row r="140" spans="2:34">
      <c r="J140" s="7"/>
      <c r="K140" s="7"/>
      <c r="L140" s="7"/>
      <c r="M140" s="7"/>
      <c r="N140" s="8"/>
      <c r="O140" s="8"/>
      <c r="P140" s="8"/>
      <c r="Q140" s="16"/>
      <c r="R140" s="16"/>
      <c r="S140" s="16"/>
      <c r="T140" s="16"/>
      <c r="U140" s="16"/>
      <c r="V140" s="15"/>
      <c r="W140" s="15"/>
      <c r="X140" s="15"/>
      <c r="Y140" s="15"/>
      <c r="Z140" s="8"/>
      <c r="AA140" s="11"/>
      <c r="AB140" s="4"/>
      <c r="AC140" s="8"/>
      <c r="AD140" s="7"/>
      <c r="AE140" s="8"/>
      <c r="AF140" s="4"/>
      <c r="AH140" s="4"/>
    </row>
    <row r="141" spans="2:34">
      <c r="J141" s="7"/>
      <c r="K141" s="7"/>
      <c r="L141" s="7"/>
      <c r="M141" s="7"/>
      <c r="N141" s="8"/>
      <c r="O141" s="8"/>
      <c r="P141" s="8"/>
      <c r="Q141" s="16"/>
      <c r="R141" s="16"/>
      <c r="S141" s="16"/>
      <c r="T141" s="16"/>
      <c r="U141" s="16"/>
      <c r="V141" s="15"/>
      <c r="W141" s="15"/>
      <c r="X141" s="15"/>
      <c r="Y141" s="15"/>
      <c r="Z141" s="8"/>
      <c r="AA141" s="11"/>
      <c r="AB141" s="4"/>
      <c r="AC141" s="8"/>
      <c r="AD141" s="7"/>
      <c r="AE141" s="8"/>
      <c r="AF141" s="4"/>
    </row>
    <row r="142" spans="2:34">
      <c r="AH142" s="4"/>
    </row>
    <row r="143" spans="2:34">
      <c r="AH143" s="4"/>
    </row>
  </sheetData>
  <pageMargins left="0" right="0" top="0.39416666666666711" bottom="0.39416666666666711" header="0" footer="0"/>
  <pageSetup fitToWidth="0" fitToHeight="0" orientation="portrait" r:id="rId1"/>
  <headerFooter>
    <oddHeader>&amp;C&amp;A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57D0-E3E6-4775-8041-380B38633CC4}">
  <dimension ref="C8:H39"/>
  <sheetViews>
    <sheetView workbookViewId="0">
      <selection activeCell="H1" sqref="H1"/>
    </sheetView>
  </sheetViews>
  <sheetFormatPr defaultRowHeight="14.25"/>
  <sheetData>
    <row r="8" spans="3:8">
      <c r="D8" t="s">
        <v>24</v>
      </c>
      <c r="E8" t="s">
        <v>46</v>
      </c>
      <c r="F8" t="s">
        <v>25</v>
      </c>
      <c r="G8" t="s">
        <v>27</v>
      </c>
      <c r="H8" t="s">
        <v>197</v>
      </c>
    </row>
    <row r="9" spans="3:8">
      <c r="C9">
        <v>0</v>
      </c>
      <c r="D9">
        <v>1.018988793817698</v>
      </c>
      <c r="E9">
        <v>0.5266127398936078</v>
      </c>
      <c r="F9">
        <v>1.1555000318912789</v>
      </c>
      <c r="G9">
        <v>1.2471651081577875</v>
      </c>
      <c r="H9">
        <v>-0.1</v>
      </c>
    </row>
    <row r="10" spans="3:8">
      <c r="C10">
        <v>0.15384615384615385</v>
      </c>
      <c r="D10">
        <v>0.62587289226939902</v>
      </c>
      <c r="E10">
        <v>0.32912058742658701</v>
      </c>
      <c r="F10">
        <v>0.76817836088594049</v>
      </c>
      <c r="G10">
        <v>0.73137839639093727</v>
      </c>
    </row>
    <row r="11" spans="3:8">
      <c r="C11">
        <v>0.46153846153846156</v>
      </c>
      <c r="D11">
        <v>0.1889697071746923</v>
      </c>
      <c r="E11">
        <v>3.5325072109117173E-2</v>
      </c>
      <c r="F11">
        <v>0.27511610546207521</v>
      </c>
      <c r="G11">
        <v>0.21885577788634691</v>
      </c>
    </row>
    <row r="12" spans="3:8">
      <c r="C12">
        <v>0.69230769230769229</v>
      </c>
      <c r="D12">
        <v>1.9116931289318018E-2</v>
      </c>
      <c r="E12">
        <v>0</v>
      </c>
      <c r="F12">
        <v>0</v>
      </c>
      <c r="G12">
        <v>1.8790166068356484E-3</v>
      </c>
    </row>
    <row r="13" spans="3:8">
      <c r="C13">
        <v>0.84615384615384615</v>
      </c>
      <c r="D13">
        <v>0</v>
      </c>
      <c r="E13">
        <v>4.9195165105629712E-2</v>
      </c>
      <c r="F13">
        <v>4.7670194150414319E-2</v>
      </c>
      <c r="G13">
        <v>0</v>
      </c>
    </row>
    <row r="14" spans="3:8">
      <c r="C14">
        <v>1</v>
      </c>
      <c r="D14">
        <v>9.6586360814399086E-2</v>
      </c>
      <c r="E14">
        <v>0.19057597975188401</v>
      </c>
      <c r="F14">
        <v>0.15897648851387203</v>
      </c>
      <c r="G14">
        <v>2.1635901794070378E-2</v>
      </c>
    </row>
    <row r="22" spans="3:8">
      <c r="D22" t="s">
        <v>24</v>
      </c>
      <c r="E22" t="s">
        <v>46</v>
      </c>
      <c r="F22" t="s">
        <v>25</v>
      </c>
      <c r="G22" t="s">
        <v>27</v>
      </c>
    </row>
    <row r="23" spans="3:8">
      <c r="C23">
        <v>0</v>
      </c>
      <c r="D23">
        <v>0.35854455619119108</v>
      </c>
      <c r="E23">
        <v>0</v>
      </c>
      <c r="F23">
        <v>0.44599312977516092</v>
      </c>
      <c r="G23">
        <v>0.44183441849600058</v>
      </c>
      <c r="H23">
        <v>0</v>
      </c>
    </row>
    <row r="24" spans="3:8">
      <c r="C24">
        <v>0.15384615384615385</v>
      </c>
      <c r="D24">
        <v>0.12442711186304223</v>
      </c>
      <c r="E24">
        <v>1.1646646162262186E-3</v>
      </c>
      <c r="F24">
        <v>0.21630747310700826</v>
      </c>
      <c r="G24">
        <v>0.12033694023557473</v>
      </c>
    </row>
    <row r="25" spans="3:8">
      <c r="C25">
        <v>0.46153846153846156</v>
      </c>
      <c r="D25">
        <v>0</v>
      </c>
      <c r="E25">
        <v>9.7495612673810683E-2</v>
      </c>
      <c r="F25">
        <v>3.5656083622598089E-2</v>
      </c>
      <c r="G25">
        <v>0</v>
      </c>
    </row>
    <row r="26" spans="3:8">
      <c r="C26">
        <v>0.69230769230769229</v>
      </c>
      <c r="D26">
        <v>6.4756845487863757E-2</v>
      </c>
      <c r="E26">
        <v>0.35694263153709471</v>
      </c>
      <c r="F26">
        <v>0</v>
      </c>
      <c r="G26">
        <v>7.6457741379272193E-2</v>
      </c>
    </row>
    <row r="27" spans="3:8">
      <c r="C27">
        <v>0.84615384615384615</v>
      </c>
      <c r="D27">
        <v>0.20421579931280576</v>
      </c>
      <c r="E27">
        <v>0.60471049349871464</v>
      </c>
      <c r="F27">
        <v>0.19949175925168675</v>
      </c>
      <c r="G27">
        <v>0.26856570587551687</v>
      </c>
    </row>
    <row r="28" spans="3:8">
      <c r="C28">
        <v>1</v>
      </c>
      <c r="D28">
        <v>0.45870415141689591</v>
      </c>
      <c r="E28">
        <v>0.94414957068511285</v>
      </c>
      <c r="F28">
        <v>0.4675999518512981</v>
      </c>
      <c r="G28">
        <v>0.48678332958661485</v>
      </c>
    </row>
    <row r="33" spans="3:8">
      <c r="D33" t="s">
        <v>24</v>
      </c>
      <c r="E33" t="s">
        <v>46</v>
      </c>
      <c r="F33" t="s">
        <v>25</v>
      </c>
      <c r="G33" t="s">
        <v>27</v>
      </c>
    </row>
    <row r="34" spans="3:8">
      <c r="C34">
        <v>0</v>
      </c>
      <c r="D34">
        <v>0.1346564021660015</v>
      </c>
      <c r="E34">
        <v>0</v>
      </c>
      <c r="F34">
        <v>0.13102758667082526</v>
      </c>
      <c r="G34">
        <v>0.22417940318700857</v>
      </c>
      <c r="H34">
        <v>0.05</v>
      </c>
    </row>
    <row r="35" spans="3:8">
      <c r="C35">
        <v>0.15384615384615385</v>
      </c>
      <c r="D35">
        <v>0</v>
      </c>
      <c r="E35">
        <v>0.1006721517915139</v>
      </c>
      <c r="F35">
        <v>0</v>
      </c>
      <c r="G35">
        <v>0</v>
      </c>
    </row>
    <row r="36" spans="3:8">
      <c r="C36">
        <v>0.46153846153846156</v>
      </c>
      <c r="D36">
        <v>7.1236576273804531E-2</v>
      </c>
      <c r="E36">
        <v>0.39255473899538629</v>
      </c>
      <c r="F36">
        <v>1.4977177401306108E-2</v>
      </c>
      <c r="G36">
        <v>7.6222730946028605E-2</v>
      </c>
    </row>
    <row r="37" spans="3:8">
      <c r="C37">
        <v>0.69230769230769229</v>
      </c>
      <c r="D37">
        <v>0.28278056334238499</v>
      </c>
      <c r="E37">
        <v>0.79954291072499473</v>
      </c>
      <c r="F37">
        <v>0.12913440044212621</v>
      </c>
      <c r="G37">
        <v>0.29954112773702946</v>
      </c>
    </row>
    <row r="38" spans="3:8">
      <c r="C38">
        <v>0.84615384615384615</v>
      </c>
      <c r="D38">
        <v>0.52139169423026033</v>
      </c>
      <c r="E38">
        <v>1.1466596815153025</v>
      </c>
      <c r="F38">
        <v>0.42357435724872627</v>
      </c>
      <c r="G38">
        <v>0.58875041407009121</v>
      </c>
    </row>
    <row r="39" spans="3:8">
      <c r="C39">
        <v>1</v>
      </c>
      <c r="D39">
        <v>0.87463813432259485</v>
      </c>
      <c r="E39">
        <v>1.5851959580613766</v>
      </c>
      <c r="F39">
        <v>0.78975290834205225</v>
      </c>
      <c r="G39">
        <v>0.90532469451136421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538A-2968-4B90-9702-DB9495CCF0CA}">
  <dimension ref="A1:AC122"/>
  <sheetViews>
    <sheetView topLeftCell="A45" zoomScale="126" workbookViewId="0">
      <selection activeCell="K82" sqref="K82"/>
    </sheetView>
  </sheetViews>
  <sheetFormatPr defaultRowHeight="14.25"/>
  <cols>
    <col min="2" max="2" width="15" customWidth="1"/>
    <col min="5" max="5" width="13.125" bestFit="1" customWidth="1"/>
    <col min="6" max="7" width="9.125" bestFit="1" customWidth="1"/>
    <col min="8" max="8" width="9.625" bestFit="1" customWidth="1"/>
    <col min="9" max="10" width="9.125" bestFit="1" customWidth="1"/>
    <col min="11" max="11" width="20.25" customWidth="1"/>
    <col min="12" max="12" width="12.5" bestFit="1" customWidth="1"/>
    <col min="13" max="13" width="16.25" customWidth="1"/>
    <col min="14" max="14" width="18" customWidth="1"/>
    <col min="15" max="16" width="9.375" bestFit="1" customWidth="1"/>
    <col min="18" max="18" width="9.125" bestFit="1" customWidth="1"/>
    <col min="19" max="19" width="9.375" bestFit="1" customWidth="1"/>
    <col min="20" max="20" width="12.625" bestFit="1" customWidth="1"/>
    <col min="21" max="21" width="13.125" bestFit="1" customWidth="1"/>
    <col min="22" max="22" width="9.375" bestFit="1" customWidth="1"/>
    <col min="23" max="23" width="13" bestFit="1" customWidth="1"/>
    <col min="24" max="24" width="12.25" customWidth="1"/>
    <col min="25" max="25" width="16.125" customWidth="1"/>
  </cols>
  <sheetData>
    <row r="1" spans="1:15" ht="15">
      <c r="A1" t="s">
        <v>47</v>
      </c>
      <c r="B1">
        <v>2</v>
      </c>
      <c r="H1" t="s">
        <v>72</v>
      </c>
      <c r="K1" t="s">
        <v>86</v>
      </c>
      <c r="L1" s="27">
        <v>130.68</v>
      </c>
      <c r="M1" t="s">
        <v>87</v>
      </c>
      <c r="N1" t="s">
        <v>72</v>
      </c>
      <c r="O1" s="8">
        <v>2.70590029233333E-10</v>
      </c>
    </row>
    <row r="2" spans="1:15">
      <c r="A2" t="s">
        <v>48</v>
      </c>
      <c r="B2" s="8">
        <f>O6</f>
        <v>6.3942155849131362E-20</v>
      </c>
      <c r="C2" t="s">
        <v>49</v>
      </c>
      <c r="D2" s="8">
        <f>B2*(100^2)</f>
        <v>6.3942155849131364E-16</v>
      </c>
      <c r="E2" t="s">
        <v>50</v>
      </c>
      <c r="H2" s="8">
        <v>2.7058999999999999E-10</v>
      </c>
      <c r="I2" t="s">
        <v>73</v>
      </c>
      <c r="J2" s="7"/>
      <c r="K2" t="s">
        <v>190</v>
      </c>
      <c r="L2">
        <f>L1/6.02E+23</f>
        <v>2.1707641196013289E-22</v>
      </c>
      <c r="M2" t="s">
        <v>57</v>
      </c>
      <c r="N2" t="s">
        <v>48</v>
      </c>
      <c r="O2">
        <f>O1*SQRT(3)*O1/2</f>
        <v>6.3409482793925798E-20</v>
      </c>
    </row>
    <row r="3" spans="1:15">
      <c r="A3" t="s">
        <v>51</v>
      </c>
      <c r="B3" s="8">
        <v>1.5999999999999999E-19</v>
      </c>
      <c r="C3" t="s">
        <v>52</v>
      </c>
      <c r="H3" s="8">
        <f>H2*H2/2*(3^0.5)</f>
        <v>6.3409469092974345E-20</v>
      </c>
      <c r="I3" t="s">
        <v>49</v>
      </c>
      <c r="J3" s="7"/>
      <c r="K3">
        <v>0.26483000000000001</v>
      </c>
      <c r="L3">
        <f>L2/1.6E-19</f>
        <v>1.3567275747508308E-3</v>
      </c>
      <c r="M3" t="s">
        <v>88</v>
      </c>
    </row>
    <row r="4" spans="1:15">
      <c r="A4" t="s">
        <v>53</v>
      </c>
      <c r="B4" s="8">
        <v>6.6200000000000001E-34</v>
      </c>
      <c r="C4" t="s">
        <v>54</v>
      </c>
      <c r="D4" t="s">
        <v>55</v>
      </c>
      <c r="E4">
        <v>8.6099585062240669E-5</v>
      </c>
      <c r="G4" t="s">
        <v>74</v>
      </c>
      <c r="H4" s="8">
        <v>1000</v>
      </c>
      <c r="J4" s="7"/>
      <c r="L4">
        <f>L3*B6</f>
        <v>0.40701827242524924</v>
      </c>
      <c r="M4" t="s">
        <v>89</v>
      </c>
    </row>
    <row r="5" spans="1:15">
      <c r="A5" t="s">
        <v>56</v>
      </c>
      <c r="B5" s="8">
        <v>1.3800000000000001E-23</v>
      </c>
      <c r="C5" t="s">
        <v>57</v>
      </c>
      <c r="D5" t="s">
        <v>58</v>
      </c>
      <c r="E5" s="8">
        <v>8.6250000000000009E-5</v>
      </c>
      <c r="H5" s="8"/>
      <c r="J5" s="7"/>
      <c r="K5">
        <v>0.44</v>
      </c>
      <c r="L5">
        <f>L4-K3+0.328479</f>
        <v>0.47066727242524925</v>
      </c>
      <c r="O5">
        <f>18.51664226 *16.03588259*0.5291*0.5291</f>
        <v>83.124802603870762</v>
      </c>
    </row>
    <row r="6" spans="1:15">
      <c r="A6" t="s">
        <v>59</v>
      </c>
      <c r="B6">
        <v>300</v>
      </c>
      <c r="C6" t="s">
        <v>60</v>
      </c>
      <c r="J6" s="7" t="s">
        <v>189</v>
      </c>
      <c r="K6" t="s">
        <v>187</v>
      </c>
      <c r="L6">
        <v>1850.69</v>
      </c>
      <c r="M6">
        <f>L6/8065.54429</f>
        <v>0.22945630616579257</v>
      </c>
      <c r="O6">
        <f>O5/13/100000000000000000000</f>
        <v>6.3942155849131362E-20</v>
      </c>
    </row>
    <row r="7" spans="1:15" ht="18.75">
      <c r="J7" s="38"/>
      <c r="K7" t="s">
        <v>188</v>
      </c>
      <c r="L7" s="37">
        <v>4225</v>
      </c>
      <c r="M7">
        <f>L7/8065.54429</f>
        <v>0.52383321547664574</v>
      </c>
    </row>
    <row r="8" spans="1:15" ht="18.75">
      <c r="A8" t="s">
        <v>61</v>
      </c>
      <c r="B8" s="3">
        <f>J2-J10</f>
        <v>0</v>
      </c>
      <c r="C8" t="s">
        <v>62</v>
      </c>
      <c r="J8" s="7"/>
      <c r="K8" t="s">
        <v>4</v>
      </c>
      <c r="L8" s="37">
        <v>1218</v>
      </c>
      <c r="M8">
        <f>L8/8065.54429</f>
        <v>0.15101274708888865</v>
      </c>
    </row>
    <row r="9" spans="1:15">
      <c r="C9" s="2" t="s">
        <v>63</v>
      </c>
      <c r="D9" t="s">
        <v>64</v>
      </c>
      <c r="J9" s="7"/>
      <c r="M9">
        <f>M7-M8+0.16+0.4</f>
        <v>0.93282046838775712</v>
      </c>
    </row>
    <row r="10" spans="1:15">
      <c r="D10" t="s">
        <v>65</v>
      </c>
      <c r="F10" t="s">
        <v>66</v>
      </c>
      <c r="J10" s="7"/>
    </row>
    <row r="11" spans="1:15">
      <c r="D11" t="s">
        <v>67</v>
      </c>
      <c r="E11" t="s">
        <v>68</v>
      </c>
      <c r="F11" t="s">
        <v>67</v>
      </c>
    </row>
    <row r="12" spans="1:15" ht="15">
      <c r="A12" s="20" t="s">
        <v>62</v>
      </c>
      <c r="D12" t="s">
        <v>69</v>
      </c>
      <c r="K12" t="s">
        <v>70</v>
      </c>
      <c r="L12" t="s">
        <v>71</v>
      </c>
    </row>
    <row r="13" spans="1:15">
      <c r="A13" s="7" t="s">
        <v>75</v>
      </c>
      <c r="B13" s="7"/>
      <c r="D13" s="3"/>
      <c r="E13" s="7"/>
      <c r="H13" s="8"/>
      <c r="K13" s="21"/>
      <c r="M13" s="22">
        <f>SLOPE(M14:M21, L14:L21)</f>
        <v>-8.7869032444334638E-2</v>
      </c>
    </row>
    <row r="14" spans="1:15">
      <c r="A14" s="7">
        <v>1</v>
      </c>
      <c r="B14" s="7"/>
      <c r="D14" s="3">
        <v>0.76</v>
      </c>
      <c r="E14" s="7"/>
      <c r="H14" s="8"/>
      <c r="K14" s="21">
        <f t="shared" ref="K14:K21" si="0">-$B$1*$B$5*$B$6/$B$4*$B$3*(EXP(-D14/$E$5/$B$6)/$D$2*1000)</f>
        <v>-0.54880230279002229</v>
      </c>
      <c r="L14">
        <f>LN(-K14)</f>
        <v>-0.60001700653330603</v>
      </c>
      <c r="M14" s="7">
        <f>-A14</f>
        <v>-1</v>
      </c>
      <c r="N14">
        <v>-0.27670632539052337</v>
      </c>
    </row>
    <row r="15" spans="1:15">
      <c r="A15">
        <v>1.1499999999999999</v>
      </c>
      <c r="B15" s="7"/>
      <c r="D15">
        <v>0.72003834472928685</v>
      </c>
      <c r="K15" s="21">
        <f t="shared" si="0"/>
        <v>-2.5712567608115271</v>
      </c>
      <c r="L15">
        <f t="shared" ref="L15:L21" si="1">LN(-K15)</f>
        <v>0.94439479136865212</v>
      </c>
      <c r="M15" s="7">
        <f t="shared" ref="M15:M21" si="2">-A15</f>
        <v>-1.1499999999999999</v>
      </c>
      <c r="N15">
        <v>-1.2964286161020695</v>
      </c>
    </row>
    <row r="16" spans="1:15">
      <c r="A16">
        <v>1.2</v>
      </c>
      <c r="B16" s="7"/>
      <c r="D16">
        <v>0.70523814328075585</v>
      </c>
      <c r="K16" s="21">
        <f t="shared" si="0"/>
        <v>-4.5557184823535604</v>
      </c>
      <c r="L16">
        <f t="shared" si="1"/>
        <v>1.5163832531476311</v>
      </c>
      <c r="M16" s="7">
        <f t="shared" si="2"/>
        <v>-1.2</v>
      </c>
      <c r="N16">
        <v>-2.296994954935645</v>
      </c>
    </row>
    <row r="17" spans="1:29">
      <c r="A17">
        <v>1.25</v>
      </c>
      <c r="B17" s="7"/>
      <c r="D17">
        <v>0.69025508508227928</v>
      </c>
      <c r="K17" s="21">
        <f t="shared" si="0"/>
        <v>-8.1290059154453793</v>
      </c>
      <c r="L17">
        <f>LN(-K17)</f>
        <v>2.0954386424607359</v>
      </c>
      <c r="M17" s="7">
        <f t="shared" si="2"/>
        <v>-1.25</v>
      </c>
      <c r="N17">
        <v>-4.0986478090660325</v>
      </c>
    </row>
    <row r="18" spans="1:29">
      <c r="A18" s="7">
        <v>1.3</v>
      </c>
      <c r="B18" s="7"/>
      <c r="D18" s="3">
        <v>0.67508917009842617</v>
      </c>
      <c r="E18" s="7"/>
      <c r="H18" s="8"/>
      <c r="K18" s="21">
        <f t="shared" si="0"/>
        <v>-14.607877831245572</v>
      </c>
      <c r="L18">
        <f t="shared" si="1"/>
        <v>2.6815609606772779</v>
      </c>
      <c r="M18" s="7">
        <f t="shared" si="2"/>
        <v>-1.3</v>
      </c>
      <c r="N18">
        <v>-7.3652974411519532</v>
      </c>
    </row>
    <row r="19" spans="1:29">
      <c r="A19" s="7">
        <v>1.35</v>
      </c>
      <c r="B19" s="7"/>
      <c r="D19" s="3">
        <v>0.65974039836968901</v>
      </c>
      <c r="E19" s="7"/>
      <c r="H19" s="8"/>
      <c r="K19" s="21">
        <f t="shared" si="0"/>
        <v>-26.436620952560165</v>
      </c>
      <c r="L19">
        <f t="shared" si="1"/>
        <v>3.2747502062323375</v>
      </c>
      <c r="M19" s="7">
        <f t="shared" si="2"/>
        <v>-1.35</v>
      </c>
      <c r="N19">
        <v>-13.32935412686107</v>
      </c>
    </row>
    <row r="20" spans="1:29">
      <c r="A20" s="7">
        <v>1.4</v>
      </c>
      <c r="B20" s="7"/>
      <c r="D20" s="3">
        <v>0.64420876987582154</v>
      </c>
      <c r="E20" s="7"/>
      <c r="H20" s="8"/>
      <c r="K20" s="21">
        <f t="shared" si="0"/>
        <v>-48.183005693279753</v>
      </c>
      <c r="L20">
        <f t="shared" si="1"/>
        <v>3.8750063799083745</v>
      </c>
      <c r="M20" s="7">
        <f t="shared" si="2"/>
        <v>-1.4</v>
      </c>
      <c r="N20">
        <v>-24.293889409497037</v>
      </c>
    </row>
    <row r="21" spans="1:29">
      <c r="A21" s="7">
        <v>1.45</v>
      </c>
      <c r="B21" s="7"/>
      <c r="D21" s="3">
        <v>0.62849428460670065</v>
      </c>
      <c r="E21" s="7"/>
      <c r="H21" s="8"/>
      <c r="K21" s="21">
        <f t="shared" si="0"/>
        <v>-88.44045335409858</v>
      </c>
      <c r="L21">
        <f t="shared" si="1"/>
        <v>4.4823294820966249</v>
      </c>
      <c r="M21" s="7">
        <f t="shared" si="2"/>
        <v>-1.45</v>
      </c>
      <c r="N21">
        <v>-44.591709508274185</v>
      </c>
    </row>
    <row r="22" spans="1:29">
      <c r="H22">
        <v>0.31784238304902351</v>
      </c>
    </row>
    <row r="23" spans="1:29">
      <c r="A23" t="s">
        <v>76</v>
      </c>
      <c r="H23">
        <v>0.35559962192833749</v>
      </c>
    </row>
    <row r="24" spans="1:29">
      <c r="A24">
        <v>-2</v>
      </c>
      <c r="D24">
        <v>0.6952781132118695</v>
      </c>
      <c r="H24">
        <v>0.39170420264987194</v>
      </c>
      <c r="K24" s="21">
        <f t="shared" ref="K24:K29" si="3">-$B$1*$B$5*$B$6/$B$4*$B$3*(EXP(-D24/$E$5/$B$6)/$D$2*1000)</f>
        <v>-6.6946717677216139</v>
      </c>
      <c r="L24">
        <f t="shared" ref="L24:L29" si="4">LN(-K24)</f>
        <v>1.9013119514620775</v>
      </c>
      <c r="M24">
        <f t="shared" ref="M24:M29" si="5">-A24</f>
        <v>2</v>
      </c>
    </row>
    <row r="25" spans="1:29">
      <c r="A25">
        <v>-2.1</v>
      </c>
      <c r="D25">
        <v>0.66488553461638966</v>
      </c>
      <c r="H25">
        <v>0.45075315004720801</v>
      </c>
      <c r="K25" s="21">
        <f t="shared" si="3"/>
        <v>-21.669470075318234</v>
      </c>
      <c r="L25">
        <f t="shared" si="4"/>
        <v>3.0759043609492212</v>
      </c>
      <c r="M25">
        <f t="shared" si="5"/>
        <v>2.1</v>
      </c>
    </row>
    <row r="26" spans="1:29">
      <c r="A26">
        <v>-2.2000000000000002</v>
      </c>
      <c r="D26">
        <v>0.63376152894014248</v>
      </c>
      <c r="H26">
        <v>0.50935114817390137</v>
      </c>
      <c r="K26" s="21">
        <f t="shared" si="3"/>
        <v>-72.151240881208551</v>
      </c>
      <c r="L26">
        <f t="shared" si="4"/>
        <v>4.2787644837027345</v>
      </c>
      <c r="M26">
        <f t="shared" si="5"/>
        <v>2.2000000000000002</v>
      </c>
      <c r="T26" t="s">
        <v>45</v>
      </c>
      <c r="U26" t="s">
        <v>24</v>
      </c>
      <c r="V26" t="s">
        <v>46</v>
      </c>
      <c r="W26" t="s">
        <v>27</v>
      </c>
      <c r="Y26" t="s">
        <v>24</v>
      </c>
      <c r="Z26" t="s">
        <v>46</v>
      </c>
      <c r="AC26" t="s">
        <v>194</v>
      </c>
    </row>
    <row r="27" spans="1:29">
      <c r="A27">
        <v>-2.2999999999999998</v>
      </c>
      <c r="D27">
        <v>0.60190609621349722</v>
      </c>
      <c r="H27">
        <v>0.55849680094979703</v>
      </c>
      <c r="K27" s="21">
        <f t="shared" si="3"/>
        <v>-247.12451490847093</v>
      </c>
      <c r="L27">
        <f t="shared" si="4"/>
        <v>5.5098923185489292</v>
      </c>
      <c r="M27">
        <f t="shared" si="5"/>
        <v>2.2999999999999998</v>
      </c>
      <c r="S27">
        <v>-5.2038672036823064</v>
      </c>
      <c r="T27">
        <v>-0.11632918399677913</v>
      </c>
      <c r="X27">
        <v>-5.2038672036823064</v>
      </c>
    </row>
    <row r="28" spans="1:29">
      <c r="A28">
        <v>-2.4</v>
      </c>
      <c r="D28">
        <v>0.56931923645163851</v>
      </c>
      <c r="H28">
        <v>0.59819010844069498</v>
      </c>
      <c r="K28" s="21">
        <f t="shared" si="3"/>
        <v>-870.69162309340038</v>
      </c>
      <c r="L28">
        <f t="shared" si="4"/>
        <v>6.7692878649009574</v>
      </c>
      <c r="M28">
        <f t="shared" si="5"/>
        <v>2.4</v>
      </c>
      <c r="S28">
        <v>-2.3722714897021522</v>
      </c>
      <c r="T28">
        <v>-4.6115297776819067E-2</v>
      </c>
      <c r="X28">
        <v>-2.3722714897021522</v>
      </c>
    </row>
    <row r="29" spans="1:29">
      <c r="A29">
        <v>-2.5</v>
      </c>
      <c r="D29">
        <v>0.53600094959382782</v>
      </c>
      <c r="K29" s="21">
        <f t="shared" si="3"/>
        <v>-3155.6542574907899</v>
      </c>
      <c r="L29">
        <f t="shared" si="4"/>
        <v>8.0569511251061989</v>
      </c>
      <c r="M29">
        <f t="shared" si="5"/>
        <v>2.5</v>
      </c>
      <c r="S29">
        <v>-1.0114873025096562E-2</v>
      </c>
      <c r="T29">
        <v>-1.1905132517752468E-2</v>
      </c>
      <c r="X29">
        <v>-1.0114873025096562E-2</v>
      </c>
    </row>
    <row r="30" spans="1:29">
      <c r="S30">
        <v>0.30622931684784543</v>
      </c>
      <c r="T30">
        <v>0.10512940888176778</v>
      </c>
      <c r="X30">
        <v>0.30622931684784543</v>
      </c>
    </row>
    <row r="31" spans="1:29">
      <c r="S31">
        <v>4.8032299011544781</v>
      </c>
      <c r="T31">
        <v>0.13682741158225162</v>
      </c>
      <c r="X31">
        <v>4.8032299011544781</v>
      </c>
    </row>
    <row r="32" spans="1:29">
      <c r="I32">
        <v>0.41432449992482917</v>
      </c>
      <c r="S32">
        <v>-5.2022643139395743</v>
      </c>
      <c r="U32">
        <v>-0.11799999999999999</v>
      </c>
      <c r="X32">
        <v>-5.2022643139395743</v>
      </c>
    </row>
    <row r="33" spans="2:29">
      <c r="I33">
        <v>0.41612258952353959</v>
      </c>
      <c r="S33">
        <v>-3.4312987681697624</v>
      </c>
      <c r="U33">
        <v>-3.1805211249148466E-2</v>
      </c>
      <c r="X33">
        <v>-3.4312987681697624</v>
      </c>
      <c r="Y33">
        <f t="shared" ref="Y33:Y36" si="6">U33-0.02</f>
        <v>-5.180521124914847E-2</v>
      </c>
    </row>
    <row r="34" spans="2:29">
      <c r="D34">
        <v>0.24642054641963509</v>
      </c>
      <c r="I34">
        <v>0.41755644493716082</v>
      </c>
      <c r="J34">
        <v>-0.2</v>
      </c>
      <c r="K34" s="8">
        <f t="shared" ref="K34:K41" si="7">-$B$1*$B$5*$B$6/$B$4*$B$3*(EXP(-D34/$E$5/$B$6)/$D$2*1000)</f>
        <v>-228824133.6755574</v>
      </c>
      <c r="L34">
        <f t="shared" ref="L34:L41" si="8">LN(-K34)</f>
        <v>19.248464291258575</v>
      </c>
      <c r="M34">
        <v>-0.2</v>
      </c>
      <c r="S34">
        <v>-1.0394726236774776</v>
      </c>
      <c r="U34">
        <v>2.2070289628675931E-2</v>
      </c>
      <c r="X34">
        <v>-1.0394726236774776</v>
      </c>
      <c r="Y34">
        <f t="shared" si="6"/>
        <v>2.0702896286759302E-3</v>
      </c>
    </row>
    <row r="35" spans="2:29">
      <c r="D35">
        <v>0.31784238304902351</v>
      </c>
      <c r="F35">
        <v>0.38270280661020911</v>
      </c>
      <c r="I35">
        <v>0.41862606614038511</v>
      </c>
      <c r="J35">
        <v>-0.1</v>
      </c>
      <c r="K35" s="8">
        <f t="shared" si="7"/>
        <v>-14478857.98971042</v>
      </c>
      <c r="L35">
        <f t="shared" si="8"/>
        <v>16.488200073697669</v>
      </c>
      <c r="M35">
        <v>-0.1</v>
      </c>
      <c r="S35">
        <v>0.21002648232994314</v>
      </c>
      <c r="U35">
        <v>7.0351868102003515E-2</v>
      </c>
      <c r="X35">
        <v>0.21002648232994314</v>
      </c>
      <c r="Y35">
        <f t="shared" si="6"/>
        <v>5.0351868102003511E-2</v>
      </c>
    </row>
    <row r="36" spans="2:29">
      <c r="D36">
        <v>0.35559962192833749</v>
      </c>
      <c r="F36">
        <v>0.45075315004720801</v>
      </c>
      <c r="I36">
        <v>0.41933145319395093</v>
      </c>
      <c r="J36">
        <v>0</v>
      </c>
      <c r="K36" s="8">
        <f t="shared" si="7"/>
        <v>-3365150.0524552669</v>
      </c>
      <c r="L36">
        <f t="shared" si="8"/>
        <v>15.028983112178286</v>
      </c>
      <c r="M36">
        <v>0</v>
      </c>
      <c r="S36">
        <v>1.5084812978088733</v>
      </c>
      <c r="U36">
        <v>0.12893127759955758</v>
      </c>
      <c r="X36">
        <v>1.5084812978088733</v>
      </c>
      <c r="Y36">
        <f t="shared" si="6"/>
        <v>0.10893127759955758</v>
      </c>
    </row>
    <row r="37" spans="2:29">
      <c r="D37">
        <v>0.39170420264987194</v>
      </c>
      <c r="F37">
        <v>0.50935114817390137</v>
      </c>
      <c r="I37">
        <v>0.41967260604218132</v>
      </c>
      <c r="J37">
        <v>0.1</v>
      </c>
      <c r="K37" s="8">
        <f t="shared" si="7"/>
        <v>-833706.74710944225</v>
      </c>
      <c r="L37">
        <f t="shared" si="8"/>
        <v>13.63363699733638</v>
      </c>
      <c r="M37">
        <v>0.1</v>
      </c>
      <c r="S37">
        <v>-2.8699403500445495</v>
      </c>
      <c r="V37">
        <v>-4.8377859706281938E-2</v>
      </c>
      <c r="X37">
        <v>-2.8699403500445495</v>
      </c>
      <c r="Z37">
        <f t="shared" ref="Z37:Z42" si="9">V37-0.02</f>
        <v>-6.8377859706281935E-2</v>
      </c>
    </row>
    <row r="38" spans="2:29">
      <c r="D38">
        <v>0.45075315004720801</v>
      </c>
      <c r="F38">
        <v>0.55849680094979703</v>
      </c>
      <c r="J38">
        <v>0.2</v>
      </c>
      <c r="K38" s="8">
        <f t="shared" si="7"/>
        <v>-85097.426547373878</v>
      </c>
      <c r="L38">
        <f t="shared" si="8"/>
        <v>11.351552073767834</v>
      </c>
      <c r="M38">
        <v>0.2</v>
      </c>
      <c r="S38">
        <v>-1.289517509918066</v>
      </c>
      <c r="V38">
        <v>-2.4842533586448647E-2</v>
      </c>
      <c r="X38">
        <v>-1.289517509918066</v>
      </c>
      <c r="Z38">
        <f t="shared" si="9"/>
        <v>-4.4842533586448644E-2</v>
      </c>
    </row>
    <row r="39" spans="2:29">
      <c r="D39">
        <v>0.50935114817390137</v>
      </c>
      <c r="F39">
        <v>0.59819010844069498</v>
      </c>
      <c r="J39">
        <v>0.3</v>
      </c>
      <c r="K39" s="8">
        <f t="shared" si="7"/>
        <v>-8838.7004891450797</v>
      </c>
      <c r="L39">
        <f t="shared" si="8"/>
        <v>9.0868951413352406</v>
      </c>
      <c r="M39">
        <v>0.3</v>
      </c>
      <c r="S39">
        <v>0.95268672621074146</v>
      </c>
      <c r="V39">
        <v>3.8676664935427742E-2</v>
      </c>
      <c r="X39">
        <v>0.95268672621074146</v>
      </c>
      <c r="Z39">
        <f t="shared" si="9"/>
        <v>1.8676664935427741E-2</v>
      </c>
    </row>
    <row r="40" spans="2:29">
      <c r="D40">
        <v>0.55849680094979703</v>
      </c>
      <c r="J40">
        <v>0.4</v>
      </c>
      <c r="K40" s="8">
        <f t="shared" si="7"/>
        <v>-1322.8532578944119</v>
      </c>
      <c r="L40">
        <f t="shared" si="8"/>
        <v>7.1875462417837186</v>
      </c>
      <c r="M40">
        <v>0.4</v>
      </c>
      <c r="S40">
        <v>1.4244946652812305</v>
      </c>
      <c r="V40">
        <v>5.6570862963814111E-2</v>
      </c>
      <c r="X40">
        <v>1.4244946652812305</v>
      </c>
      <c r="Z40">
        <f t="shared" si="9"/>
        <v>3.6570862963814108E-2</v>
      </c>
    </row>
    <row r="41" spans="2:29">
      <c r="D41">
        <v>0.59819010844069498</v>
      </c>
      <c r="J41">
        <v>0.5</v>
      </c>
      <c r="K41" s="8">
        <f t="shared" si="7"/>
        <v>-285.28976200798718</v>
      </c>
      <c r="L41">
        <f t="shared" si="8"/>
        <v>5.6535053725702697</v>
      </c>
      <c r="M41">
        <v>0.5</v>
      </c>
      <c r="S41">
        <v>1.9691649147290504</v>
      </c>
      <c r="V41">
        <v>9.4753893705123354E-2</v>
      </c>
      <c r="X41">
        <v>1.9691649147290504</v>
      </c>
      <c r="Z41">
        <f t="shared" si="9"/>
        <v>7.475389370512335E-2</v>
      </c>
    </row>
    <row r="42" spans="2:29">
      <c r="S42">
        <v>3.6810676067884871</v>
      </c>
      <c r="V42">
        <v>0.12228198686529515</v>
      </c>
      <c r="X42">
        <v>3.6810676067884871</v>
      </c>
      <c r="Z42">
        <f t="shared" si="9"/>
        <v>0.10228198686529515</v>
      </c>
    </row>
    <row r="43" spans="2:29">
      <c r="S43">
        <v>-7.6175328345622138</v>
      </c>
      <c r="W43">
        <v>-0.18502096030023163</v>
      </c>
      <c r="X43">
        <v>-7.6175328345622138</v>
      </c>
    </row>
    <row r="44" spans="2:29">
      <c r="B44" t="s">
        <v>19</v>
      </c>
      <c r="C44" t="s">
        <v>25</v>
      </c>
      <c r="E44" t="s">
        <v>74</v>
      </c>
      <c r="F44" t="s">
        <v>90</v>
      </c>
      <c r="S44">
        <v>-0.6083280214136727</v>
      </c>
      <c r="W44">
        <v>-5.0623884807076198E-2</v>
      </c>
      <c r="X44">
        <v>-0.6083280214136727</v>
      </c>
    </row>
    <row r="45" spans="2:29">
      <c r="B45">
        <v>-0.1139</v>
      </c>
      <c r="C45">
        <v>13</v>
      </c>
      <c r="D45">
        <f>1.12-L4</f>
        <v>0.71298172757475087</v>
      </c>
      <c r="E45">
        <v>3</v>
      </c>
      <c r="F45">
        <f>C45/13</f>
        <v>1</v>
      </c>
      <c r="I45">
        <f>(B45-B46)/(L45-L46)</f>
        <v>-4.9524610796582394E-2</v>
      </c>
      <c r="K45" s="28">
        <f>-$B$1*$B$5*$B$6/$B$4*$B$3*(EXP(-D45/$E$5/$B$6)/$D$2*1000)*E45*F45</f>
        <v>-10.132282194864505</v>
      </c>
      <c r="L45">
        <f>LN(-K45)</f>
        <v>2.3157265835937078</v>
      </c>
      <c r="M45">
        <v>-0.1139</v>
      </c>
      <c r="S45">
        <v>-0.38735787747155526</v>
      </c>
      <c r="W45">
        <v>6.0377458781365086E-3</v>
      </c>
      <c r="X45">
        <v>-0.38735787747155526</v>
      </c>
    </row>
    <row r="46" spans="2:29">
      <c r="B46">
        <v>0</v>
      </c>
      <c r="C46">
        <v>7</v>
      </c>
      <c r="D46">
        <f xml:space="preserve"> 1.153-L4</f>
        <v>0.74598172757475079</v>
      </c>
      <c r="E46">
        <v>2</v>
      </c>
      <c r="F46">
        <f>C46/13</f>
        <v>0.53846153846153844</v>
      </c>
      <c r="K46" s="28">
        <f>-$B$1*$B$5*$B$6/$B$4*$B$3*(EXP(-D46/$E$5/$B$6)/$D$2*1000)*E46*F46</f>
        <v>-1.0159863847590029</v>
      </c>
      <c r="L46">
        <f>LN(-K46)</f>
        <v>1.5859948238745238E-2</v>
      </c>
      <c r="M46">
        <v>0</v>
      </c>
      <c r="S46">
        <v>0.26283900341448119</v>
      </c>
      <c r="W46">
        <v>7.899900910442198E-2</v>
      </c>
      <c r="X46">
        <v>0.26283900341448119</v>
      </c>
    </row>
    <row r="47" spans="2:29">
      <c r="S47">
        <v>3.3206077317891469</v>
      </c>
      <c r="W47">
        <v>9.0980675132027705E-2</v>
      </c>
      <c r="X47">
        <v>3.3206077317891469</v>
      </c>
    </row>
    <row r="48" spans="2:29">
      <c r="H48" t="s">
        <v>44</v>
      </c>
      <c r="X48">
        <f>LOG(-Y82)</f>
        <v>0.13231306561197004</v>
      </c>
      <c r="AC48">
        <f>-T82</f>
        <v>0</v>
      </c>
    </row>
    <row r="49" spans="1:29">
      <c r="B49" t="s">
        <v>91</v>
      </c>
      <c r="C49">
        <f>(B45-B46)/(L45-L46)*1000</f>
        <v>-49.524610796582394</v>
      </c>
      <c r="P49">
        <v>-5.8676664935427739E-2</v>
      </c>
      <c r="X49">
        <f t="shared" ref="X49:X54" si="10">LOG(-Y83)</f>
        <v>0.5608383457340439</v>
      </c>
      <c r="AC49">
        <f t="shared" ref="AC49:AC54" si="11">-T83</f>
        <v>5.0000000000000001E-3</v>
      </c>
    </row>
    <row r="50" spans="1:29">
      <c r="X50">
        <f t="shared" si="10"/>
        <v>0.86773668015320182</v>
      </c>
      <c r="AC50">
        <f t="shared" si="11"/>
        <v>0.01</v>
      </c>
    </row>
    <row r="51" spans="1:29">
      <c r="X51">
        <f t="shared" si="10"/>
        <v>1.1121666262314673</v>
      </c>
      <c r="AC51">
        <f t="shared" si="11"/>
        <v>1.4999999999999999E-2</v>
      </c>
    </row>
    <row r="52" spans="1:29">
      <c r="B52" s="7">
        <v>0.12721348079902572</v>
      </c>
      <c r="C52">
        <v>2</v>
      </c>
      <c r="D52" s="8">
        <f>G52-L$4</f>
        <v>1.0857842454277802</v>
      </c>
      <c r="E52">
        <v>1</v>
      </c>
      <c r="F52">
        <f>C52/13</f>
        <v>0.15384615384615385</v>
      </c>
      <c r="G52" s="8">
        <v>1.4928025178530293</v>
      </c>
      <c r="H52" s="28">
        <f>-$B$1*$B$5*$B$6/$B$4*$B$3*(EXP(-D52/$E$5/$B$6)/$D$2*1000)*E52*F52</f>
        <v>-2.8736442334581042E-7</v>
      </c>
      <c r="I52">
        <f>LN(-H52)</f>
        <v>-15.062514658904659</v>
      </c>
      <c r="J52" s="8">
        <f>-B52</f>
        <v>-0.12721348079902572</v>
      </c>
      <c r="K52" s="8">
        <f>(I52-I53)/(J52-J53)</f>
        <v>43.930314101798544</v>
      </c>
      <c r="L52" s="8">
        <f>1/K52</f>
        <v>2.2763324607302526E-2</v>
      </c>
      <c r="X52">
        <f t="shared" si="10"/>
        <v>1.3181417926389789</v>
      </c>
      <c r="AC52">
        <f t="shared" si="11"/>
        <v>0.02</v>
      </c>
    </row>
    <row r="53" spans="1:29">
      <c r="B53" s="7">
        <v>-1.8871144944030565E-2</v>
      </c>
      <c r="C53">
        <v>4</v>
      </c>
      <c r="D53" s="8">
        <f>G53-L$4</f>
        <v>0.95560067410580951</v>
      </c>
      <c r="E53">
        <v>2</v>
      </c>
      <c r="F53">
        <f>C53/13</f>
        <v>0.30769230769230771</v>
      </c>
      <c r="G53" s="8">
        <v>1.3626189465310588</v>
      </c>
      <c r="H53" s="28">
        <f>-$B$1*$B$5*$B$6/$B$4*$B$3*(EXP(-D53/$E$5/$B$6)/$D$2*1000)*E53*F53</f>
        <v>-1.7600975038101454E-4</v>
      </c>
      <c r="I53">
        <f>LN(-H53)</f>
        <v>-8.6449711645685117</v>
      </c>
      <c r="J53" s="8">
        <f>-B53</f>
        <v>1.8871144944030565E-2</v>
      </c>
      <c r="N53">
        <v>4.8425335864486461E-3</v>
      </c>
      <c r="O53">
        <v>-5.8676664935427739E-2</v>
      </c>
      <c r="X53">
        <f t="shared" si="10"/>
        <v>1.4978870736323642</v>
      </c>
      <c r="AC53">
        <f t="shared" si="11"/>
        <v>2.5000000000000001E-2</v>
      </c>
    </row>
    <row r="54" spans="1:29">
      <c r="B54" s="7">
        <v>-7.957130918835012E-2</v>
      </c>
      <c r="C54">
        <v>7</v>
      </c>
      <c r="D54" s="8">
        <f>G54-L$4</f>
        <v>0.74655222065058535</v>
      </c>
      <c r="E54">
        <v>2</v>
      </c>
      <c r="F54">
        <f>C54/13</f>
        <v>0.53846153846153844</v>
      </c>
      <c r="G54" s="8">
        <v>1.1535704930758346</v>
      </c>
      <c r="H54" s="28">
        <f>-$B$1*$B$5*$B$6/$B$4*$B$3*(EXP(-D54/$E$5/$B$6)/$D$2*1000)*E54*F54</f>
        <v>-0.99383101347828284</v>
      </c>
      <c r="I54">
        <f>LN(-H54)</f>
        <v>-6.1880933394001456E-3</v>
      </c>
      <c r="J54" s="8">
        <f>-B54</f>
        <v>7.957130918835012E-2</v>
      </c>
      <c r="K54" s="8">
        <f>(I54-I55)/(J54-J55)</f>
        <v>68.336082023613983</v>
      </c>
      <c r="L54" s="8">
        <f>1/K54</f>
        <v>1.4633557710470486E-2</v>
      </c>
      <c r="N54">
        <v>-0.18367862396889811</v>
      </c>
      <c r="O54">
        <v>-32.082104812903268</v>
      </c>
      <c r="X54">
        <f t="shared" si="10"/>
        <v>1.658488268389259</v>
      </c>
      <c r="AC54">
        <f t="shared" si="11"/>
        <v>3.0000000000000002E-2</v>
      </c>
    </row>
    <row r="55" spans="1:29">
      <c r="B55" s="7">
        <v>-0.11396395223386269</v>
      </c>
      <c r="C55">
        <v>13</v>
      </c>
      <c r="D55" s="8">
        <f>G55-L$4</f>
        <v>0.71224833176957325</v>
      </c>
      <c r="E55">
        <v>3</v>
      </c>
      <c r="F55">
        <f>C55/13</f>
        <v>1</v>
      </c>
      <c r="G55" s="8">
        <v>1.1192666041948225</v>
      </c>
      <c r="H55" s="28">
        <f>-$B$1*$B$5*$B$6/$B$4*$B$3*(EXP(-D55/$E$5/$B$6)/$D$2*1000)*E55*F55</f>
        <v>-10.423578284815674</v>
      </c>
      <c r="I55">
        <f>LN(-H55)</f>
        <v>2.3440703828276237</v>
      </c>
      <c r="J55" s="8">
        <f>-B55</f>
        <v>0.11396395223386269</v>
      </c>
      <c r="N55">
        <v>-0.1</v>
      </c>
      <c r="O55">
        <v>-100</v>
      </c>
    </row>
    <row r="56" spans="1:29">
      <c r="Z56">
        <v>-9.0980675132027705E-2</v>
      </c>
      <c r="AA56">
        <f>-Z56</f>
        <v>9.0980675132027705E-2</v>
      </c>
    </row>
    <row r="57" spans="1:29">
      <c r="A57" t="s">
        <v>25</v>
      </c>
      <c r="B57">
        <v>9.632918399677913E-2</v>
      </c>
      <c r="C57">
        <v>2</v>
      </c>
      <c r="D57">
        <v>1.413103180949838</v>
      </c>
      <c r="E57">
        <v>1</v>
      </c>
      <c r="F57">
        <f t="shared" ref="F57:F71" si="12">C57/13</f>
        <v>0.15384615384615385</v>
      </c>
      <c r="G57">
        <f t="shared" ref="G57:G70" si="13">D57-K$5</f>
        <v>0.97310318094983805</v>
      </c>
      <c r="H57" s="8">
        <f t="shared" ref="H57:H76" si="14">-$B$1*$B$5*$B$6/$B$4*$B$3*(EXP(-G57/$E$5/$B$6)/$D$2*1000)*E57*F57</f>
        <v>-2.2372211864739642E-5</v>
      </c>
      <c r="I57">
        <f t="shared" ref="I57:I76" si="15">LOG(-H57)</f>
        <v>-4.6502910765576431</v>
      </c>
      <c r="J57">
        <f t="shared" ref="J57:J71" si="16">-B57</f>
        <v>-9.632918399677913E-2</v>
      </c>
      <c r="K57" s="8">
        <f>(I57-I58)/(J57-J58)</f>
        <v>40.328143995755617</v>
      </c>
      <c r="L57" s="8">
        <f>1/K57</f>
        <v>2.4796578788878709E-2</v>
      </c>
    </row>
    <row r="58" spans="1:29">
      <c r="B58">
        <v>2.6115297776819067E-2</v>
      </c>
      <c r="C58">
        <v>6</v>
      </c>
      <c r="D58">
        <v>1.2728250305888651</v>
      </c>
      <c r="E58">
        <v>1</v>
      </c>
      <c r="F58">
        <f t="shared" si="12"/>
        <v>0.46153846153846156</v>
      </c>
      <c r="G58">
        <f t="shared" si="13"/>
        <v>0.83282503058886515</v>
      </c>
      <c r="H58" s="8">
        <f t="shared" si="14"/>
        <v>-1.518114881192357E-2</v>
      </c>
      <c r="I58">
        <f t="shared" si="15"/>
        <v>-1.8186953625774922</v>
      </c>
      <c r="J58">
        <f t="shared" si="16"/>
        <v>-2.6115297776819067E-2</v>
      </c>
      <c r="X58" t="s">
        <v>46</v>
      </c>
    </row>
    <row r="59" spans="1:29">
      <c r="B59">
        <v>-8.0948674822475322E-3</v>
      </c>
      <c r="C59">
        <v>9</v>
      </c>
      <c r="D59">
        <v>1.1425805916529497</v>
      </c>
      <c r="E59">
        <v>1</v>
      </c>
      <c r="F59">
        <f t="shared" si="12"/>
        <v>0.69230769230769229</v>
      </c>
      <c r="G59">
        <f t="shared" si="13"/>
        <v>0.70258059165294973</v>
      </c>
      <c r="H59" s="8">
        <f t="shared" si="14"/>
        <v>-3.4951132629851629</v>
      </c>
      <c r="I59">
        <f t="shared" si="15"/>
        <v>0.54346125409956336</v>
      </c>
      <c r="J59">
        <f t="shared" si="16"/>
        <v>8.0948674822475322E-3</v>
      </c>
      <c r="K59" s="8">
        <f>(I59-I60)/(J59-J60)</f>
        <v>2.7029985001866912</v>
      </c>
      <c r="L59" s="8">
        <f>1/K59</f>
        <v>0.36995950975589953</v>
      </c>
    </row>
    <row r="60" spans="1:29">
      <c r="B60">
        <v>-0.12512940888176777</v>
      </c>
      <c r="C60">
        <v>11</v>
      </c>
      <c r="D60">
        <v>1.1289253522627405</v>
      </c>
      <c r="E60">
        <v>1</v>
      </c>
      <c r="F60">
        <f t="shared" si="12"/>
        <v>0.84615384615384615</v>
      </c>
      <c r="G60">
        <f t="shared" si="13"/>
        <v>0.68892535226274054</v>
      </c>
      <c r="H60" s="8">
        <f t="shared" si="14"/>
        <v>-7.2411149862517359</v>
      </c>
      <c r="I60">
        <f t="shared" si="15"/>
        <v>0.8598054439725038</v>
      </c>
      <c r="J60">
        <f t="shared" si="16"/>
        <v>0.12512940888176777</v>
      </c>
      <c r="R60">
        <v>-4.8265385254482431E-3</v>
      </c>
      <c r="T60">
        <v>0.02</v>
      </c>
      <c r="U60" t="s">
        <v>24</v>
      </c>
      <c r="V60" t="s">
        <v>46</v>
      </c>
      <c r="W60" t="s">
        <v>25</v>
      </c>
      <c r="X60" t="s">
        <v>27</v>
      </c>
      <c r="Y60" t="s">
        <v>194</v>
      </c>
    </row>
    <row r="61" spans="1:29">
      <c r="B61">
        <v>-0.15682741158225161</v>
      </c>
      <c r="C61">
        <v>13</v>
      </c>
      <c r="D61">
        <v>0.86531932829311697</v>
      </c>
      <c r="E61">
        <v>1</v>
      </c>
      <c r="F61">
        <f t="shared" si="12"/>
        <v>1</v>
      </c>
      <c r="G61">
        <f t="shared" si="13"/>
        <v>0.42531932829311697</v>
      </c>
      <c r="H61" s="8">
        <f t="shared" si="14"/>
        <v>-227408.15163511172</v>
      </c>
      <c r="I61">
        <f t="shared" si="15"/>
        <v>5.3568060282791388</v>
      </c>
      <c r="J61">
        <f t="shared" si="16"/>
        <v>0.15682741158225161</v>
      </c>
      <c r="R61">
        <v>-0.18367862396889811</v>
      </c>
      <c r="S61">
        <f>T61-T$60</f>
        <v>7.6329183996779126E-2</v>
      </c>
      <c r="T61">
        <v>9.632918399677913E-2</v>
      </c>
      <c r="W61">
        <v>-2.2372211864739642E-5</v>
      </c>
    </row>
    <row r="62" spans="1:29">
      <c r="A62" t="s">
        <v>24</v>
      </c>
      <c r="B62" s="17">
        <v>9.799999999999999E-2</v>
      </c>
      <c r="C62" s="14">
        <v>2</v>
      </c>
      <c r="D62">
        <v>1.4130076817578809</v>
      </c>
      <c r="E62">
        <v>1</v>
      </c>
      <c r="F62">
        <f t="shared" si="12"/>
        <v>0.15384615384615385</v>
      </c>
      <c r="G62">
        <f t="shared" si="13"/>
        <v>0.97300768175788099</v>
      </c>
      <c r="H62" s="8">
        <f t="shared" si="14"/>
        <v>-2.2454935565178743E-5</v>
      </c>
      <c r="I62">
        <f t="shared" si="15"/>
        <v>-4.6486881868149146</v>
      </c>
      <c r="J62">
        <f t="shared" si="16"/>
        <v>-9.799999999999999E-2</v>
      </c>
      <c r="K62" s="8">
        <f>(I62-I63)/(J62-J63)</f>
        <v>20.546086038784061</v>
      </c>
      <c r="L62" s="8">
        <f>1/K62</f>
        <v>4.8671070398144847E-2</v>
      </c>
      <c r="R62">
        <v>-32.082104812903268</v>
      </c>
      <c r="S62">
        <f t="shared" ref="S62:S80" si="17">T62-T$60</f>
        <v>6.1152977768190661E-3</v>
      </c>
      <c r="T62">
        <v>2.6115297776819067E-2</v>
      </c>
      <c r="W62">
        <v>-1.518114881192357E-2</v>
      </c>
      <c r="Z62">
        <v>4.8377859706281938E-2</v>
      </c>
      <c r="AB62">
        <v>-6.7457408707581547E-4</v>
      </c>
    </row>
    <row r="63" spans="1:29">
      <c r="B63">
        <v>1.1805211249148465E-2</v>
      </c>
      <c r="C63">
        <v>6</v>
      </c>
      <c r="D63">
        <v>1.3359212290721187</v>
      </c>
      <c r="E63">
        <v>1</v>
      </c>
      <c r="F63">
        <f t="shared" si="12"/>
        <v>0.46153846153846156</v>
      </c>
      <c r="G63">
        <f t="shared" si="13"/>
        <v>0.8959212290721188</v>
      </c>
      <c r="H63" s="8">
        <f t="shared" si="14"/>
        <v>-1.3251875862426701E-3</v>
      </c>
      <c r="I63">
        <f t="shared" si="15"/>
        <v>-2.8777226410451027</v>
      </c>
      <c r="J63">
        <f t="shared" si="16"/>
        <v>-1.1805211249148465E-2</v>
      </c>
      <c r="R63">
        <v>-95.075976013242609</v>
      </c>
      <c r="S63">
        <f t="shared" si="17"/>
        <v>-2.8094867482247533E-2</v>
      </c>
      <c r="T63">
        <v>-8.0948674822475322E-3</v>
      </c>
      <c r="W63">
        <v>-3.4951132629851629</v>
      </c>
      <c r="Z63">
        <v>2.4842533586448647E-2</v>
      </c>
      <c r="AB63">
        <v>-5.0744748498560898E-3</v>
      </c>
    </row>
    <row r="64" spans="1:29">
      <c r="B64">
        <v>-4.2070289628675928E-2</v>
      </c>
      <c r="C64">
        <v>9</v>
      </c>
      <c r="D64">
        <v>1.2039090977887099</v>
      </c>
      <c r="E64">
        <v>1</v>
      </c>
      <c r="F64">
        <f t="shared" si="12"/>
        <v>0.69230769230769229</v>
      </c>
      <c r="G64">
        <f t="shared" si="13"/>
        <v>0.76390909778870997</v>
      </c>
      <c r="H64" s="8">
        <f t="shared" si="14"/>
        <v>-0.32666567565462878</v>
      </c>
      <c r="I64">
        <f t="shared" si="15"/>
        <v>-0.48589649655281775</v>
      </c>
      <c r="J64">
        <f t="shared" si="16"/>
        <v>4.2070289628675928E-2</v>
      </c>
      <c r="K64" s="8">
        <f>(I64-I65)/(J64-J65)</f>
        <v>25.879417067892408</v>
      </c>
      <c r="L64" s="8">
        <f>1/K64</f>
        <v>3.8640746712979922E-2</v>
      </c>
      <c r="R64">
        <v>-333.22765880173125</v>
      </c>
      <c r="S64">
        <f t="shared" si="17"/>
        <v>-0.14512940888176776</v>
      </c>
      <c r="T64">
        <v>-0.12512940888176777</v>
      </c>
      <c r="W64">
        <v>-7.2411149862517359</v>
      </c>
      <c r="Z64">
        <v>-3.8676664935427742E-2</v>
      </c>
      <c r="AB64">
        <v>-17.935633540706043</v>
      </c>
    </row>
    <row r="65" spans="1:29">
      <c r="B65">
        <v>-9.0351868102003519E-2</v>
      </c>
      <c r="C65">
        <v>11</v>
      </c>
      <c r="D65">
        <v>1.1346570583904394</v>
      </c>
      <c r="E65">
        <v>1</v>
      </c>
      <c r="F65">
        <f t="shared" si="12"/>
        <v>0.84615384615384615</v>
      </c>
      <c r="G65">
        <f t="shared" si="13"/>
        <v>0.69465705839043945</v>
      </c>
      <c r="H65" s="8">
        <f>-$B$1*$B$5*$B$6/$B$4*$B$3*(EXP(-G65/$E$5/$B$6)/$D$2*1000)*E65*F65</f>
        <v>-5.8023324629779465</v>
      </c>
      <c r="I65">
        <f t="shared" si="15"/>
        <v>0.7636026094546029</v>
      </c>
      <c r="J65">
        <f t="shared" si="16"/>
        <v>9.0351868102003519E-2</v>
      </c>
      <c r="Z65">
        <v>-7.575291560393628E-2</v>
      </c>
      <c r="AB65">
        <v>-232.86537809590348</v>
      </c>
    </row>
    <row r="66" spans="1:29">
      <c r="B66">
        <v>-0.14893127759955757</v>
      </c>
      <c r="C66">
        <v>13</v>
      </c>
      <c r="D66" s="8">
        <v>1.0616184379156037</v>
      </c>
      <c r="E66">
        <v>1</v>
      </c>
      <c r="F66">
        <f t="shared" si="12"/>
        <v>1</v>
      </c>
      <c r="G66">
        <f t="shared" si="13"/>
        <v>0.62161843791560378</v>
      </c>
      <c r="H66" s="8">
        <f t="shared" si="14"/>
        <v>-115.36057841799011</v>
      </c>
      <c r="I66">
        <f t="shared" si="15"/>
        <v>2.0620574249335331</v>
      </c>
      <c r="J66">
        <f t="shared" si="16"/>
        <v>0.14893127759955757</v>
      </c>
      <c r="S66">
        <f t="shared" si="17"/>
        <v>8.3778597062819371E-3</v>
      </c>
      <c r="T66">
        <v>2.8377859706281938E-2</v>
      </c>
      <c r="V66">
        <v>-4.8265385254482431E-3</v>
      </c>
    </row>
    <row r="67" spans="1:29">
      <c r="A67" t="s">
        <v>46</v>
      </c>
      <c r="B67" s="5">
        <v>2.8377859706281938E-2</v>
      </c>
      <c r="C67" s="7">
        <v>2</v>
      </c>
      <c r="D67" s="8">
        <v>1.2740492443830589</v>
      </c>
      <c r="E67">
        <v>1</v>
      </c>
      <c r="F67">
        <f t="shared" si="12"/>
        <v>0.15384615384615385</v>
      </c>
      <c r="G67">
        <f t="shared" si="13"/>
        <v>0.83404924438305894</v>
      </c>
      <c r="H67" s="8">
        <f t="shared" si="14"/>
        <v>-4.8265385254482431E-3</v>
      </c>
      <c r="I67">
        <f t="shared" si="15"/>
        <v>-2.3163642229198893</v>
      </c>
      <c r="J67">
        <f t="shared" si="16"/>
        <v>-2.8377859706281938E-2</v>
      </c>
      <c r="K67" s="7"/>
      <c r="L67" s="8"/>
      <c r="S67">
        <f t="shared" si="17"/>
        <v>-1.5157466413551354E-2</v>
      </c>
      <c r="T67">
        <v>4.8425335864486461E-3</v>
      </c>
      <c r="V67">
        <v>-0.18367862396889811</v>
      </c>
    </row>
    <row r="68" spans="1:29">
      <c r="B68">
        <v>4.8425335864486461E-3</v>
      </c>
      <c r="C68" s="7">
        <v>6</v>
      </c>
      <c r="D68">
        <v>1.2083152097315177</v>
      </c>
      <c r="E68">
        <v>1</v>
      </c>
      <c r="F68">
        <f t="shared" si="12"/>
        <v>0.46153846153846156</v>
      </c>
      <c r="G68">
        <f t="shared" si="13"/>
        <v>0.76831520973151779</v>
      </c>
      <c r="H68" s="8">
        <f t="shared" si="14"/>
        <v>-0.18367862396889811</v>
      </c>
      <c r="I68">
        <f t="shared" si="15"/>
        <v>-0.73594138279340615</v>
      </c>
      <c r="J68">
        <f t="shared" si="16"/>
        <v>-4.8425335864486461E-3</v>
      </c>
      <c r="K68" s="7"/>
      <c r="S68">
        <f t="shared" si="17"/>
        <v>-7.8676664935427743E-2</v>
      </c>
      <c r="T68">
        <v>-5.8676664935427739E-2</v>
      </c>
      <c r="V68">
        <v>-32.082104812903268</v>
      </c>
      <c r="Z68">
        <v>0.11799999999999999</v>
      </c>
      <c r="AC68">
        <v>-3.1383811771853517E-6</v>
      </c>
    </row>
    <row r="69" spans="1:29">
      <c r="B69">
        <v>-5.8676664935427739E-2</v>
      </c>
      <c r="C69" s="7">
        <v>9</v>
      </c>
      <c r="D69">
        <v>1.0852174603714957</v>
      </c>
      <c r="E69">
        <v>1</v>
      </c>
      <c r="F69">
        <f t="shared" si="12"/>
        <v>0.69230769230769229</v>
      </c>
      <c r="G69">
        <f t="shared" si="13"/>
        <v>0.64521746037149574</v>
      </c>
      <c r="H69" s="8">
        <f t="shared" si="14"/>
        <v>-32.082104812903268</v>
      </c>
      <c r="I69">
        <f t="shared" si="15"/>
        <v>1.5062628533354014</v>
      </c>
      <c r="J69" s="7">
        <f t="shared" si="16"/>
        <v>5.8676664935427739E-2</v>
      </c>
      <c r="K69" s="7"/>
      <c r="M69" t="s">
        <v>24</v>
      </c>
      <c r="N69" t="s">
        <v>46</v>
      </c>
      <c r="O69" t="s">
        <v>25</v>
      </c>
      <c r="P69" t="s">
        <v>27</v>
      </c>
      <c r="S69">
        <f t="shared" si="17"/>
        <v>-9.6570862963814119E-2</v>
      </c>
      <c r="T69">
        <v>-7.6570862963814115E-2</v>
      </c>
      <c r="V69">
        <v>-95.075976013242609</v>
      </c>
      <c r="Z69">
        <v>3.1805211249148466E-2</v>
      </c>
      <c r="AC69">
        <v>-3.7042580370197391E-4</v>
      </c>
    </row>
    <row r="70" spans="1:29">
      <c r="B70">
        <v>-7.6570862963814115E-2</v>
      </c>
      <c r="C70" s="7">
        <v>10</v>
      </c>
      <c r="D70">
        <v>1.0598336348462907</v>
      </c>
      <c r="E70">
        <v>1</v>
      </c>
      <c r="F70">
        <f t="shared" si="12"/>
        <v>0.76923076923076927</v>
      </c>
      <c r="G70">
        <f t="shared" si="13"/>
        <v>0.61983363484629073</v>
      </c>
      <c r="H70" s="8">
        <f t="shared" si="14"/>
        <v>-95.075976013242609</v>
      </c>
      <c r="I70">
        <f t="shared" si="15"/>
        <v>1.9780707924058902</v>
      </c>
      <c r="J70" s="7">
        <f t="shared" si="16"/>
        <v>7.6570862963814115E-2</v>
      </c>
      <c r="K70" s="7"/>
      <c r="L70">
        <v>2</v>
      </c>
      <c r="M70">
        <v>1.0059894093326318</v>
      </c>
      <c r="N70">
        <v>0.86703097195780965</v>
      </c>
      <c r="O70">
        <v>1.0060849085245889</v>
      </c>
      <c r="P70">
        <v>1.1498896327414867</v>
      </c>
      <c r="S70">
        <f t="shared" si="17"/>
        <v>-0.13475389370512339</v>
      </c>
      <c r="T70">
        <v>-0.1147538937051234</v>
      </c>
      <c r="V70">
        <v>-333.22765880173125</v>
      </c>
      <c r="Z70">
        <v>-2.2070289628675931E-2</v>
      </c>
      <c r="AC70">
        <v>-0.18262379862658254</v>
      </c>
    </row>
    <row r="71" spans="1:29">
      <c r="B71" s="31">
        <v>-0.11475389370512336</v>
      </c>
      <c r="C71" s="7">
        <v>11</v>
      </c>
      <c r="D71">
        <v>1.0298486649269762</v>
      </c>
      <c r="E71">
        <v>1</v>
      </c>
      <c r="F71">
        <f t="shared" si="12"/>
        <v>0.84615384615384615</v>
      </c>
      <c r="G71">
        <f>D71-K$5</f>
        <v>0.5898486649269763</v>
      </c>
      <c r="H71" s="8">
        <f t="shared" si="14"/>
        <v>-333.22765880173125</v>
      </c>
      <c r="I71">
        <f t="shared" si="15"/>
        <v>2.5227410418537088</v>
      </c>
      <c r="J71" s="7">
        <f t="shared" si="16"/>
        <v>0.11475389370512336</v>
      </c>
      <c r="K71" s="7"/>
      <c r="L71">
        <v>6</v>
      </c>
      <c r="M71">
        <v>0.9289029566468695</v>
      </c>
      <c r="N71">
        <v>0.861179668237254</v>
      </c>
      <c r="O71">
        <v>0.86580675816361585</v>
      </c>
      <c r="P71">
        <v>0.76071208359638953</v>
      </c>
      <c r="U71" s="8"/>
      <c r="V71" s="8"/>
      <c r="Z71">
        <v>-7.0351868102003515E-2</v>
      </c>
      <c r="AC71">
        <v>-3.2438179896307466</v>
      </c>
    </row>
    <row r="72" spans="1:29">
      <c r="B72">
        <v>-0.14228198686529514</v>
      </c>
      <c r="C72" s="7">
        <v>13</v>
      </c>
      <c r="D72">
        <v>0.93217707246585635</v>
      </c>
      <c r="E72">
        <v>1</v>
      </c>
      <c r="F72">
        <f t="shared" ref="F72:F77" si="18">C72/13</f>
        <v>1</v>
      </c>
      <c r="G72">
        <f t="shared" ref="G72:G77" si="19">D72-K$5</f>
        <v>0.49217707246585635</v>
      </c>
      <c r="H72" s="8">
        <f t="shared" si="14"/>
        <v>-17164.997081216741</v>
      </c>
      <c r="I72">
        <f t="shared" si="15"/>
        <v>4.2346437339131482</v>
      </c>
      <c r="J72" s="7">
        <f t="shared" ref="J72:J77" si="20">-B72</f>
        <v>0.14228198686529514</v>
      </c>
      <c r="L72">
        <v>9</v>
      </c>
      <c r="M72">
        <v>0.79689082536346068</v>
      </c>
      <c r="N72">
        <v>0.67819918794624645</v>
      </c>
      <c r="O72">
        <v>0.73556231922770043</v>
      </c>
      <c r="P72">
        <v>0.73298172757475066</v>
      </c>
      <c r="S72">
        <f t="shared" si="17"/>
        <v>7.7999999999999986E-2</v>
      </c>
      <c r="T72">
        <v>9.799999999999999E-2</v>
      </c>
      <c r="U72">
        <v>-2.2454935565178743E-5</v>
      </c>
    </row>
    <row r="73" spans="1:29">
      <c r="A73" t="s">
        <v>27</v>
      </c>
      <c r="B73" s="31">
        <v>0.16502096030023164</v>
      </c>
      <c r="C73" s="7">
        <v>2</v>
      </c>
      <c r="D73">
        <v>1.5569079051667358</v>
      </c>
      <c r="E73">
        <v>1</v>
      </c>
      <c r="F73">
        <f t="shared" si="18"/>
        <v>0.15384615384615385</v>
      </c>
      <c r="G73">
        <f t="shared" si="19"/>
        <v>1.1169079051667359</v>
      </c>
      <c r="H73" s="8">
        <f t="shared" si="14"/>
        <v>-8.6306457790648924E-8</v>
      </c>
      <c r="I73">
        <f t="shared" si="15"/>
        <v>-7.063956707437554</v>
      </c>
      <c r="J73">
        <f t="shared" si="20"/>
        <v>-0.16502096030023164</v>
      </c>
      <c r="L73">
        <v>11</v>
      </c>
      <c r="M73">
        <v>0.72763878596519016</v>
      </c>
      <c r="N73">
        <v>0.622830392501727</v>
      </c>
      <c r="O73">
        <v>0.72190707983749125</v>
      </c>
      <c r="P73">
        <v>0.72298172757475065</v>
      </c>
      <c r="S73">
        <f t="shared" si="17"/>
        <v>-8.1947887508515352E-3</v>
      </c>
      <c r="T73">
        <v>1.1805211249148465E-2</v>
      </c>
      <c r="U73">
        <v>-1.3251875862426701E-3</v>
      </c>
    </row>
    <row r="74" spans="1:29">
      <c r="B74">
        <v>3.0623884807076198E-2</v>
      </c>
      <c r="C74" s="7">
        <v>6</v>
      </c>
      <c r="D74">
        <v>1.1677303560216388</v>
      </c>
      <c r="E74">
        <v>1</v>
      </c>
      <c r="F74">
        <f t="shared" si="18"/>
        <v>0.46153846153846156</v>
      </c>
      <c r="G74">
        <f t="shared" si="19"/>
        <v>0.72773035602163882</v>
      </c>
      <c r="H74" s="8">
        <f t="shared" si="14"/>
        <v>-0.88155234638270552</v>
      </c>
      <c r="I74">
        <f t="shared" si="15"/>
        <v>-5.4751894289014398E-2</v>
      </c>
      <c r="J74">
        <f t="shared" si="20"/>
        <v>-3.0623884807076198E-2</v>
      </c>
      <c r="L74">
        <v>13</v>
      </c>
      <c r="M74">
        <v>0.65460016549035449</v>
      </c>
      <c r="N74">
        <v>0.52515880004060711</v>
      </c>
      <c r="O74">
        <v>0.45830105586786773</v>
      </c>
      <c r="P74">
        <v>0.54663477925345316</v>
      </c>
      <c r="S74">
        <f t="shared" si="17"/>
        <v>-6.2070289628675931E-2</v>
      </c>
      <c r="T74">
        <v>-4.2070289628675928E-2</v>
      </c>
      <c r="U74">
        <v>-0.32666567565462878</v>
      </c>
    </row>
    <row r="75" spans="1:29">
      <c r="B75">
        <v>-2.6037745878136509E-2</v>
      </c>
      <c r="C75" s="7">
        <v>9</v>
      </c>
      <c r="D75">
        <v>1.1650564994684827</v>
      </c>
      <c r="E75">
        <v>1</v>
      </c>
      <c r="F75">
        <f t="shared" si="18"/>
        <v>0.69230769230769229</v>
      </c>
      <c r="G75">
        <f t="shared" si="19"/>
        <v>0.72505649946848272</v>
      </c>
      <c r="H75" s="8">
        <f t="shared" si="14"/>
        <v>-1.4662845201090615</v>
      </c>
      <c r="I75">
        <f t="shared" si="15"/>
        <v>0.16621824965310306</v>
      </c>
      <c r="J75" s="7">
        <f t="shared" si="20"/>
        <v>2.6037745878136509E-2</v>
      </c>
      <c r="S75">
        <f t="shared" si="17"/>
        <v>-0.11035186810200352</v>
      </c>
      <c r="T75">
        <v>-9.0351868102003519E-2</v>
      </c>
      <c r="U75">
        <v>-5.8023324629779465</v>
      </c>
    </row>
    <row r="76" spans="1:29">
      <c r="B76">
        <v>-9.8999009104421984E-2</v>
      </c>
      <c r="C76" s="7">
        <v>11</v>
      </c>
      <c r="D76">
        <v>1.1315105206378211</v>
      </c>
      <c r="E76">
        <v>1</v>
      </c>
      <c r="F76">
        <f t="shared" si="18"/>
        <v>0.84615384615384615</v>
      </c>
      <c r="G76">
        <f t="shared" si="19"/>
        <v>0.69151052063782115</v>
      </c>
      <c r="H76" s="8">
        <f t="shared" si="14"/>
        <v>-6.5526222253076298</v>
      </c>
      <c r="I76">
        <f t="shared" si="15"/>
        <v>0.8164151305391395</v>
      </c>
      <c r="J76" s="7">
        <f t="shared" si="20"/>
        <v>9.8999009104421984E-2</v>
      </c>
      <c r="U76" s="8"/>
      <c r="W76" s="8"/>
    </row>
    <row r="77" spans="1:29">
      <c r="B77">
        <v>-0.11098067513202771</v>
      </c>
      <c r="C77" s="7">
        <v>13</v>
      </c>
      <c r="D77">
        <v>0.9536530516787024</v>
      </c>
      <c r="E77">
        <v>1</v>
      </c>
      <c r="F77">
        <f t="shared" si="18"/>
        <v>1</v>
      </c>
      <c r="G77">
        <f t="shared" si="19"/>
        <v>0.51365305167870234</v>
      </c>
      <c r="H77" s="8">
        <f>-$B$1*$B$5*$B$6/$B$4*$B$3*(EXP(-G77/$E$5/$B$6)/$D$2*1000)*E77*F77</f>
        <v>-7484.863057184878</v>
      </c>
      <c r="I77">
        <f>LOG(-H77)</f>
        <v>3.8741838589138067</v>
      </c>
      <c r="J77" s="7">
        <f t="shared" si="20"/>
        <v>0.11098067513202771</v>
      </c>
      <c r="S77">
        <f t="shared" si="17"/>
        <v>0.14502096030023165</v>
      </c>
      <c r="T77">
        <v>0.16502096030023164</v>
      </c>
      <c r="X77" s="8">
        <v>-8.6306457790648924E-8</v>
      </c>
    </row>
    <row r="78" spans="1:29">
      <c r="S78">
        <f t="shared" si="17"/>
        <v>1.0623884807076198E-2</v>
      </c>
      <c r="T78">
        <v>3.0623884807076198E-2</v>
      </c>
      <c r="X78" s="8">
        <v>-0.88155234638270552</v>
      </c>
    </row>
    <row r="79" spans="1:29">
      <c r="B79" t="s">
        <v>24</v>
      </c>
      <c r="C79" t="s">
        <v>46</v>
      </c>
      <c r="D79" t="s">
        <v>25</v>
      </c>
      <c r="E79" t="s">
        <v>27</v>
      </c>
      <c r="S79">
        <f t="shared" si="17"/>
        <v>-4.6037745878136513E-2</v>
      </c>
      <c r="T79">
        <v>-2.6037745878136509E-2</v>
      </c>
      <c r="X79" s="8">
        <v>-1.4662845201090615</v>
      </c>
    </row>
    <row r="80" spans="1:29">
      <c r="A80">
        <v>0.16502096030023164</v>
      </c>
      <c r="E80">
        <v>0.15384615384615385</v>
      </c>
      <c r="S80">
        <f t="shared" si="17"/>
        <v>-0.11899900910442199</v>
      </c>
      <c r="T80">
        <v>-9.8999009104421984E-2</v>
      </c>
      <c r="X80" s="8">
        <v>-6.5526222253076298</v>
      </c>
    </row>
    <row r="81" spans="1:25">
      <c r="A81">
        <v>3.0623884807076198E-2</v>
      </c>
      <c r="E81">
        <v>0.46153846153846156</v>
      </c>
    </row>
    <row r="82" spans="1:25">
      <c r="A82">
        <v>-2.6037745878136509E-2</v>
      </c>
      <c r="E82">
        <v>0.69230769230769229</v>
      </c>
      <c r="T82">
        <v>0</v>
      </c>
      <c r="X82" s="8"/>
      <c r="Y82" s="8">
        <v>-1.3561666666666667</v>
      </c>
    </row>
    <row r="83" spans="1:25">
      <c r="A83">
        <v>-9.8999009104421984E-2</v>
      </c>
      <c r="E83">
        <v>0.84615384615384615</v>
      </c>
      <c r="T83">
        <v>-5.0000000000000001E-3</v>
      </c>
      <c r="Y83" s="8">
        <v>-3.6377960389583337</v>
      </c>
    </row>
    <row r="84" spans="1:25">
      <c r="A84">
        <v>-0.11098067513202771</v>
      </c>
      <c r="E84">
        <v>1</v>
      </c>
      <c r="T84">
        <v>-0.01</v>
      </c>
      <c r="Y84" s="8">
        <v>-7.3745696233333335</v>
      </c>
    </row>
    <row r="85" spans="1:25">
      <c r="A85">
        <v>9.632918399677913E-2</v>
      </c>
      <c r="D85">
        <v>0.15384615384615385</v>
      </c>
      <c r="T85">
        <v>-1.4999999999999999E-2</v>
      </c>
      <c r="Y85" s="8">
        <v>-12.946924822291669</v>
      </c>
    </row>
    <row r="86" spans="1:25">
      <c r="A86">
        <v>2.6115297776819067E-2</v>
      </c>
      <c r="D86">
        <v>0.46153846153846156</v>
      </c>
      <c r="T86">
        <v>-0.02</v>
      </c>
      <c r="Y86" s="8">
        <v>-20.803757973333337</v>
      </c>
    </row>
    <row r="87" spans="1:25">
      <c r="A87">
        <v>-8.0948674822475322E-3</v>
      </c>
      <c r="D87">
        <v>0.69230769230769229</v>
      </c>
      <c r="I87">
        <v>2.8867894346260985</v>
      </c>
      <c r="J87" s="7"/>
      <c r="K87" s="7">
        <v>3.8676664935427742E-2</v>
      </c>
      <c r="T87">
        <v>-2.5000000000000001E-2</v>
      </c>
      <c r="Y87" s="8">
        <v>-31.469299348958334</v>
      </c>
    </row>
    <row r="88" spans="1:25">
      <c r="A88">
        <v>-0.12512940888176777</v>
      </c>
      <c r="D88">
        <v>0.84615384615384615</v>
      </c>
      <c r="I88">
        <v>5.4504605101761578</v>
      </c>
      <c r="J88" s="7"/>
      <c r="K88" s="7">
        <v>7.575291560393628E-2</v>
      </c>
      <c r="T88">
        <v>-3.0000000000000002E-2</v>
      </c>
      <c r="Y88" s="8">
        <v>-45.549988156666679</v>
      </c>
    </row>
    <row r="89" spans="1:25">
      <c r="A89">
        <v>-0.15682741158225161</v>
      </c>
      <c r="D89">
        <v>1</v>
      </c>
      <c r="I89">
        <v>7.5550461808150402</v>
      </c>
      <c r="J89" s="7"/>
      <c r="K89" s="7">
        <v>0.12228198686529515</v>
      </c>
    </row>
    <row r="90" spans="1:25">
      <c r="A90">
        <v>2.8377859706281938E-2</v>
      </c>
      <c r="C90">
        <v>0.15384615384615385</v>
      </c>
    </row>
    <row r="91" spans="1:25">
      <c r="A91">
        <v>4.8425335864486461E-3</v>
      </c>
      <c r="C91">
        <v>0.46153846153846156</v>
      </c>
      <c r="D91" s="7"/>
      <c r="E91" s="5"/>
      <c r="F91" s="8"/>
    </row>
    <row r="92" spans="1:25">
      <c r="A92">
        <v>-5.8676664935427739E-2</v>
      </c>
      <c r="C92">
        <v>0.69230769230769229</v>
      </c>
      <c r="D92" s="7"/>
    </row>
    <row r="93" spans="1:25">
      <c r="A93">
        <v>-0.11475389370512336</v>
      </c>
      <c r="C93">
        <v>0.84615384615384615</v>
      </c>
      <c r="D93" s="7"/>
      <c r="H93">
        <v>2</v>
      </c>
      <c r="I93">
        <v>0.11632918399677913</v>
      </c>
    </row>
    <row r="94" spans="1:25">
      <c r="A94">
        <v>-0.14228198686529514</v>
      </c>
      <c r="C94">
        <v>1</v>
      </c>
      <c r="D94" s="7"/>
      <c r="H94">
        <v>6</v>
      </c>
      <c r="I94">
        <v>4.6115297776819067E-2</v>
      </c>
    </row>
    <row r="95" spans="1:25">
      <c r="A95">
        <v>9.799999999999999E-2</v>
      </c>
      <c r="B95">
        <v>0.15384615384615385</v>
      </c>
      <c r="D95" s="7"/>
      <c r="E95" s="31"/>
      <c r="H95">
        <v>9</v>
      </c>
      <c r="I95">
        <v>1.1905132517752468E-2</v>
      </c>
      <c r="K95">
        <v>1.413103180949838</v>
      </c>
    </row>
    <row r="96" spans="1:25">
      <c r="A96">
        <v>1.1805211249148465E-2</v>
      </c>
      <c r="B96">
        <v>0.46153846153846156</v>
      </c>
      <c r="H96">
        <v>11</v>
      </c>
      <c r="I96">
        <v>-0.10512940888176778</v>
      </c>
      <c r="K96">
        <v>1.2728250305888651</v>
      </c>
    </row>
    <row r="97" spans="1:23">
      <c r="A97">
        <v>-4.2070289628675928E-2</v>
      </c>
      <c r="B97">
        <v>0.69230769230769229</v>
      </c>
      <c r="H97">
        <v>13</v>
      </c>
      <c r="I97">
        <v>-0.13682741158225162</v>
      </c>
      <c r="K97">
        <v>1.1968231066530279</v>
      </c>
      <c r="L97">
        <f>0.006*13.6</f>
        <v>8.1600000000000006E-2</v>
      </c>
    </row>
    <row r="98" spans="1:23">
      <c r="A98">
        <v>-9.0351868102003519E-2</v>
      </c>
      <c r="B98">
        <v>0.84615384615384615</v>
      </c>
      <c r="K98">
        <v>1.1298339998182201</v>
      </c>
    </row>
    <row r="99" spans="1:23">
      <c r="A99">
        <v>-0.14893127759955757</v>
      </c>
      <c r="B99">
        <v>1</v>
      </c>
      <c r="K99">
        <v>1.0760612519407005</v>
      </c>
    </row>
    <row r="101" spans="1:23">
      <c r="B101">
        <f>B95/13</f>
        <v>1.183431952662722E-2</v>
      </c>
    </row>
    <row r="102" spans="1:23">
      <c r="B102">
        <f t="shared" ref="B102:B105" si="21">B96/13</f>
        <v>3.5502958579881658E-2</v>
      </c>
      <c r="T102" t="s">
        <v>24</v>
      </c>
      <c r="U102" t="s">
        <v>25</v>
      </c>
      <c r="V102" t="s">
        <v>46</v>
      </c>
      <c r="W102" t="s">
        <v>27</v>
      </c>
    </row>
    <row r="103" spans="1:23">
      <c r="B103">
        <f t="shared" si="21"/>
        <v>5.3254437869822487E-2</v>
      </c>
      <c r="S103">
        <v>0.11799999999999999</v>
      </c>
      <c r="T103">
        <v>2</v>
      </c>
    </row>
    <row r="104" spans="1:23">
      <c r="B104">
        <f t="shared" si="21"/>
        <v>6.5088757396449703E-2</v>
      </c>
      <c r="S104">
        <v>3.1805211249148466E-2</v>
      </c>
      <c r="T104">
        <v>6</v>
      </c>
    </row>
    <row r="105" spans="1:23">
      <c r="B105">
        <f t="shared" si="21"/>
        <v>7.6923076923076927E-2</v>
      </c>
      <c r="S105">
        <v>-2.2070289628675931E-2</v>
      </c>
      <c r="T105">
        <v>9</v>
      </c>
    </row>
    <row r="106" spans="1:23">
      <c r="S106">
        <v>-7.0351868102003515E-2</v>
      </c>
      <c r="T106">
        <v>11</v>
      </c>
    </row>
    <row r="107" spans="1:23">
      <c r="S107">
        <v>-0.12893127759955758</v>
      </c>
      <c r="T107">
        <v>13</v>
      </c>
    </row>
    <row r="108" spans="1:23">
      <c r="S108">
        <v>0.11632918399677913</v>
      </c>
      <c r="U108">
        <v>2</v>
      </c>
    </row>
    <row r="109" spans="1:23">
      <c r="S109">
        <v>4.6115297776819067E-2</v>
      </c>
      <c r="U109">
        <v>6</v>
      </c>
    </row>
    <row r="110" spans="1:23">
      <c r="S110">
        <v>1.1905132517752468E-2</v>
      </c>
      <c r="U110">
        <v>9</v>
      </c>
    </row>
    <row r="111" spans="1:23">
      <c r="S111">
        <v>-0.10512940888176778</v>
      </c>
      <c r="U111">
        <v>11</v>
      </c>
    </row>
    <row r="112" spans="1:23">
      <c r="S112">
        <v>-0.13682741158225162</v>
      </c>
      <c r="U112">
        <v>13</v>
      </c>
    </row>
    <row r="113" spans="19:23">
      <c r="S113">
        <v>4.8377859706281938E-2</v>
      </c>
      <c r="V113">
        <v>2</v>
      </c>
    </row>
    <row r="114" spans="19:23">
      <c r="S114">
        <v>2.4842533586448647E-2</v>
      </c>
      <c r="V114">
        <v>6</v>
      </c>
    </row>
    <row r="115" spans="19:23">
      <c r="S115">
        <v>-3.8676664935427742E-2</v>
      </c>
      <c r="V115">
        <v>9</v>
      </c>
    </row>
    <row r="116" spans="19:23">
      <c r="S116">
        <v>-7.575291560393628E-2</v>
      </c>
      <c r="V116">
        <v>11</v>
      </c>
    </row>
    <row r="117" spans="19:23">
      <c r="S117">
        <v>-0.12228198686529515</v>
      </c>
      <c r="V117">
        <v>13</v>
      </c>
    </row>
    <row r="118" spans="19:23">
      <c r="S118">
        <v>0.18502096030023163</v>
      </c>
      <c r="W118">
        <v>2</v>
      </c>
    </row>
    <row r="119" spans="19:23">
      <c r="S119">
        <v>5.0623884807076198E-2</v>
      </c>
      <c r="W119">
        <v>6</v>
      </c>
    </row>
    <row r="120" spans="19:23">
      <c r="S120">
        <v>-6.0377458781365086E-3</v>
      </c>
      <c r="W120">
        <v>9</v>
      </c>
    </row>
    <row r="121" spans="19:23">
      <c r="S121">
        <v>-7.899900910442198E-2</v>
      </c>
      <c r="W121">
        <v>11</v>
      </c>
    </row>
    <row r="122" spans="19:23">
      <c r="S122">
        <v>-9.0980675132027705E-2</v>
      </c>
      <c r="W122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pourbaix pyridinic</vt:lpstr>
      <vt:lpstr>pourbaix pyrrolic</vt:lpstr>
      <vt:lpstr>pourbaix graphitic</vt:lpstr>
      <vt:lpstr>pourbaix graphene</vt:lpstr>
      <vt:lpstr>Fig 6C</vt:lpstr>
      <vt:lpstr>Fig 7a-d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 Yu</cp:lastModifiedBy>
  <cp:revision>1436</cp:revision>
  <dcterms:created xsi:type="dcterms:W3CDTF">2015-08-03T02:29:22Z</dcterms:created>
  <dcterms:modified xsi:type="dcterms:W3CDTF">2023-03-07T09:33:11Z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