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HW\ISiT\3_course\OptimizationMethods\KR3\"/>
    </mc:Choice>
  </mc:AlternateContent>
  <xr:revisionPtr revIDLastSave="0" documentId="13_ncr:1_{A0844A37-E954-478D-BEB9-05E99F5FA360}" xr6:coauthVersionLast="47" xr6:coauthVersionMax="47" xr10:uidLastSave="{00000000-0000-0000-0000-000000000000}"/>
  <bookViews>
    <workbookView xWindow="38280" yWindow="3150" windowWidth="19440" windowHeight="15000" xr2:uid="{00000000-000D-0000-FFFF-FFFF00000000}"/>
  </bookViews>
  <sheets>
    <sheet name="Лист1" sheetId="1" r:id="rId1"/>
  </sheets>
  <definedNames>
    <definedName name="solver_adj" localSheetId="0" hidden="1">Лист1!$B$94:$B$96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Лист1!$C$94</definedName>
    <definedName name="solver_lhs2" localSheetId="0" hidden="1">Лист1!$C$95</definedName>
    <definedName name="solver_lhs3" localSheetId="0" hidden="1">Лист1!$C$96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Лист1!$C$94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Лист1!$D$94</definedName>
    <definedName name="solver_rhs2" localSheetId="0" hidden="1">Лист1!$D$95</definedName>
    <definedName name="solver_rhs3" localSheetId="0" hidden="1">Лист1!$D$96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" i="1" l="1"/>
  <c r="H249" i="1"/>
  <c r="H248" i="1"/>
  <c r="H211" i="1"/>
  <c r="H210" i="1"/>
  <c r="H175" i="1"/>
  <c r="H174" i="1"/>
  <c r="H138" i="1"/>
  <c r="H139" i="1"/>
  <c r="H96" i="1"/>
  <c r="F60" i="1"/>
  <c r="F59" i="1"/>
  <c r="K220" i="1"/>
  <c r="K221" i="1"/>
  <c r="K244" i="1" s="1"/>
  <c r="H247" i="1" s="1"/>
  <c r="K222" i="1"/>
  <c r="K223" i="1"/>
  <c r="K224" i="1"/>
  <c r="K225" i="1"/>
  <c r="K226" i="1"/>
  <c r="K227" i="1"/>
  <c r="K228" i="1"/>
  <c r="K229" i="1"/>
  <c r="K230" i="1"/>
  <c r="K243" i="1" s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19" i="1"/>
  <c r="J220" i="1"/>
  <c r="J244" i="1" s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43" i="1" s="1"/>
  <c r="I232" i="1"/>
  <c r="I244" i="1" s="1"/>
  <c r="I233" i="1"/>
  <c r="I234" i="1"/>
  <c r="I235" i="1"/>
  <c r="I236" i="1"/>
  <c r="I237" i="1"/>
  <c r="I238" i="1"/>
  <c r="I239" i="1"/>
  <c r="I240" i="1"/>
  <c r="I241" i="1"/>
  <c r="I242" i="1"/>
  <c r="I219" i="1"/>
  <c r="H220" i="1"/>
  <c r="H221" i="1"/>
  <c r="H222" i="1"/>
  <c r="H223" i="1"/>
  <c r="H224" i="1"/>
  <c r="H225" i="1"/>
  <c r="H226" i="1"/>
  <c r="H227" i="1"/>
  <c r="H228" i="1"/>
  <c r="H229" i="1"/>
  <c r="H230" i="1"/>
  <c r="H243" i="1" s="1"/>
  <c r="H231" i="1"/>
  <c r="H232" i="1"/>
  <c r="H233" i="1"/>
  <c r="H234" i="1"/>
  <c r="H244" i="1" s="1"/>
  <c r="H235" i="1"/>
  <c r="H236" i="1"/>
  <c r="H237" i="1"/>
  <c r="H238" i="1"/>
  <c r="H239" i="1"/>
  <c r="H240" i="1"/>
  <c r="H241" i="1"/>
  <c r="H242" i="1"/>
  <c r="H219" i="1"/>
  <c r="G220" i="1"/>
  <c r="G221" i="1"/>
  <c r="G222" i="1"/>
  <c r="G223" i="1"/>
  <c r="G224" i="1"/>
  <c r="G225" i="1"/>
  <c r="G226" i="1"/>
  <c r="G227" i="1"/>
  <c r="G228" i="1"/>
  <c r="G229" i="1"/>
  <c r="G244" i="1" s="1"/>
  <c r="G230" i="1"/>
  <c r="G231" i="1"/>
  <c r="G232" i="1"/>
  <c r="G233" i="1"/>
  <c r="G234" i="1"/>
  <c r="G243" i="1" s="1"/>
  <c r="G235" i="1"/>
  <c r="G236" i="1"/>
  <c r="G237" i="1"/>
  <c r="G238" i="1"/>
  <c r="G239" i="1"/>
  <c r="G240" i="1"/>
  <c r="G241" i="1"/>
  <c r="G242" i="1"/>
  <c r="G219" i="1"/>
  <c r="B247" i="1"/>
  <c r="B248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43" i="1" s="1"/>
  <c r="F232" i="1"/>
  <c r="F233" i="1"/>
  <c r="F234" i="1"/>
  <c r="F235" i="1"/>
  <c r="F236" i="1"/>
  <c r="F237" i="1"/>
  <c r="F238" i="1"/>
  <c r="F239" i="1"/>
  <c r="F240" i="1"/>
  <c r="F241" i="1"/>
  <c r="F242" i="1"/>
  <c r="F219" i="1"/>
  <c r="E220" i="1"/>
  <c r="E244" i="1" s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19" i="1"/>
  <c r="D220" i="1"/>
  <c r="D221" i="1"/>
  <c r="D222" i="1"/>
  <c r="D223" i="1"/>
  <c r="D243" i="1" s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44" i="1" s="1"/>
  <c r="D236" i="1"/>
  <c r="D237" i="1"/>
  <c r="D238" i="1"/>
  <c r="D239" i="1"/>
  <c r="D240" i="1"/>
  <c r="D241" i="1"/>
  <c r="D242" i="1"/>
  <c r="D219" i="1"/>
  <c r="B220" i="1"/>
  <c r="B221" i="1"/>
  <c r="B222" i="1"/>
  <c r="B223" i="1"/>
  <c r="B224" i="1"/>
  <c r="B225" i="1"/>
  <c r="B226" i="1"/>
  <c r="B227" i="1"/>
  <c r="B228" i="1"/>
  <c r="B243" i="1" s="1"/>
  <c r="B229" i="1"/>
  <c r="B244" i="1" s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19" i="1"/>
  <c r="H209" i="1"/>
  <c r="K182" i="1"/>
  <c r="K183" i="1"/>
  <c r="K184" i="1"/>
  <c r="K185" i="1"/>
  <c r="K206" i="1" s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181" i="1"/>
  <c r="J182" i="1"/>
  <c r="J183" i="1"/>
  <c r="J184" i="1"/>
  <c r="J185" i="1"/>
  <c r="J186" i="1"/>
  <c r="J187" i="1"/>
  <c r="J188" i="1"/>
  <c r="J189" i="1"/>
  <c r="J206" i="1" s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205" i="1" s="1"/>
  <c r="I196" i="1"/>
  <c r="I197" i="1"/>
  <c r="I198" i="1"/>
  <c r="I199" i="1"/>
  <c r="I200" i="1"/>
  <c r="I201" i="1"/>
  <c r="I202" i="1"/>
  <c r="I203" i="1"/>
  <c r="I204" i="1"/>
  <c r="I181" i="1"/>
  <c r="H182" i="1"/>
  <c r="H183" i="1"/>
  <c r="H184" i="1"/>
  <c r="H185" i="1"/>
  <c r="H186" i="1"/>
  <c r="H187" i="1"/>
  <c r="H188" i="1"/>
  <c r="H189" i="1"/>
  <c r="H190" i="1"/>
  <c r="H191" i="1"/>
  <c r="H205" i="1" s="1"/>
  <c r="H192" i="1"/>
  <c r="H193" i="1"/>
  <c r="H206" i="1" s="1"/>
  <c r="H194" i="1"/>
  <c r="H195" i="1"/>
  <c r="H196" i="1"/>
  <c r="H197" i="1"/>
  <c r="H198" i="1"/>
  <c r="H199" i="1"/>
  <c r="H200" i="1"/>
  <c r="H201" i="1"/>
  <c r="H202" i="1"/>
  <c r="H203" i="1"/>
  <c r="H204" i="1"/>
  <c r="H181" i="1"/>
  <c r="G182" i="1"/>
  <c r="G183" i="1"/>
  <c r="G184" i="1"/>
  <c r="G185" i="1"/>
  <c r="G186" i="1"/>
  <c r="G187" i="1"/>
  <c r="G188" i="1"/>
  <c r="G189" i="1"/>
  <c r="G190" i="1"/>
  <c r="G191" i="1"/>
  <c r="G206" i="1" s="1"/>
  <c r="G192" i="1"/>
  <c r="G193" i="1"/>
  <c r="G194" i="1"/>
  <c r="G195" i="1"/>
  <c r="G196" i="1"/>
  <c r="G197" i="1"/>
  <c r="G205" i="1" s="1"/>
  <c r="G198" i="1"/>
  <c r="G199" i="1"/>
  <c r="G200" i="1"/>
  <c r="G201" i="1"/>
  <c r="G202" i="1"/>
  <c r="G203" i="1"/>
  <c r="G204" i="1"/>
  <c r="G181" i="1"/>
  <c r="B209" i="1"/>
  <c r="B210" i="1"/>
  <c r="F182" i="1"/>
  <c r="F183" i="1"/>
  <c r="F184" i="1"/>
  <c r="F185" i="1"/>
  <c r="F186" i="1"/>
  <c r="F187" i="1"/>
  <c r="F205" i="1" s="1"/>
  <c r="F188" i="1"/>
  <c r="F189" i="1"/>
  <c r="F190" i="1"/>
  <c r="F191" i="1"/>
  <c r="F192" i="1"/>
  <c r="F193" i="1"/>
  <c r="F206" i="1" s="1"/>
  <c r="F194" i="1"/>
  <c r="F195" i="1"/>
  <c r="F196" i="1"/>
  <c r="F197" i="1"/>
  <c r="F198" i="1"/>
  <c r="F199" i="1"/>
  <c r="F200" i="1"/>
  <c r="F201" i="1"/>
  <c r="F202" i="1"/>
  <c r="F203" i="1"/>
  <c r="F204" i="1"/>
  <c r="F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81" i="1"/>
  <c r="D182" i="1"/>
  <c r="D183" i="1"/>
  <c r="D184" i="1"/>
  <c r="D205" i="1" s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181" i="1"/>
  <c r="B182" i="1"/>
  <c r="B183" i="1"/>
  <c r="B206" i="1" s="1"/>
  <c r="B184" i="1"/>
  <c r="B185" i="1"/>
  <c r="B186" i="1"/>
  <c r="B187" i="1"/>
  <c r="B188" i="1"/>
  <c r="B189" i="1"/>
  <c r="B190" i="1"/>
  <c r="B191" i="1"/>
  <c r="B205" i="1" s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181" i="1"/>
  <c r="B250" i="1"/>
  <c r="C244" i="1"/>
  <c r="A244" i="1"/>
  <c r="C243" i="1"/>
  <c r="A243" i="1"/>
  <c r="B212" i="1"/>
  <c r="C205" i="1"/>
  <c r="C206" i="1"/>
  <c r="I206" i="1"/>
  <c r="A206" i="1"/>
  <c r="A205" i="1"/>
  <c r="H173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69" i="1" s="1"/>
  <c r="K159" i="1"/>
  <c r="K160" i="1"/>
  <c r="K161" i="1"/>
  <c r="K162" i="1"/>
  <c r="K163" i="1"/>
  <c r="K164" i="1"/>
  <c r="K165" i="1"/>
  <c r="K166" i="1"/>
  <c r="K167" i="1"/>
  <c r="K168" i="1"/>
  <c r="K145" i="1"/>
  <c r="J146" i="1"/>
  <c r="J147" i="1"/>
  <c r="J148" i="1"/>
  <c r="J149" i="1"/>
  <c r="J150" i="1"/>
  <c r="J151" i="1"/>
  <c r="J152" i="1"/>
  <c r="J153" i="1"/>
  <c r="J154" i="1"/>
  <c r="J155" i="1"/>
  <c r="J156" i="1"/>
  <c r="J169" i="1" s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45" i="1"/>
  <c r="I146" i="1"/>
  <c r="I147" i="1"/>
  <c r="I148" i="1"/>
  <c r="I149" i="1"/>
  <c r="I150" i="1"/>
  <c r="I151" i="1"/>
  <c r="I152" i="1"/>
  <c r="I153" i="1"/>
  <c r="I170" i="1" s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45" i="1"/>
  <c r="H146" i="1"/>
  <c r="H147" i="1"/>
  <c r="H148" i="1"/>
  <c r="H170" i="1" s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45" i="1"/>
  <c r="C173" i="1"/>
  <c r="C174" i="1"/>
  <c r="B176" i="1"/>
  <c r="B173" i="1"/>
  <c r="B174" i="1"/>
  <c r="C137" i="1"/>
  <c r="C138" i="1"/>
  <c r="G146" i="1"/>
  <c r="G147" i="1"/>
  <c r="G148" i="1"/>
  <c r="G149" i="1"/>
  <c r="G150" i="1"/>
  <c r="G151" i="1"/>
  <c r="G169" i="1" s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45" i="1"/>
  <c r="F146" i="1"/>
  <c r="F147" i="1"/>
  <c r="F148" i="1"/>
  <c r="F149" i="1"/>
  <c r="F150" i="1"/>
  <c r="F170" i="1" s="1"/>
  <c r="F151" i="1"/>
  <c r="F152" i="1"/>
  <c r="F153" i="1"/>
  <c r="F154" i="1"/>
  <c r="F155" i="1"/>
  <c r="F156" i="1"/>
  <c r="F157" i="1"/>
  <c r="F169" i="1" s="1"/>
  <c r="F158" i="1"/>
  <c r="F159" i="1"/>
  <c r="F160" i="1"/>
  <c r="F161" i="1"/>
  <c r="F162" i="1"/>
  <c r="F163" i="1"/>
  <c r="F164" i="1"/>
  <c r="F165" i="1"/>
  <c r="F166" i="1"/>
  <c r="F167" i="1"/>
  <c r="F168" i="1"/>
  <c r="F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45" i="1"/>
  <c r="D146" i="1"/>
  <c r="D147" i="1"/>
  <c r="D148" i="1"/>
  <c r="D149" i="1"/>
  <c r="D150" i="1"/>
  <c r="D151" i="1"/>
  <c r="D152" i="1"/>
  <c r="D153" i="1"/>
  <c r="D154" i="1"/>
  <c r="D155" i="1"/>
  <c r="D170" i="1" s="1"/>
  <c r="D156" i="1"/>
  <c r="D157" i="1"/>
  <c r="D158" i="1"/>
  <c r="D169" i="1" s="1"/>
  <c r="D159" i="1"/>
  <c r="D160" i="1"/>
  <c r="D161" i="1"/>
  <c r="D162" i="1"/>
  <c r="D163" i="1"/>
  <c r="D164" i="1"/>
  <c r="D165" i="1"/>
  <c r="D166" i="1"/>
  <c r="D167" i="1"/>
  <c r="D168" i="1"/>
  <c r="D145" i="1"/>
  <c r="B169" i="1"/>
  <c r="C169" i="1"/>
  <c r="B170" i="1"/>
  <c r="C170" i="1"/>
  <c r="K170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45" i="1"/>
  <c r="A170" i="1"/>
  <c r="A169" i="1"/>
  <c r="I110" i="1"/>
  <c r="I111" i="1"/>
  <c r="I112" i="1"/>
  <c r="I133" i="1" s="1"/>
  <c r="I113" i="1"/>
  <c r="I114" i="1"/>
  <c r="I115" i="1"/>
  <c r="I116" i="1"/>
  <c r="I117" i="1"/>
  <c r="I118" i="1"/>
  <c r="I119" i="1"/>
  <c r="I120" i="1"/>
  <c r="I134" i="1" s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09" i="1"/>
  <c r="H137" i="1"/>
  <c r="K134" i="1"/>
  <c r="K133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09" i="1"/>
  <c r="J134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09" i="1"/>
  <c r="G134" i="1"/>
  <c r="G133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9" i="1"/>
  <c r="B140" i="1"/>
  <c r="B138" i="1"/>
  <c r="B137" i="1" s="1"/>
  <c r="F134" i="1"/>
  <c r="F133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09" i="1"/>
  <c r="E133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09" i="1"/>
  <c r="B133" i="1"/>
  <c r="C133" i="1"/>
  <c r="D133" i="1"/>
  <c r="E134" i="1"/>
  <c r="B134" i="1"/>
  <c r="C134" i="1"/>
  <c r="D134" i="1"/>
  <c r="A134" i="1"/>
  <c r="A133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09" i="1"/>
  <c r="J104" i="1"/>
  <c r="J103" i="1"/>
  <c r="H104" i="1"/>
  <c r="H103" i="1"/>
  <c r="J243" i="1" l="1"/>
  <c r="F244" i="1"/>
  <c r="E243" i="1"/>
  <c r="K205" i="1"/>
  <c r="J205" i="1"/>
  <c r="E205" i="1"/>
  <c r="E206" i="1"/>
  <c r="D206" i="1"/>
  <c r="L170" i="1"/>
  <c r="L169" i="1"/>
  <c r="J170" i="1"/>
  <c r="I169" i="1"/>
  <c r="H169" i="1"/>
  <c r="G170" i="1"/>
  <c r="E169" i="1"/>
  <c r="E170" i="1"/>
  <c r="H134" i="1"/>
  <c r="H133" i="1"/>
  <c r="F104" i="1" l="1"/>
  <c r="F103" i="1"/>
  <c r="D104" i="1"/>
  <c r="D103" i="1"/>
  <c r="D101" i="1"/>
  <c r="B102" i="1"/>
  <c r="B101" i="1"/>
  <c r="H98" i="1"/>
  <c r="H97" i="1"/>
  <c r="H95" i="1"/>
  <c r="K92" i="1"/>
  <c r="M90" i="1"/>
  <c r="M67" i="1"/>
  <c r="M92" i="1"/>
  <c r="H94" i="1" s="1"/>
  <c r="D96" i="1" l="1"/>
  <c r="D95" i="1"/>
  <c r="D94" i="1"/>
  <c r="C95" i="1"/>
  <c r="C94" i="1"/>
  <c r="C96" i="1"/>
  <c r="I90" i="1"/>
  <c r="I89" i="1"/>
  <c r="M89" i="1" s="1"/>
  <c r="I88" i="1"/>
  <c r="K88" i="1" s="1"/>
  <c r="I87" i="1"/>
  <c r="K87" i="1" s="1"/>
  <c r="I86" i="1"/>
  <c r="M86" i="1" s="1"/>
  <c r="I85" i="1"/>
  <c r="M85" i="1" s="1"/>
  <c r="I84" i="1"/>
  <c r="K84" i="1" s="1"/>
  <c r="I83" i="1"/>
  <c r="M83" i="1" s="1"/>
  <c r="I82" i="1"/>
  <c r="M82" i="1" s="1"/>
  <c r="I81" i="1"/>
  <c r="M81" i="1" s="1"/>
  <c r="I80" i="1"/>
  <c r="M80" i="1" s="1"/>
  <c r="I79" i="1"/>
  <c r="M79" i="1" s="1"/>
  <c r="I78" i="1"/>
  <c r="M78" i="1" s="1"/>
  <c r="I77" i="1"/>
  <c r="M77" i="1" s="1"/>
  <c r="I76" i="1"/>
  <c r="K76" i="1" s="1"/>
  <c r="I75" i="1"/>
  <c r="M75" i="1" s="1"/>
  <c r="I74" i="1"/>
  <c r="M74" i="1" s="1"/>
  <c r="I73" i="1"/>
  <c r="K73" i="1" s="1"/>
  <c r="I72" i="1"/>
  <c r="M72" i="1" s="1"/>
  <c r="I71" i="1"/>
  <c r="M71" i="1" s="1"/>
  <c r="I70" i="1"/>
  <c r="K70" i="1" s="1"/>
  <c r="I69" i="1"/>
  <c r="K69" i="1" s="1"/>
  <c r="I68" i="1"/>
  <c r="I67" i="1"/>
  <c r="H67" i="1"/>
  <c r="B98" i="1"/>
  <c r="L91" i="1"/>
  <c r="L92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67" i="1"/>
  <c r="J91" i="1"/>
  <c r="J92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67" i="1"/>
  <c r="I92" i="1" l="1"/>
  <c r="M88" i="1"/>
  <c r="M87" i="1"/>
  <c r="K89" i="1"/>
  <c r="K67" i="1"/>
  <c r="K90" i="1"/>
  <c r="K72" i="1"/>
  <c r="K71" i="1"/>
  <c r="I91" i="1"/>
  <c r="K78" i="1"/>
  <c r="M76" i="1"/>
  <c r="K74" i="1"/>
  <c r="M73" i="1"/>
  <c r="K75" i="1"/>
  <c r="K77" i="1"/>
  <c r="K85" i="1"/>
  <c r="K82" i="1"/>
  <c r="M70" i="1"/>
  <c r="K86" i="1"/>
  <c r="K81" i="1"/>
  <c r="K80" i="1"/>
  <c r="M69" i="1"/>
  <c r="K68" i="1"/>
  <c r="K79" i="1"/>
  <c r="M84" i="1"/>
  <c r="M68" i="1"/>
  <c r="K83" i="1"/>
  <c r="H91" i="1"/>
  <c r="H92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G91" i="1"/>
  <c r="G92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67" i="1"/>
  <c r="F90" i="1"/>
  <c r="F91" i="1"/>
  <c r="F92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67" i="1"/>
  <c r="B92" i="1"/>
  <c r="A92" i="1"/>
  <c r="E91" i="1"/>
  <c r="D91" i="1"/>
  <c r="C91" i="1"/>
  <c r="B91" i="1"/>
  <c r="A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E92" i="1" s="1"/>
  <c r="D67" i="1"/>
  <c r="D92" i="1" s="1"/>
  <c r="C67" i="1"/>
  <c r="C92" i="1" s="1"/>
  <c r="J33" i="1"/>
  <c r="J34" i="1"/>
  <c r="J35" i="1"/>
  <c r="J36" i="1"/>
  <c r="J56" i="1" s="1"/>
  <c r="J37" i="1"/>
  <c r="J38" i="1"/>
  <c r="J39" i="1"/>
  <c r="J57" i="1" s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32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57" i="1" s="1"/>
  <c r="I39" i="1"/>
  <c r="I38" i="1"/>
  <c r="I37" i="1"/>
  <c r="I56" i="1" s="1"/>
  <c r="I36" i="1"/>
  <c r="I35" i="1"/>
  <c r="I34" i="1"/>
  <c r="I33" i="1"/>
  <c r="I32" i="1"/>
  <c r="H56" i="1"/>
  <c r="H57" i="1"/>
  <c r="G57" i="1"/>
  <c r="G56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2" i="1"/>
  <c r="B62" i="1"/>
  <c r="B57" i="1"/>
  <c r="A57" i="1"/>
  <c r="B56" i="1"/>
  <c r="A56" i="1"/>
  <c r="E33" i="1"/>
  <c r="E56" i="1" s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C28" i="1"/>
  <c r="C25" i="1"/>
  <c r="C21" i="1"/>
  <c r="C17" i="1"/>
  <c r="C14" i="1"/>
  <c r="C13" i="1"/>
  <c r="C10" i="1"/>
  <c r="C7" i="1"/>
  <c r="D34" i="1"/>
  <c r="D37" i="1"/>
  <c r="D40" i="1"/>
  <c r="D41" i="1"/>
  <c r="D44" i="1"/>
  <c r="D48" i="1"/>
  <c r="D52" i="1"/>
  <c r="D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2" i="1"/>
  <c r="C57" i="1" s="1"/>
  <c r="D53" i="1"/>
  <c r="D47" i="1"/>
  <c r="D46" i="1"/>
  <c r="D39" i="1"/>
  <c r="D35" i="1"/>
  <c r="E32" i="1"/>
  <c r="E57" i="1" s="1"/>
  <c r="M91" i="1" l="1"/>
  <c r="K91" i="1"/>
  <c r="B59" i="1"/>
  <c r="C56" i="1"/>
  <c r="D45" i="1"/>
  <c r="D50" i="1"/>
  <c r="D32" i="1"/>
  <c r="D49" i="1"/>
  <c r="F33" i="1" l="1"/>
  <c r="H33" i="1" s="1"/>
  <c r="F49" i="1"/>
  <c r="H49" i="1" s="1"/>
  <c r="F54" i="1"/>
  <c r="H54" i="1" s="1"/>
  <c r="F40" i="1"/>
  <c r="H40" i="1" s="1"/>
  <c r="F44" i="1"/>
  <c r="H44" i="1" s="1"/>
  <c r="B60" i="1"/>
  <c r="F34" i="1" s="1"/>
  <c r="H34" i="1" s="1"/>
  <c r="D42" i="1"/>
  <c r="F39" i="1" l="1"/>
  <c r="H39" i="1" s="1"/>
  <c r="F52" i="1"/>
  <c r="H52" i="1" s="1"/>
  <c r="F51" i="1"/>
  <c r="H51" i="1" s="1"/>
  <c r="F46" i="1"/>
  <c r="H46" i="1" s="1"/>
  <c r="F35" i="1"/>
  <c r="H35" i="1" s="1"/>
  <c r="F37" i="1"/>
  <c r="H37" i="1" s="1"/>
  <c r="F55" i="1"/>
  <c r="H55" i="1" s="1"/>
  <c r="F36" i="1"/>
  <c r="H36" i="1" s="1"/>
  <c r="F38" i="1"/>
  <c r="H38" i="1" s="1"/>
  <c r="F53" i="1"/>
  <c r="H53" i="1" s="1"/>
  <c r="F45" i="1"/>
  <c r="H45" i="1" s="1"/>
  <c r="F43" i="1"/>
  <c r="H43" i="1" s="1"/>
  <c r="F47" i="1"/>
  <c r="H47" i="1" s="1"/>
  <c r="F50" i="1"/>
  <c r="H50" i="1" s="1"/>
  <c r="F48" i="1"/>
  <c r="H48" i="1" s="1"/>
  <c r="F42" i="1"/>
  <c r="H42" i="1" s="1"/>
  <c r="F41" i="1"/>
  <c r="H41" i="1" s="1"/>
  <c r="F32" i="1"/>
  <c r="D33" i="1"/>
  <c r="D51" i="1"/>
  <c r="D36" i="1"/>
  <c r="D54" i="1"/>
  <c r="D43" i="1"/>
  <c r="D38" i="1"/>
  <c r="D57" i="1" l="1"/>
  <c r="D56" i="1"/>
  <c r="F57" i="1"/>
  <c r="F56" i="1"/>
  <c r="H32" i="1"/>
  <c r="F9" i="1" l="1"/>
  <c r="F5" i="1"/>
  <c r="F8" i="1" s="1"/>
  <c r="F6" i="1"/>
  <c r="F4" i="1"/>
  <c r="F7" i="1" s="1"/>
  <c r="C15" i="1" l="1"/>
  <c r="C22" i="1"/>
  <c r="C20" i="1"/>
  <c r="C18" i="1"/>
  <c r="C23" i="1"/>
  <c r="C12" i="1"/>
  <c r="C26" i="1"/>
  <c r="C5" i="1"/>
  <c r="F11" i="1" s="1"/>
  <c r="C8" i="1"/>
  <c r="C19" i="1"/>
  <c r="C6" i="1"/>
  <c r="C27" i="1"/>
  <c r="C11" i="1"/>
  <c r="C24" i="1"/>
  <c r="C9" i="1"/>
  <c r="C16" i="1"/>
  <c r="F15" i="1"/>
  <c r="F14" i="1"/>
  <c r="F10" i="1"/>
</calcChain>
</file>

<file path=xl/sharedStrings.xml><?xml version="1.0" encoding="utf-8"?>
<sst xmlns="http://schemas.openxmlformats.org/spreadsheetml/2006/main" count="148" uniqueCount="69">
  <si>
    <t>t</t>
  </si>
  <si>
    <t>y</t>
  </si>
  <si>
    <t>3,27+р1</t>
  </si>
  <si>
    <t>4,39-р2</t>
  </si>
  <si>
    <t>6,63+р1</t>
  </si>
  <si>
    <t>7,75-р2</t>
  </si>
  <si>
    <t>9,99-р2</t>
  </si>
  <si>
    <t>11,11+р1</t>
  </si>
  <si>
    <t>14,47-р1</t>
  </si>
  <si>
    <t>15,59-р2</t>
  </si>
  <si>
    <t>17,83+р1</t>
  </si>
  <si>
    <t>18,95+р1</t>
  </si>
  <si>
    <t>20,07-р1</t>
  </si>
  <si>
    <t>22,31-р1</t>
  </si>
  <si>
    <t>23,43-р1</t>
  </si>
  <si>
    <t>24,55+р2</t>
  </si>
  <si>
    <t>26,79+р1</t>
  </si>
  <si>
    <t>27,91+р2</t>
  </si>
  <si>
    <t xml:space="preserve">1. Проверить ряд на наличие тенденции. 2. С помощью метода аналитического выравнивания выбрать наилучшую модель. 3. Проверить выбранную модель на адекватность. 4 Построить по выбранной модели точечный и интервальный прогноз на следующие два периода. (в таблице р1 - это число букв в полном имени*0,15, р2 - число букв в фамилии*0,13). </t>
  </si>
  <si>
    <t>Число</t>
  </si>
  <si>
    <t>n</t>
  </si>
  <si>
    <t>m</t>
  </si>
  <si>
    <t>Median</t>
  </si>
  <si>
    <t>v(n)</t>
  </si>
  <si>
    <t>t(n)</t>
  </si>
  <si>
    <t>v(n)табл</t>
  </si>
  <si>
    <t>t(n)табл</t>
  </si>
  <si>
    <t>Имя</t>
  </si>
  <si>
    <t>Фамилия</t>
  </si>
  <si>
    <t>Отчество</t>
  </si>
  <si>
    <t xml:space="preserve">p1 </t>
  </si>
  <si>
    <t>p2</t>
  </si>
  <si>
    <t>Эдмон</t>
  </si>
  <si>
    <t>Тунян</t>
  </si>
  <si>
    <t>Гарникович</t>
  </si>
  <si>
    <t>Линейная</t>
  </si>
  <si>
    <t>t * y</t>
  </si>
  <si>
    <t>y(t)</t>
  </si>
  <si>
    <t>b</t>
  </si>
  <si>
    <t>a</t>
  </si>
  <si>
    <t>m(k1)</t>
  </si>
  <si>
    <t>k2</t>
  </si>
  <si>
    <t>n(степень свободы)</t>
  </si>
  <si>
    <t>Сумма</t>
  </si>
  <si>
    <t>Среднее</t>
  </si>
  <si>
    <t>Параболическая</t>
  </si>
  <si>
    <t>c</t>
  </si>
  <si>
    <t>Ошибка аппроксимации</t>
  </si>
  <si>
    <t>Эмпирическая корреляция</t>
  </si>
  <si>
    <t>F</t>
  </si>
  <si>
    <t>Fтабл</t>
  </si>
  <si>
    <t>Sy</t>
  </si>
  <si>
    <t>x1</t>
  </si>
  <si>
    <t>x2</t>
  </si>
  <si>
    <t>tтабл</t>
  </si>
  <si>
    <t>k1</t>
  </si>
  <si>
    <t>y1</t>
  </si>
  <si>
    <t>y2</t>
  </si>
  <si>
    <t>Нижняя граница (y1l)</t>
  </si>
  <si>
    <t>Нижняя граница (y2l)</t>
  </si>
  <si>
    <t>Верхняя граница (y2u)</t>
  </si>
  <si>
    <t>Верхняя граница (y1u)</t>
  </si>
  <si>
    <t>Экспоненциальная</t>
  </si>
  <si>
    <t>lny</t>
  </si>
  <si>
    <t>lnt</t>
  </si>
  <si>
    <t>Степенная</t>
  </si>
  <si>
    <t>Гиперболическая</t>
  </si>
  <si>
    <t>1/t</t>
  </si>
  <si>
    <t>Логарифмическая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</si>
</sst>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4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4" borderId="1" xfId="0" applyNumberFormat="1" applyFont="1" applyFill="1" applyBorder="1" applyAlignment="1">
      <alignment horizontal="center" wrapText="1"/>
    </xf>
    <xf numFmtId="9" fontId="0" fillId="5" borderId="1" xfId="1" applyFont="1" applyFill="1" applyBorder="1" applyAlignment="1">
      <alignment horizontal="center"/>
    </xf>
    <xf numFmtId="2" fontId="0" fillId="5" borderId="1" xfId="1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2" fontId="2" fillId="9" borderId="1" xfId="0" applyNumberFormat="1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2" fontId="2" fillId="10" borderId="1" xfId="0" applyNumberFormat="1" applyFont="1" applyFill="1" applyBorder="1" applyAlignment="1">
      <alignment horizontal="center"/>
    </xf>
    <xf numFmtId="1" fontId="2" fillId="10" borderId="1" xfId="0" applyNumberFormat="1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9" fontId="0" fillId="5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400050</xdr:colOff>
      <xdr:row>30</xdr:row>
      <xdr:rowOff>147637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3F65AAD-D606-4212-9A14-93FC46881128}"/>
                </a:ext>
              </a:extLst>
            </xdr:cNvPr>
            <xdr:cNvSpPr txBox="1"/>
          </xdr:nvSpPr>
          <xdr:spPr>
            <a:xfrm>
              <a:off x="2057400" y="7700962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3F65AAD-D606-4212-9A14-93FC46881128}"/>
                </a:ext>
              </a:extLst>
            </xdr:cNvPr>
            <xdr:cNvSpPr txBox="1"/>
          </xdr:nvSpPr>
          <xdr:spPr>
            <a:xfrm>
              <a:off x="2057400" y="7700962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390525</xdr:colOff>
      <xdr:row>30</xdr:row>
      <xdr:rowOff>138112</xdr:rowOff>
    </xdr:from>
    <xdr:ext cx="18364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7459486-67B6-4FBA-B574-073D7FAEF870}"/>
                </a:ext>
              </a:extLst>
            </xdr:cNvPr>
            <xdr:cNvSpPr txBox="1"/>
          </xdr:nvSpPr>
          <xdr:spPr>
            <a:xfrm>
              <a:off x="2867025" y="7691437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7459486-67B6-4FBA-B574-073D7FAEF870}"/>
                </a:ext>
              </a:extLst>
            </xdr:cNvPr>
            <xdr:cNvSpPr txBox="1"/>
          </xdr:nvSpPr>
          <xdr:spPr>
            <a:xfrm>
              <a:off x="2867025" y="7691437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257175</xdr:colOff>
      <xdr:row>30</xdr:row>
      <xdr:rowOff>90487</xdr:rowOff>
    </xdr:from>
    <xdr:ext cx="715324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78DF24E-0961-4664-BB3A-382665C4A02A}"/>
                </a:ext>
              </a:extLst>
            </xdr:cNvPr>
            <xdr:cNvSpPr txBox="1"/>
          </xdr:nvSpPr>
          <xdr:spPr>
            <a:xfrm>
              <a:off x="5143500" y="7643812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78DF24E-0961-4664-BB3A-382665C4A02A}"/>
                </a:ext>
              </a:extLst>
            </xdr:cNvPr>
            <xdr:cNvSpPr txBox="1"/>
          </xdr:nvSpPr>
          <xdr:spPr>
            <a:xfrm>
              <a:off x="5143500" y="7643812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66675</xdr:colOff>
      <xdr:row>30</xdr:row>
      <xdr:rowOff>128587</xdr:rowOff>
    </xdr:from>
    <xdr:ext cx="77348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213FA4B-CCF7-4C2C-8949-F0F40ABD619C}"/>
                </a:ext>
              </a:extLst>
            </xdr:cNvPr>
            <xdr:cNvSpPr txBox="1"/>
          </xdr:nvSpPr>
          <xdr:spPr>
            <a:xfrm>
              <a:off x="6038850" y="768191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213FA4B-CCF7-4C2C-8949-F0F40ABD619C}"/>
                </a:ext>
              </a:extLst>
            </xdr:cNvPr>
            <xdr:cNvSpPr txBox="1"/>
          </xdr:nvSpPr>
          <xdr:spPr>
            <a:xfrm>
              <a:off x="6038850" y="768191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</a:t>
              </a:r>
              <a:r>
                <a:rPr lang="en-US" sz="1100" b="1" i="0">
                  <a:latin typeface="Cambria Math" panose="02040503050406030204" pitchFamily="18" charset="0"/>
                </a:rPr>
                <a:t>𝒚(𝒕)</a:t>
              </a:r>
              <a:r>
                <a:rPr lang="ru-RU" sz="1100" b="1" i="0">
                  <a:latin typeface="Cambria Math" panose="02040503050406030204" pitchFamily="18" charset="0"/>
                </a:rPr>
                <a:t>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228600</xdr:colOff>
      <xdr:row>30</xdr:row>
      <xdr:rowOff>109537</xdr:rowOff>
    </xdr:from>
    <xdr:ext cx="690189" cy="2342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DE35DE5-D7DB-45FF-83AC-1CC041B84BD7}"/>
                </a:ext>
              </a:extLst>
            </xdr:cNvPr>
            <xdr:cNvSpPr txBox="1"/>
          </xdr:nvSpPr>
          <xdr:spPr>
            <a:xfrm>
              <a:off x="7458075" y="766286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DE35DE5-D7DB-45FF-83AC-1CC041B84BD7}"/>
                </a:ext>
              </a:extLst>
            </xdr:cNvPr>
            <xdr:cNvSpPr txBox="1"/>
          </xdr:nvSpPr>
          <xdr:spPr>
            <a:xfrm>
              <a:off x="7458075" y="766286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_𝒊−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171450</xdr:colOff>
      <xdr:row>30</xdr:row>
      <xdr:rowOff>52387</xdr:rowOff>
    </xdr:from>
    <xdr:ext cx="678198" cy="3574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69E717F-0D74-4671-9749-5C048F6436E0}"/>
                </a:ext>
              </a:extLst>
            </xdr:cNvPr>
            <xdr:cNvSpPr txBox="1"/>
          </xdr:nvSpPr>
          <xdr:spPr>
            <a:xfrm>
              <a:off x="8848725" y="760571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d>
                              <m:d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69E717F-0D74-4671-9749-5C048F6436E0}"/>
                </a:ext>
              </a:extLst>
            </xdr:cNvPr>
            <xdr:cNvSpPr txBox="1"/>
          </xdr:nvSpPr>
          <xdr:spPr>
            <a:xfrm>
              <a:off x="8848725" y="760571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𝒕)|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 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2</xdr:col>
      <xdr:colOff>400050</xdr:colOff>
      <xdr:row>65</xdr:row>
      <xdr:rowOff>147637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4F64B09-682C-4257-B3A5-86428186A48F}"/>
                </a:ext>
              </a:extLst>
            </xdr:cNvPr>
            <xdr:cNvSpPr txBox="1"/>
          </xdr:nvSpPr>
          <xdr:spPr>
            <a:xfrm>
              <a:off x="2057400" y="16311562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4F64B09-682C-4257-B3A5-86428186A48F}"/>
                </a:ext>
              </a:extLst>
            </xdr:cNvPr>
            <xdr:cNvSpPr txBox="1"/>
          </xdr:nvSpPr>
          <xdr:spPr>
            <a:xfrm>
              <a:off x="2057400" y="16311562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390525</xdr:colOff>
      <xdr:row>65</xdr:row>
      <xdr:rowOff>138112</xdr:rowOff>
    </xdr:from>
    <xdr:ext cx="18364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2483FED-09A4-4FE7-B7E8-5067C99BD032}"/>
                </a:ext>
              </a:extLst>
            </xdr:cNvPr>
            <xdr:cNvSpPr txBox="1"/>
          </xdr:nvSpPr>
          <xdr:spPr>
            <a:xfrm>
              <a:off x="2962275" y="16282987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2483FED-09A4-4FE7-B7E8-5067C99BD032}"/>
                </a:ext>
              </a:extLst>
            </xdr:cNvPr>
            <xdr:cNvSpPr txBox="1"/>
          </xdr:nvSpPr>
          <xdr:spPr>
            <a:xfrm>
              <a:off x="2962275" y="16282987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219075</xdr:colOff>
      <xdr:row>65</xdr:row>
      <xdr:rowOff>100012</xdr:rowOff>
    </xdr:from>
    <xdr:ext cx="715324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55646B-AEB3-4151-848F-C9DFBA4CF410}"/>
                </a:ext>
              </a:extLst>
            </xdr:cNvPr>
            <xdr:cNvSpPr txBox="1"/>
          </xdr:nvSpPr>
          <xdr:spPr>
            <a:xfrm>
              <a:off x="7800975" y="162639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55646B-AEB3-4151-848F-C9DFBA4CF410}"/>
                </a:ext>
              </a:extLst>
            </xdr:cNvPr>
            <xdr:cNvSpPr txBox="1"/>
          </xdr:nvSpPr>
          <xdr:spPr>
            <a:xfrm>
              <a:off x="7800975" y="162639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57150</xdr:colOff>
      <xdr:row>65</xdr:row>
      <xdr:rowOff>147637</xdr:rowOff>
    </xdr:from>
    <xdr:ext cx="77348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837A9EE-63A2-4D32-82D9-D3B5978F6028}"/>
                </a:ext>
              </a:extLst>
            </xdr:cNvPr>
            <xdr:cNvSpPr txBox="1"/>
          </xdr:nvSpPr>
          <xdr:spPr>
            <a:xfrm>
              <a:off x="8610600" y="1631156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837A9EE-63A2-4D32-82D9-D3B5978F6028}"/>
                </a:ext>
              </a:extLst>
            </xdr:cNvPr>
            <xdr:cNvSpPr txBox="1"/>
          </xdr:nvSpPr>
          <xdr:spPr>
            <a:xfrm>
              <a:off x="8610600" y="1631156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</a:t>
              </a:r>
              <a:r>
                <a:rPr lang="en-US" sz="1100" b="1" i="0">
                  <a:latin typeface="Cambria Math" panose="02040503050406030204" pitchFamily="18" charset="0"/>
                </a:rPr>
                <a:t>𝒚(𝒕))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11</xdr:col>
      <xdr:colOff>95250</xdr:colOff>
      <xdr:row>65</xdr:row>
      <xdr:rowOff>109537</xdr:rowOff>
    </xdr:from>
    <xdr:ext cx="690189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2B26851-94C1-491E-8C03-EA47E3EF5C55}"/>
                </a:ext>
              </a:extLst>
            </xdr:cNvPr>
            <xdr:cNvSpPr txBox="1"/>
          </xdr:nvSpPr>
          <xdr:spPr>
            <a:xfrm>
              <a:off x="9534525" y="1627346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2B26851-94C1-491E-8C03-EA47E3EF5C55}"/>
                </a:ext>
              </a:extLst>
            </xdr:cNvPr>
            <xdr:cNvSpPr txBox="1"/>
          </xdr:nvSpPr>
          <xdr:spPr>
            <a:xfrm>
              <a:off x="9534525" y="1627346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_𝒊−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12</xdr:col>
      <xdr:colOff>38100</xdr:colOff>
      <xdr:row>65</xdr:row>
      <xdr:rowOff>80962</xdr:rowOff>
    </xdr:from>
    <xdr:ext cx="678198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E099C1E-9AB5-4A48-B1C5-9DB46A6FE772}"/>
                </a:ext>
              </a:extLst>
            </xdr:cNvPr>
            <xdr:cNvSpPr txBox="1"/>
          </xdr:nvSpPr>
          <xdr:spPr>
            <a:xfrm>
              <a:off x="11449050" y="16225837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d>
                              <m:d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E099C1E-9AB5-4A48-B1C5-9DB46A6FE772}"/>
                </a:ext>
              </a:extLst>
            </xdr:cNvPr>
            <xdr:cNvSpPr txBox="1"/>
          </xdr:nvSpPr>
          <xdr:spPr>
            <a:xfrm>
              <a:off x="11449050" y="16225837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𝒕)|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 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5</xdr:col>
      <xdr:colOff>304800</xdr:colOff>
      <xdr:row>65</xdr:row>
      <xdr:rowOff>176212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DC93891-6882-4B68-A889-30710B9644BA}"/>
                </a:ext>
              </a:extLst>
            </xdr:cNvPr>
            <xdr:cNvSpPr txBox="1"/>
          </xdr:nvSpPr>
          <xdr:spPr>
            <a:xfrm>
              <a:off x="4381500" y="1634013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DC93891-6882-4B68-A889-30710B9644BA}"/>
                </a:ext>
              </a:extLst>
            </xdr:cNvPr>
            <xdr:cNvSpPr txBox="1"/>
          </xdr:nvSpPr>
          <xdr:spPr>
            <a:xfrm>
              <a:off x="4381500" y="1634013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𝟑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457200</xdr:colOff>
      <xdr:row>65</xdr:row>
      <xdr:rowOff>147637</xdr:rowOff>
    </xdr:from>
    <xdr:ext cx="158505" cy="179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E0F6A0D-A460-4FC0-BFE6-24A5FDCF5424}"/>
                </a:ext>
              </a:extLst>
            </xdr:cNvPr>
            <xdr:cNvSpPr txBox="1"/>
          </xdr:nvSpPr>
          <xdr:spPr>
            <a:xfrm>
              <a:off x="5343525" y="16311562"/>
              <a:ext cx="158505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E0F6A0D-A460-4FC0-BFE6-24A5FDCF5424}"/>
                </a:ext>
              </a:extLst>
            </xdr:cNvPr>
            <xdr:cNvSpPr txBox="1"/>
          </xdr:nvSpPr>
          <xdr:spPr>
            <a:xfrm>
              <a:off x="5343525" y="16311562"/>
              <a:ext cx="158505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b="1" i="0">
                  <a:latin typeface="Cambria Math" panose="02040503050406030204" pitchFamily="18" charset="0"/>
                </a:rPr>
                <a:t>𝟒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276225</xdr:colOff>
      <xdr:row>65</xdr:row>
      <xdr:rowOff>147637</xdr:rowOff>
    </xdr:from>
    <xdr:ext cx="373628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0DB2D46-E197-44CD-9EBC-4426DF37277F}"/>
                </a:ext>
              </a:extLst>
            </xdr:cNvPr>
            <xdr:cNvSpPr txBox="1"/>
          </xdr:nvSpPr>
          <xdr:spPr>
            <a:xfrm>
              <a:off x="6248400" y="16311562"/>
              <a:ext cx="37362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𝒚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0DB2D46-E197-44CD-9EBC-4426DF37277F}"/>
                </a:ext>
              </a:extLst>
            </xdr:cNvPr>
            <xdr:cNvSpPr txBox="1"/>
          </xdr:nvSpPr>
          <xdr:spPr>
            <a:xfrm>
              <a:off x="6248400" y="16311562"/>
              <a:ext cx="37362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r>
                <a:rPr lang="en-US" sz="1100" b="1" i="0">
                  <a:latin typeface="Cambria Math" panose="02040503050406030204" pitchFamily="18" charset="0"/>
                </a:rPr>
                <a:t>∗𝒚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80962</xdr:colOff>
      <xdr:row>94</xdr:row>
      <xdr:rowOff>52387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FAF3E51-F4A6-4F3C-B0CC-D1C2073E44B9}"/>
                </a:ext>
              </a:extLst>
            </xdr:cNvPr>
            <xdr:cNvSpPr txBox="1"/>
          </xdr:nvSpPr>
          <xdr:spPr>
            <a:xfrm>
              <a:off x="5062537" y="2329338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FAF3E51-F4A6-4F3C-B0CC-D1C2073E44B9}"/>
                </a:ext>
              </a:extLst>
            </xdr:cNvPr>
            <xdr:cNvSpPr txBox="1"/>
          </xdr:nvSpPr>
          <xdr:spPr>
            <a:xfrm>
              <a:off x="5062537" y="2329338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𝑅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328612</xdr:colOff>
      <xdr:row>100</xdr:row>
      <xdr:rowOff>14287</xdr:rowOff>
    </xdr:from>
    <xdr:ext cx="26052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44D50CA-CE6B-42C5-9D2F-AD068039EC76}"/>
                </a:ext>
              </a:extLst>
            </xdr:cNvPr>
            <xdr:cNvSpPr txBox="1"/>
          </xdr:nvSpPr>
          <xdr:spPr>
            <a:xfrm>
              <a:off x="328612" y="24874537"/>
              <a:ext cx="2605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𝑆</m:t>
                    </m:r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44D50CA-CE6B-42C5-9D2F-AD068039EC76}"/>
                </a:ext>
              </a:extLst>
            </xdr:cNvPr>
            <xdr:cNvSpPr txBox="1"/>
          </xdr:nvSpPr>
          <xdr:spPr>
            <a:xfrm>
              <a:off x="328612" y="24874537"/>
              <a:ext cx="2605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𝑆𝑦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371475</xdr:colOff>
      <xdr:row>107</xdr:row>
      <xdr:rowOff>185737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D5FC74E-248D-4A6A-A0CD-51A6D5918DB6}"/>
                </a:ext>
              </a:extLst>
            </xdr:cNvPr>
            <xdr:cNvSpPr txBox="1"/>
          </xdr:nvSpPr>
          <xdr:spPr>
            <a:xfrm>
              <a:off x="2943225" y="2637948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D5FC74E-248D-4A6A-A0CD-51A6D5918DB6}"/>
                </a:ext>
              </a:extLst>
            </xdr:cNvPr>
            <xdr:cNvSpPr txBox="1"/>
          </xdr:nvSpPr>
          <xdr:spPr>
            <a:xfrm>
              <a:off x="2943225" y="2637948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295275</xdr:colOff>
      <xdr:row>107</xdr:row>
      <xdr:rowOff>176212</xdr:rowOff>
    </xdr:from>
    <xdr:ext cx="18364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9D2A7DF-DA14-4CA8-9C11-D65B2762CF59}"/>
                </a:ext>
              </a:extLst>
            </xdr:cNvPr>
            <xdr:cNvSpPr txBox="1"/>
          </xdr:nvSpPr>
          <xdr:spPr>
            <a:xfrm>
              <a:off x="3686175" y="26369962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9D2A7DF-DA14-4CA8-9C11-D65B2762CF59}"/>
                </a:ext>
              </a:extLst>
            </xdr:cNvPr>
            <xdr:cNvSpPr txBox="1"/>
          </xdr:nvSpPr>
          <xdr:spPr>
            <a:xfrm>
              <a:off x="3686175" y="26369962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66675</xdr:colOff>
      <xdr:row>107</xdr:row>
      <xdr:rowOff>128587</xdr:rowOff>
    </xdr:from>
    <xdr:ext cx="715324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505B26-A86E-494D-89D8-04B96233CF6D}"/>
                </a:ext>
              </a:extLst>
            </xdr:cNvPr>
            <xdr:cNvSpPr txBox="1"/>
          </xdr:nvSpPr>
          <xdr:spPr>
            <a:xfrm>
              <a:off x="6410325" y="263223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505B26-A86E-494D-89D8-04B96233CF6D}"/>
                </a:ext>
              </a:extLst>
            </xdr:cNvPr>
            <xdr:cNvSpPr txBox="1"/>
          </xdr:nvSpPr>
          <xdr:spPr>
            <a:xfrm>
              <a:off x="6410325" y="263223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180975</xdr:colOff>
      <xdr:row>107</xdr:row>
      <xdr:rowOff>157162</xdr:rowOff>
    </xdr:from>
    <xdr:ext cx="690189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0DDFEE3-C9E1-4206-B5F3-9C5E56ED4A91}"/>
                </a:ext>
              </a:extLst>
            </xdr:cNvPr>
            <xdr:cNvSpPr txBox="1"/>
          </xdr:nvSpPr>
          <xdr:spPr>
            <a:xfrm>
              <a:off x="8858250" y="2635091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0DDFEE3-C9E1-4206-B5F3-9C5E56ED4A91}"/>
                </a:ext>
              </a:extLst>
            </xdr:cNvPr>
            <xdr:cNvSpPr txBox="1"/>
          </xdr:nvSpPr>
          <xdr:spPr>
            <a:xfrm>
              <a:off x="8858250" y="2635091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_𝒊−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114300</xdr:colOff>
      <xdr:row>107</xdr:row>
      <xdr:rowOff>80962</xdr:rowOff>
    </xdr:from>
    <xdr:ext cx="678198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489D5EF-854E-45AD-AB7B-FAE84D1E79B9}"/>
                </a:ext>
              </a:extLst>
            </xdr:cNvPr>
            <xdr:cNvSpPr txBox="1"/>
          </xdr:nvSpPr>
          <xdr:spPr>
            <a:xfrm>
              <a:off x="9829800" y="2627471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d>
                              <m:d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489D5EF-854E-45AD-AB7B-FAE84D1E79B9}"/>
                </a:ext>
              </a:extLst>
            </xdr:cNvPr>
            <xdr:cNvSpPr txBox="1"/>
          </xdr:nvSpPr>
          <xdr:spPr>
            <a:xfrm>
              <a:off x="9829800" y="2627471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𝒕)|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 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323850</xdr:colOff>
      <xdr:row>107</xdr:row>
      <xdr:rowOff>138112</xdr:rowOff>
    </xdr:from>
    <xdr:ext cx="77348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421C0F7-AE2B-4033-B391-AB032CEA0D30}"/>
                </a:ext>
              </a:extLst>
            </xdr:cNvPr>
            <xdr:cNvSpPr txBox="1"/>
          </xdr:nvSpPr>
          <xdr:spPr>
            <a:xfrm>
              <a:off x="7553325" y="2633186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421C0F7-AE2B-4033-B391-AB032CEA0D30}"/>
                </a:ext>
              </a:extLst>
            </xdr:cNvPr>
            <xdr:cNvSpPr txBox="1"/>
          </xdr:nvSpPr>
          <xdr:spPr>
            <a:xfrm>
              <a:off x="7553325" y="2633186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</a:t>
              </a:r>
              <a:r>
                <a:rPr lang="en-US" sz="1100" b="1" i="0">
                  <a:latin typeface="Cambria Math" panose="02040503050406030204" pitchFamily="18" charset="0"/>
                </a:rPr>
                <a:t>𝒚(𝒕))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80962</xdr:colOff>
      <xdr:row>137</xdr:row>
      <xdr:rowOff>52387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D9B0D4D-D89E-4ACB-BD6C-CFAE16D8E32F}"/>
                </a:ext>
              </a:extLst>
            </xdr:cNvPr>
            <xdr:cNvSpPr txBox="1"/>
          </xdr:nvSpPr>
          <xdr:spPr>
            <a:xfrm>
              <a:off x="5062537" y="2329338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D9B0D4D-D89E-4ACB-BD6C-CFAE16D8E32F}"/>
                </a:ext>
              </a:extLst>
            </xdr:cNvPr>
            <xdr:cNvSpPr txBox="1"/>
          </xdr:nvSpPr>
          <xdr:spPr>
            <a:xfrm>
              <a:off x="5062537" y="2329338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𝑅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143</xdr:row>
      <xdr:rowOff>214312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F3EE838-1DB4-4AD5-A7D4-20B5070CD032}"/>
                </a:ext>
              </a:extLst>
            </xdr:cNvPr>
            <xdr:cNvSpPr txBox="1"/>
          </xdr:nvSpPr>
          <xdr:spPr>
            <a:xfrm>
              <a:off x="3714750" y="35056762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F3EE838-1DB4-4AD5-A7D4-20B5070CD032}"/>
                </a:ext>
              </a:extLst>
            </xdr:cNvPr>
            <xdr:cNvSpPr txBox="1"/>
          </xdr:nvSpPr>
          <xdr:spPr>
            <a:xfrm>
              <a:off x="3714750" y="35056762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5</xdr:col>
      <xdr:colOff>333375</xdr:colOff>
      <xdr:row>143</xdr:row>
      <xdr:rowOff>176212</xdr:rowOff>
    </xdr:from>
    <xdr:ext cx="18364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2F9E901D-016D-4B58-8A68-28B75EDA0380}"/>
                </a:ext>
              </a:extLst>
            </xdr:cNvPr>
            <xdr:cNvSpPr txBox="1"/>
          </xdr:nvSpPr>
          <xdr:spPr>
            <a:xfrm>
              <a:off x="4505325" y="35018662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2F9E901D-016D-4B58-8A68-28B75EDA0380}"/>
                </a:ext>
              </a:extLst>
            </xdr:cNvPr>
            <xdr:cNvSpPr txBox="1"/>
          </xdr:nvSpPr>
          <xdr:spPr>
            <a:xfrm>
              <a:off x="4505325" y="35018662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419100</xdr:colOff>
      <xdr:row>143</xdr:row>
      <xdr:rowOff>166687</xdr:rowOff>
    </xdr:from>
    <xdr:ext cx="715324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BF5901D-C76A-4D0D-A89B-A1098E0255EF}"/>
                </a:ext>
              </a:extLst>
            </xdr:cNvPr>
            <xdr:cNvSpPr txBox="1"/>
          </xdr:nvSpPr>
          <xdr:spPr>
            <a:xfrm>
              <a:off x="7648575" y="350091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BF5901D-C76A-4D0D-A89B-A1098E0255EF}"/>
                </a:ext>
              </a:extLst>
            </xdr:cNvPr>
            <xdr:cNvSpPr txBox="1"/>
          </xdr:nvSpPr>
          <xdr:spPr>
            <a:xfrm>
              <a:off x="7648575" y="350091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171450</xdr:colOff>
      <xdr:row>143</xdr:row>
      <xdr:rowOff>157162</xdr:rowOff>
    </xdr:from>
    <xdr:ext cx="77348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7C2CE064-E0C7-4E79-BEF7-F62F38B55435}"/>
                </a:ext>
              </a:extLst>
            </xdr:cNvPr>
            <xdr:cNvSpPr txBox="1"/>
          </xdr:nvSpPr>
          <xdr:spPr>
            <a:xfrm>
              <a:off x="8848725" y="3499961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7C2CE064-E0C7-4E79-BEF7-F62F38B55435}"/>
                </a:ext>
              </a:extLst>
            </xdr:cNvPr>
            <xdr:cNvSpPr txBox="1"/>
          </xdr:nvSpPr>
          <xdr:spPr>
            <a:xfrm>
              <a:off x="8848725" y="3499961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</a:t>
              </a:r>
              <a:r>
                <a:rPr lang="en-US" sz="1100" b="1" i="0">
                  <a:latin typeface="Cambria Math" panose="02040503050406030204" pitchFamily="18" charset="0"/>
                </a:rPr>
                <a:t>𝒚(𝒕))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104775</xdr:colOff>
      <xdr:row>143</xdr:row>
      <xdr:rowOff>147637</xdr:rowOff>
    </xdr:from>
    <xdr:ext cx="690189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B255BB6-F184-4E14-9B98-1CF3F3056201}"/>
                </a:ext>
              </a:extLst>
            </xdr:cNvPr>
            <xdr:cNvSpPr txBox="1"/>
          </xdr:nvSpPr>
          <xdr:spPr>
            <a:xfrm>
              <a:off x="9820275" y="34990087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B255BB6-F184-4E14-9B98-1CF3F3056201}"/>
                </a:ext>
              </a:extLst>
            </xdr:cNvPr>
            <xdr:cNvSpPr txBox="1"/>
          </xdr:nvSpPr>
          <xdr:spPr>
            <a:xfrm>
              <a:off x="9820275" y="34990087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_𝒊−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11</xdr:col>
      <xdr:colOff>66675</xdr:colOff>
      <xdr:row>143</xdr:row>
      <xdr:rowOff>100012</xdr:rowOff>
    </xdr:from>
    <xdr:ext cx="678198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C43DDD0-D4B8-4797-90D4-0A18E6F680C7}"/>
                </a:ext>
              </a:extLst>
            </xdr:cNvPr>
            <xdr:cNvSpPr txBox="1"/>
          </xdr:nvSpPr>
          <xdr:spPr>
            <a:xfrm>
              <a:off x="10668000" y="3494246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d>
                              <m:d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C43DDD0-D4B8-4797-90D4-0A18E6F680C7}"/>
                </a:ext>
              </a:extLst>
            </xdr:cNvPr>
            <xdr:cNvSpPr txBox="1"/>
          </xdr:nvSpPr>
          <xdr:spPr>
            <a:xfrm>
              <a:off x="10668000" y="3494246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𝒕)|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 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80962</xdr:colOff>
      <xdr:row>173</xdr:row>
      <xdr:rowOff>52387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ECF15BE-0902-4E0F-848E-A6F5BFBE4E4A}"/>
                </a:ext>
              </a:extLst>
            </xdr:cNvPr>
            <xdr:cNvSpPr txBox="1"/>
          </xdr:nvSpPr>
          <xdr:spPr>
            <a:xfrm>
              <a:off x="5062537" y="3356133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ECF15BE-0902-4E0F-848E-A6F5BFBE4E4A}"/>
                </a:ext>
              </a:extLst>
            </xdr:cNvPr>
            <xdr:cNvSpPr txBox="1"/>
          </xdr:nvSpPr>
          <xdr:spPr>
            <a:xfrm>
              <a:off x="5062537" y="3356133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𝑅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80962</xdr:colOff>
      <xdr:row>209</xdr:row>
      <xdr:rowOff>52387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2D970DC-97D8-43A0-8B29-D4687ACE508B}"/>
                </a:ext>
              </a:extLst>
            </xdr:cNvPr>
            <xdr:cNvSpPr txBox="1"/>
          </xdr:nvSpPr>
          <xdr:spPr>
            <a:xfrm>
              <a:off x="5062537" y="42219562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2D970DC-97D8-43A0-8B29-D4687ACE508B}"/>
                </a:ext>
              </a:extLst>
            </xdr:cNvPr>
            <xdr:cNvSpPr txBox="1"/>
          </xdr:nvSpPr>
          <xdr:spPr>
            <a:xfrm>
              <a:off x="5062537" y="42219562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𝑅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80962</xdr:colOff>
      <xdr:row>247</xdr:row>
      <xdr:rowOff>52387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BC083E0-F956-47DD-A3E1-404C89C65CE3}"/>
                </a:ext>
              </a:extLst>
            </xdr:cNvPr>
            <xdr:cNvSpPr txBox="1"/>
          </xdr:nvSpPr>
          <xdr:spPr>
            <a:xfrm>
              <a:off x="5062537" y="50601562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BC083E0-F956-47DD-A3E1-404C89C65CE3}"/>
                </a:ext>
              </a:extLst>
            </xdr:cNvPr>
            <xdr:cNvSpPr txBox="1"/>
          </xdr:nvSpPr>
          <xdr:spPr>
            <a:xfrm>
              <a:off x="5062537" y="50601562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𝑅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352425</xdr:colOff>
      <xdr:row>179</xdr:row>
      <xdr:rowOff>138112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286E8B4-61D3-445C-9C3A-D55751A1EEDF}"/>
                </a:ext>
              </a:extLst>
            </xdr:cNvPr>
            <xdr:cNvSpPr txBox="1"/>
          </xdr:nvSpPr>
          <xdr:spPr>
            <a:xfrm>
              <a:off x="2924175" y="4363878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286E8B4-61D3-445C-9C3A-D55751A1EEDF}"/>
                </a:ext>
              </a:extLst>
            </xdr:cNvPr>
            <xdr:cNvSpPr txBox="1"/>
          </xdr:nvSpPr>
          <xdr:spPr>
            <a:xfrm>
              <a:off x="2924175" y="4363878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323850</xdr:colOff>
      <xdr:row>179</xdr:row>
      <xdr:rowOff>119062</xdr:rowOff>
    </xdr:from>
    <xdr:ext cx="18364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F51DB92-2C29-48A5-94C6-70C049E44FBC}"/>
                </a:ext>
              </a:extLst>
            </xdr:cNvPr>
            <xdr:cNvSpPr txBox="1"/>
          </xdr:nvSpPr>
          <xdr:spPr>
            <a:xfrm>
              <a:off x="3714750" y="43619737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F51DB92-2C29-48A5-94C6-70C049E44FBC}"/>
                </a:ext>
              </a:extLst>
            </xdr:cNvPr>
            <xdr:cNvSpPr txBox="1"/>
          </xdr:nvSpPr>
          <xdr:spPr>
            <a:xfrm>
              <a:off x="3714750" y="43619737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152400</xdr:colOff>
      <xdr:row>179</xdr:row>
      <xdr:rowOff>52387</xdr:rowOff>
    </xdr:from>
    <xdr:ext cx="678198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26252EE-03DE-4B02-9898-2D0D858F6161}"/>
                </a:ext>
              </a:extLst>
            </xdr:cNvPr>
            <xdr:cNvSpPr txBox="1"/>
          </xdr:nvSpPr>
          <xdr:spPr>
            <a:xfrm>
              <a:off x="9867900" y="4355306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d>
                              <m:d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26252EE-03DE-4B02-9898-2D0D858F6161}"/>
                </a:ext>
              </a:extLst>
            </xdr:cNvPr>
            <xdr:cNvSpPr txBox="1"/>
          </xdr:nvSpPr>
          <xdr:spPr>
            <a:xfrm>
              <a:off x="9867900" y="4355306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𝒕)|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 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209550</xdr:colOff>
      <xdr:row>179</xdr:row>
      <xdr:rowOff>90487</xdr:rowOff>
    </xdr:from>
    <xdr:ext cx="690189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DD2153BD-4CF4-47B4-AAD5-D3064DF85B9A}"/>
                </a:ext>
              </a:extLst>
            </xdr:cNvPr>
            <xdr:cNvSpPr txBox="1"/>
          </xdr:nvSpPr>
          <xdr:spPr>
            <a:xfrm>
              <a:off x="8886825" y="4359116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DD2153BD-4CF4-47B4-AAD5-D3064DF85B9A}"/>
                </a:ext>
              </a:extLst>
            </xdr:cNvPr>
            <xdr:cNvSpPr txBox="1"/>
          </xdr:nvSpPr>
          <xdr:spPr>
            <a:xfrm>
              <a:off x="8886825" y="43591162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_𝒊−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409575</xdr:colOff>
      <xdr:row>179</xdr:row>
      <xdr:rowOff>109537</xdr:rowOff>
    </xdr:from>
    <xdr:ext cx="77348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F70958D-0DDC-458E-87BB-4B95B7CDD0F3}"/>
                </a:ext>
              </a:extLst>
            </xdr:cNvPr>
            <xdr:cNvSpPr txBox="1"/>
          </xdr:nvSpPr>
          <xdr:spPr>
            <a:xfrm>
              <a:off x="7639050" y="4361021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F70958D-0DDC-458E-87BB-4B95B7CDD0F3}"/>
                </a:ext>
              </a:extLst>
            </xdr:cNvPr>
            <xdr:cNvSpPr txBox="1"/>
          </xdr:nvSpPr>
          <xdr:spPr>
            <a:xfrm>
              <a:off x="7639050" y="4361021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</a:t>
              </a:r>
              <a:r>
                <a:rPr lang="en-US" sz="1100" b="1" i="0">
                  <a:latin typeface="Cambria Math" panose="02040503050406030204" pitchFamily="18" charset="0"/>
                </a:rPr>
                <a:t>𝒚(𝒕))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114300</xdr:colOff>
      <xdr:row>179</xdr:row>
      <xdr:rowOff>80962</xdr:rowOff>
    </xdr:from>
    <xdr:ext cx="715324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A0E96850-AB69-4B44-9DB7-97A3108C5E97}"/>
                </a:ext>
              </a:extLst>
            </xdr:cNvPr>
            <xdr:cNvSpPr txBox="1"/>
          </xdr:nvSpPr>
          <xdr:spPr>
            <a:xfrm>
              <a:off x="6457950" y="435816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A0E96850-AB69-4B44-9DB7-97A3108C5E97}"/>
                </a:ext>
              </a:extLst>
            </xdr:cNvPr>
            <xdr:cNvSpPr txBox="1"/>
          </xdr:nvSpPr>
          <xdr:spPr>
            <a:xfrm>
              <a:off x="6457950" y="4358163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381000</xdr:colOff>
      <xdr:row>217</xdr:row>
      <xdr:rowOff>128587</xdr:rowOff>
    </xdr:from>
    <xdr:ext cx="158505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B7E6FA5D-3B1B-4BAE-9086-03DD02F6914E}"/>
                </a:ext>
              </a:extLst>
            </xdr:cNvPr>
            <xdr:cNvSpPr txBox="1"/>
          </xdr:nvSpPr>
          <xdr:spPr>
            <a:xfrm>
              <a:off x="2952750" y="5257323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B7E6FA5D-3B1B-4BAE-9086-03DD02F6914E}"/>
                </a:ext>
              </a:extLst>
            </xdr:cNvPr>
            <xdr:cNvSpPr txBox="1"/>
          </xdr:nvSpPr>
          <xdr:spPr>
            <a:xfrm>
              <a:off x="2952750" y="52573237"/>
              <a:ext cx="15850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342900</xdr:colOff>
      <xdr:row>217</xdr:row>
      <xdr:rowOff>138112</xdr:rowOff>
    </xdr:from>
    <xdr:ext cx="18364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EFFEE5C6-9C51-48B6-A3DE-B58812A298A8}"/>
                </a:ext>
              </a:extLst>
            </xdr:cNvPr>
            <xdr:cNvSpPr txBox="1"/>
          </xdr:nvSpPr>
          <xdr:spPr>
            <a:xfrm>
              <a:off x="3733800" y="52582762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EFFEE5C6-9C51-48B6-A3DE-B58812A298A8}"/>
                </a:ext>
              </a:extLst>
            </xdr:cNvPr>
            <xdr:cNvSpPr txBox="1"/>
          </xdr:nvSpPr>
          <xdr:spPr>
            <a:xfrm>
              <a:off x="3733800" y="52582762"/>
              <a:ext cx="18364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85725</xdr:colOff>
      <xdr:row>217</xdr:row>
      <xdr:rowOff>109537</xdr:rowOff>
    </xdr:from>
    <xdr:ext cx="715324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847B9596-027A-41E2-887E-7273C387041D}"/>
                </a:ext>
              </a:extLst>
            </xdr:cNvPr>
            <xdr:cNvSpPr txBox="1"/>
          </xdr:nvSpPr>
          <xdr:spPr>
            <a:xfrm>
              <a:off x="6429375" y="5255418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847B9596-027A-41E2-887E-7273C387041D}"/>
                </a:ext>
              </a:extLst>
            </xdr:cNvPr>
            <xdr:cNvSpPr txBox="1"/>
          </xdr:nvSpPr>
          <xdr:spPr>
            <a:xfrm>
              <a:off x="6429375" y="52554187"/>
              <a:ext cx="715324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295275</xdr:colOff>
      <xdr:row>217</xdr:row>
      <xdr:rowOff>138112</xdr:rowOff>
    </xdr:from>
    <xdr:ext cx="77348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267BF905-9BD8-4F6D-9988-9FEEE7E0E648}"/>
                </a:ext>
              </a:extLst>
            </xdr:cNvPr>
            <xdr:cNvSpPr txBox="1"/>
          </xdr:nvSpPr>
          <xdr:spPr>
            <a:xfrm>
              <a:off x="7524750" y="5258276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267BF905-9BD8-4F6D-9988-9FEEE7E0E648}"/>
                </a:ext>
              </a:extLst>
            </xdr:cNvPr>
            <xdr:cNvSpPr txBox="1"/>
          </xdr:nvSpPr>
          <xdr:spPr>
            <a:xfrm>
              <a:off x="7524750" y="52582762"/>
              <a:ext cx="77348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</a:t>
              </a:r>
              <a:r>
                <a:rPr lang="en-US" sz="1100" b="1" i="0">
                  <a:latin typeface="Cambria Math" panose="02040503050406030204" pitchFamily="18" charset="0"/>
                </a:rPr>
                <a:t>𝒚(𝒕))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219075</xdr:colOff>
      <xdr:row>217</xdr:row>
      <xdr:rowOff>147637</xdr:rowOff>
    </xdr:from>
    <xdr:ext cx="690189" cy="234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EC3A5AD-2585-42D1-9FB3-AE874AD80551}"/>
                </a:ext>
              </a:extLst>
            </xdr:cNvPr>
            <xdr:cNvSpPr txBox="1"/>
          </xdr:nvSpPr>
          <xdr:spPr>
            <a:xfrm>
              <a:off x="8896350" y="52592287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  <m:sub>
                                <m:r>
                                  <a:rPr lang="ru-RU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EC3A5AD-2585-42D1-9FB3-AE874AD80551}"/>
                </a:ext>
              </a:extLst>
            </xdr:cNvPr>
            <xdr:cNvSpPr txBox="1"/>
          </xdr:nvSpPr>
          <xdr:spPr>
            <a:xfrm>
              <a:off x="8896350" y="52592287"/>
              <a:ext cx="690189" cy="234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_𝒊−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𝒕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_ср )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b="1" i="0">
                  <a:latin typeface="Cambria Math" panose="02040503050406030204" pitchFamily="18" charset="0"/>
                </a:rPr>
                <a:t>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123825</xdr:colOff>
      <xdr:row>217</xdr:row>
      <xdr:rowOff>61912</xdr:rowOff>
    </xdr:from>
    <xdr:ext cx="678198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CDB1CC9-D7B8-44D4-83E9-05A56FB167D1}"/>
                </a:ext>
              </a:extLst>
            </xdr:cNvPr>
            <xdr:cNvSpPr txBox="1"/>
          </xdr:nvSpPr>
          <xdr:spPr>
            <a:xfrm>
              <a:off x="9839325" y="5250656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  <m:d>
                              <m:dPr>
                                <m:ctrlPr>
                                  <a:rPr lang="ru-RU" sz="11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b="1" i="1">
                                    <a:latin typeface="Cambria Math" panose="02040503050406030204" pitchFamily="18" charset="0"/>
                                  </a:rPr>
                                  <m:t>𝒕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CDB1CC9-D7B8-44D4-83E9-05A56FB167D1}"/>
                </a:ext>
              </a:extLst>
            </xdr:cNvPr>
            <xdr:cNvSpPr txBox="1"/>
          </xdr:nvSpPr>
          <xdr:spPr>
            <a:xfrm>
              <a:off x="9839325" y="52506562"/>
              <a:ext cx="678198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𝒊−𝒚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b="1" i="0">
                  <a:latin typeface="Cambria Math" panose="02040503050406030204" pitchFamily="18" charset="0"/>
                </a:rPr>
                <a:t>𝒕)|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b="1" i="0">
                  <a:latin typeface="Cambria Math" panose="02040503050406030204" pitchFamily="18" charset="0"/>
                </a:rPr>
                <a:t>𝒚</a:t>
              </a:r>
              <a:r>
                <a:rPr lang="ru-RU" sz="11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1" i="0">
                  <a:latin typeface="Cambria Math" panose="02040503050406030204" pitchFamily="18" charset="0"/>
                </a:rPr>
                <a:t>𝒊 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80962</xdr:colOff>
      <xdr:row>59</xdr:row>
      <xdr:rowOff>52387</xdr:rowOff>
    </xdr:from>
    <xdr:ext cx="19127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94B21844-F7F1-4E1A-A6E7-E192C5F55AC2}"/>
                </a:ext>
              </a:extLst>
            </xdr:cNvPr>
            <xdr:cNvSpPr txBox="1"/>
          </xdr:nvSpPr>
          <xdr:spPr>
            <a:xfrm>
              <a:off x="5062537" y="2329338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94B21844-F7F1-4E1A-A6E7-E192C5F55AC2}"/>
                </a:ext>
              </a:extLst>
            </xdr:cNvPr>
            <xdr:cNvSpPr txBox="1"/>
          </xdr:nvSpPr>
          <xdr:spPr>
            <a:xfrm>
              <a:off x="5062537" y="23293387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𝑅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topLeftCell="A82" workbookViewId="0">
      <selection activeCell="B101" sqref="B101"/>
    </sheetView>
  </sheetViews>
  <sheetFormatPr defaultRowHeight="15" x14ac:dyDescent="0.25"/>
  <cols>
    <col min="1" max="2" width="13.140625" customWidth="1"/>
    <col min="3" max="3" width="12.28515625" customWidth="1"/>
    <col min="4" max="4" width="12.28515625" bestFit="1" customWidth="1"/>
    <col min="5" max="5" width="11.7109375" customWidth="1"/>
    <col min="6" max="6" width="12.140625" customWidth="1"/>
    <col min="7" max="7" width="20.42578125" bestFit="1" customWidth="1"/>
    <col min="8" max="8" width="13.28515625" customWidth="1"/>
    <col min="9" max="9" width="21.7109375" bestFit="1" customWidth="1"/>
    <col min="10" max="10" width="15.5703125" bestFit="1" customWidth="1"/>
    <col min="11" max="11" width="13.28515625" customWidth="1"/>
    <col min="12" max="12" width="12.140625" customWidth="1"/>
    <col min="13" max="13" width="11" customWidth="1"/>
    <col min="14" max="14" width="13" customWidth="1"/>
  </cols>
  <sheetData>
    <row r="1" spans="1:14" ht="15" customHeight="1" x14ac:dyDescent="0.25">
      <c r="A1" s="51" t="s">
        <v>18</v>
      </c>
      <c r="B1" s="52"/>
      <c r="C1" s="52"/>
      <c r="D1" s="52"/>
      <c r="E1" s="52"/>
      <c r="F1" s="52"/>
      <c r="G1" s="52"/>
      <c r="H1" s="52"/>
    </row>
    <row r="2" spans="1:14" ht="18.75" customHeight="1" x14ac:dyDescent="0.25">
      <c r="A2" s="52"/>
      <c r="B2" s="52"/>
      <c r="C2" s="52"/>
      <c r="D2" s="52"/>
      <c r="E2" s="52"/>
      <c r="F2" s="52"/>
      <c r="G2" s="52"/>
      <c r="H2" s="52"/>
    </row>
    <row r="3" spans="1:14" ht="60.75" customHeight="1" x14ac:dyDescent="0.25">
      <c r="A3" s="52"/>
      <c r="B3" s="52"/>
      <c r="C3" s="52"/>
      <c r="D3" s="52"/>
      <c r="E3" s="52"/>
      <c r="F3" s="52"/>
      <c r="G3" s="52"/>
      <c r="H3" s="52"/>
    </row>
    <row r="4" spans="1:14" ht="18.75" x14ac:dyDescent="0.3">
      <c r="A4" s="5" t="s">
        <v>0</v>
      </c>
      <c r="B4" s="5" t="s">
        <v>1</v>
      </c>
      <c r="C4" s="5" t="s">
        <v>1</v>
      </c>
      <c r="D4" s="6" t="s">
        <v>19</v>
      </c>
      <c r="E4" s="2" t="s">
        <v>27</v>
      </c>
      <c r="F4" s="10">
        <f>LEN(G4)</f>
        <v>5</v>
      </c>
      <c r="G4" s="10" t="s">
        <v>32</v>
      </c>
    </row>
    <row r="5" spans="1:14" ht="18.75" x14ac:dyDescent="0.3">
      <c r="A5" s="5">
        <v>1</v>
      </c>
      <c r="B5" s="5" t="s">
        <v>2</v>
      </c>
      <c r="C5" s="5">
        <f>3.27+$F$7</f>
        <v>6.27</v>
      </c>
      <c r="D5" s="7">
        <v>0</v>
      </c>
      <c r="E5" s="2" t="s">
        <v>28</v>
      </c>
      <c r="F5" s="10">
        <f t="shared" ref="F5:F6" si="0">LEN(G5)</f>
        <v>5</v>
      </c>
      <c r="G5" s="10" t="s">
        <v>33</v>
      </c>
      <c r="L5" s="1"/>
      <c r="N5" s="1"/>
    </row>
    <row r="6" spans="1:14" ht="18.75" x14ac:dyDescent="0.3">
      <c r="A6" s="5">
        <v>2</v>
      </c>
      <c r="B6" s="5" t="s">
        <v>3</v>
      </c>
      <c r="C6" s="5">
        <f>4.39-$F$8</f>
        <v>3.7399999999999998</v>
      </c>
      <c r="D6" s="7">
        <v>0</v>
      </c>
      <c r="E6" s="2" t="s">
        <v>29</v>
      </c>
      <c r="F6" s="10">
        <f t="shared" si="0"/>
        <v>10</v>
      </c>
      <c r="G6" s="10" t="s">
        <v>34</v>
      </c>
    </row>
    <row r="7" spans="1:14" ht="18.75" x14ac:dyDescent="0.3">
      <c r="A7" s="5">
        <v>3</v>
      </c>
      <c r="B7" s="5">
        <v>5.51</v>
      </c>
      <c r="C7" s="5">
        <f>$B$7</f>
        <v>5.51</v>
      </c>
      <c r="D7" s="7">
        <v>0</v>
      </c>
      <c r="E7" s="3" t="s">
        <v>30</v>
      </c>
      <c r="F7" s="4">
        <f>SUM(F4:F6)*0.15</f>
        <v>3</v>
      </c>
    </row>
    <row r="8" spans="1:14" ht="18.75" x14ac:dyDescent="0.3">
      <c r="A8" s="5">
        <v>4</v>
      </c>
      <c r="B8" s="5" t="s">
        <v>4</v>
      </c>
      <c r="C8" s="5">
        <f>6.63+$F$7</f>
        <v>9.629999999999999</v>
      </c>
      <c r="D8" s="7">
        <v>0</v>
      </c>
      <c r="E8" s="3" t="s">
        <v>31</v>
      </c>
      <c r="F8" s="4">
        <f>F5*0.13</f>
        <v>0.65</v>
      </c>
    </row>
    <row r="9" spans="1:14" ht="18.75" x14ac:dyDescent="0.3">
      <c r="A9" s="5">
        <v>5</v>
      </c>
      <c r="B9" s="5" t="s">
        <v>5</v>
      </c>
      <c r="C9" s="5">
        <f>7.75-$F$8</f>
        <v>7.1</v>
      </c>
      <c r="D9" s="8">
        <v>0</v>
      </c>
      <c r="E9" s="9" t="s">
        <v>20</v>
      </c>
      <c r="F9" s="11">
        <f>COUNT(A5:A28)</f>
        <v>24</v>
      </c>
    </row>
    <row r="10" spans="1:14" ht="18.75" x14ac:dyDescent="0.3">
      <c r="A10" s="5">
        <v>6</v>
      </c>
      <c r="B10" s="5">
        <v>8.870000000000001</v>
      </c>
      <c r="C10" s="5">
        <f>$B$10</f>
        <v>8.870000000000001</v>
      </c>
      <c r="D10" s="8">
        <v>0</v>
      </c>
      <c r="E10" s="9" t="s">
        <v>21</v>
      </c>
      <c r="F10" s="11">
        <f>F9/2</f>
        <v>12</v>
      </c>
    </row>
    <row r="11" spans="1:14" ht="18.75" x14ac:dyDescent="0.3">
      <c r="A11" s="5">
        <v>7</v>
      </c>
      <c r="B11" s="5" t="s">
        <v>6</v>
      </c>
      <c r="C11" s="5">
        <f>9.99-$F$8</f>
        <v>9.34</v>
      </c>
      <c r="D11" s="8">
        <v>0</v>
      </c>
      <c r="E11" s="9" t="s">
        <v>22</v>
      </c>
      <c r="F11" s="12">
        <f>MEDIAN(C5:C28)</f>
        <v>15.824999999999999</v>
      </c>
    </row>
    <row r="12" spans="1:14" ht="18.75" x14ac:dyDescent="0.3">
      <c r="A12" s="5">
        <v>8</v>
      </c>
      <c r="B12" s="5" t="s">
        <v>7</v>
      </c>
      <c r="C12" s="5">
        <f>11.11+$F$7</f>
        <v>14.11</v>
      </c>
      <c r="D12" s="8">
        <v>0</v>
      </c>
      <c r="E12" s="9" t="s">
        <v>23</v>
      </c>
      <c r="F12" s="11">
        <v>2</v>
      </c>
    </row>
    <row r="13" spans="1:14" ht="18.75" x14ac:dyDescent="0.3">
      <c r="A13" s="5">
        <v>9</v>
      </c>
      <c r="B13" s="5">
        <v>12.230000000000002</v>
      </c>
      <c r="C13" s="5">
        <f>$B$13</f>
        <v>12.230000000000002</v>
      </c>
      <c r="D13" s="8">
        <v>0</v>
      </c>
      <c r="E13" s="9" t="s">
        <v>24</v>
      </c>
      <c r="F13" s="11">
        <v>12</v>
      </c>
    </row>
    <row r="14" spans="1:14" ht="18.75" x14ac:dyDescent="0.3">
      <c r="A14" s="5">
        <v>10</v>
      </c>
      <c r="B14" s="5">
        <v>13.350000000000001</v>
      </c>
      <c r="C14" s="5">
        <f>$B$14</f>
        <v>13.350000000000001</v>
      </c>
      <c r="D14" s="8">
        <v>0</v>
      </c>
      <c r="E14" s="9" t="s">
        <v>25</v>
      </c>
      <c r="F14" s="11">
        <f>INT(0.5*(F9+1-1.96*SQRT(F9-1)))</f>
        <v>7</v>
      </c>
    </row>
    <row r="15" spans="1:14" ht="18.75" x14ac:dyDescent="0.3">
      <c r="A15" s="5">
        <v>11</v>
      </c>
      <c r="B15" s="5" t="s">
        <v>8</v>
      </c>
      <c r="C15" s="5">
        <f>14.47-$F$7</f>
        <v>11.47</v>
      </c>
      <c r="D15" s="8">
        <v>0</v>
      </c>
      <c r="E15" s="9" t="s">
        <v>26</v>
      </c>
      <c r="F15" s="11">
        <f>INT(3.3*(LOG10(F9)+1))</f>
        <v>7</v>
      </c>
    </row>
    <row r="16" spans="1:14" ht="18.75" x14ac:dyDescent="0.3">
      <c r="A16" s="5">
        <v>12</v>
      </c>
      <c r="B16" s="5" t="s">
        <v>9</v>
      </c>
      <c r="C16" s="5">
        <f>15.59-$F$8</f>
        <v>14.94</v>
      </c>
      <c r="D16" s="8">
        <v>0</v>
      </c>
    </row>
    <row r="17" spans="1:10" ht="18.75" x14ac:dyDescent="0.3">
      <c r="A17" s="5">
        <v>13</v>
      </c>
      <c r="B17" s="5">
        <v>16.71</v>
      </c>
      <c r="C17" s="5">
        <f>$B$17</f>
        <v>16.71</v>
      </c>
      <c r="D17" s="8">
        <v>1</v>
      </c>
    </row>
    <row r="18" spans="1:10" ht="18.75" x14ac:dyDescent="0.3">
      <c r="A18" s="5">
        <v>14</v>
      </c>
      <c r="B18" s="5" t="s">
        <v>10</v>
      </c>
      <c r="C18" s="5">
        <f>17.83+$F$7</f>
        <v>20.83</v>
      </c>
      <c r="D18" s="8">
        <v>1</v>
      </c>
    </row>
    <row r="19" spans="1:10" ht="18.75" x14ac:dyDescent="0.3">
      <c r="A19" s="5">
        <v>15</v>
      </c>
      <c r="B19" s="5" t="s">
        <v>11</v>
      </c>
      <c r="C19" s="5">
        <f>18.95+$F$7</f>
        <v>21.95</v>
      </c>
      <c r="D19" s="8">
        <v>1</v>
      </c>
    </row>
    <row r="20" spans="1:10" ht="18.75" x14ac:dyDescent="0.3">
      <c r="A20" s="5">
        <v>16</v>
      </c>
      <c r="B20" s="5" t="s">
        <v>12</v>
      </c>
      <c r="C20" s="5">
        <f>20.07-$F$7</f>
        <v>17.07</v>
      </c>
      <c r="D20" s="8">
        <v>1</v>
      </c>
    </row>
    <row r="21" spans="1:10" ht="18.75" x14ac:dyDescent="0.3">
      <c r="A21" s="5">
        <v>17</v>
      </c>
      <c r="B21" s="5">
        <v>21.19</v>
      </c>
      <c r="C21" s="5">
        <f>$B$21</f>
        <v>21.19</v>
      </c>
      <c r="D21" s="8">
        <v>1</v>
      </c>
    </row>
    <row r="22" spans="1:10" ht="18.75" x14ac:dyDescent="0.3">
      <c r="A22" s="5">
        <v>18</v>
      </c>
      <c r="B22" s="5" t="s">
        <v>13</v>
      </c>
      <c r="C22" s="5">
        <f>22.31-$F$7</f>
        <v>19.309999999999999</v>
      </c>
      <c r="D22" s="8">
        <v>1</v>
      </c>
    </row>
    <row r="23" spans="1:10" ht="18.75" x14ac:dyDescent="0.3">
      <c r="A23" s="5">
        <v>19</v>
      </c>
      <c r="B23" s="5" t="s">
        <v>14</v>
      </c>
      <c r="C23" s="5">
        <f>23.43-$F$7</f>
        <v>20.43</v>
      </c>
      <c r="D23" s="8">
        <v>1</v>
      </c>
    </row>
    <row r="24" spans="1:10" ht="18.75" x14ac:dyDescent="0.3">
      <c r="A24" s="5">
        <v>20</v>
      </c>
      <c r="B24" s="5" t="s">
        <v>15</v>
      </c>
      <c r="C24" s="5">
        <f>24.55+$F$8</f>
        <v>25.2</v>
      </c>
      <c r="D24" s="8">
        <v>1</v>
      </c>
    </row>
    <row r="25" spans="1:10" ht="18.75" x14ac:dyDescent="0.3">
      <c r="A25" s="5">
        <v>21</v>
      </c>
      <c r="B25" s="5">
        <v>25.67</v>
      </c>
      <c r="C25" s="5">
        <f>$B$25</f>
        <v>25.67</v>
      </c>
      <c r="D25" s="8">
        <v>1</v>
      </c>
    </row>
    <row r="26" spans="1:10" ht="18.75" x14ac:dyDescent="0.3">
      <c r="A26" s="5">
        <v>22</v>
      </c>
      <c r="B26" s="5" t="s">
        <v>16</v>
      </c>
      <c r="C26" s="5">
        <f>26.79+$F$7</f>
        <v>29.79</v>
      </c>
      <c r="D26" s="8">
        <v>1</v>
      </c>
    </row>
    <row r="27" spans="1:10" ht="18.75" x14ac:dyDescent="0.3">
      <c r="A27" s="5">
        <v>23</v>
      </c>
      <c r="B27" s="5" t="s">
        <v>17</v>
      </c>
      <c r="C27" s="5">
        <f>27.91+$F$8</f>
        <v>28.56</v>
      </c>
      <c r="D27" s="8">
        <v>1</v>
      </c>
    </row>
    <row r="28" spans="1:10" ht="18.75" x14ac:dyDescent="0.3">
      <c r="A28" s="5">
        <v>24</v>
      </c>
      <c r="B28" s="5">
        <v>29.03</v>
      </c>
      <c r="C28" s="5">
        <f>$B$28</f>
        <v>29.03</v>
      </c>
      <c r="D28" s="8">
        <v>1</v>
      </c>
    </row>
    <row r="29" spans="1:10" ht="15.75" thickBot="1" x14ac:dyDescent="0.3"/>
    <row r="30" spans="1:10" ht="15.75" thickBot="1" x14ac:dyDescent="0.3">
      <c r="A30" s="53" t="s">
        <v>35</v>
      </c>
      <c r="B30" s="54"/>
      <c r="C30" s="54"/>
      <c r="D30" s="54"/>
      <c r="E30" s="54"/>
      <c r="F30" s="54"/>
      <c r="G30" s="54"/>
      <c r="H30" s="54"/>
      <c r="I30" s="54"/>
      <c r="J30" s="55"/>
    </row>
    <row r="31" spans="1:10" ht="36" customHeight="1" x14ac:dyDescent="0.3">
      <c r="A31" s="19" t="s">
        <v>0</v>
      </c>
      <c r="B31" s="19" t="s">
        <v>1</v>
      </c>
      <c r="C31" s="20"/>
      <c r="D31" s="19"/>
      <c r="E31" s="19" t="s">
        <v>36</v>
      </c>
      <c r="F31" s="19" t="s">
        <v>37</v>
      </c>
      <c r="G31" s="13"/>
      <c r="H31" s="13"/>
      <c r="I31" s="13"/>
      <c r="J31" s="13"/>
    </row>
    <row r="32" spans="1:10" ht="18.75" x14ac:dyDescent="0.3">
      <c r="A32" s="5">
        <v>1</v>
      </c>
      <c r="B32" s="14">
        <v>6.27</v>
      </c>
      <c r="C32" s="5">
        <f>A32^2</f>
        <v>1</v>
      </c>
      <c r="D32" s="14">
        <f>B32^2</f>
        <v>39.312899999999992</v>
      </c>
      <c r="E32" s="14">
        <f>A32*B32</f>
        <v>6.27</v>
      </c>
      <c r="F32" s="14">
        <f>A32+$B$59+$B$60</f>
        <v>4.942833333333331</v>
      </c>
      <c r="G32" s="14">
        <f>(B32-$B$57)^2</f>
        <v>101.52241736111115</v>
      </c>
      <c r="H32" s="14">
        <f t="shared" ref="H32:H55" si="1">(B32-F32)^2</f>
        <v>1.7613713611111164</v>
      </c>
      <c r="I32" s="5">
        <f>(A32-$A$57)^2</f>
        <v>132.25</v>
      </c>
      <c r="J32" s="5">
        <f>ABS(B32-F32)/B32</f>
        <v>0.2116693248272199</v>
      </c>
    </row>
    <row r="33" spans="1:10" ht="18.75" x14ac:dyDescent="0.3">
      <c r="A33" s="5">
        <v>2</v>
      </c>
      <c r="B33" s="14">
        <v>3.7399999999999998</v>
      </c>
      <c r="C33" s="5">
        <f t="shared" ref="C33:C55" si="2">A33^2</f>
        <v>4</v>
      </c>
      <c r="D33" s="14">
        <f t="shared" ref="D33:D55" si="3">B33^2</f>
        <v>13.987599999999999</v>
      </c>
      <c r="E33" s="14">
        <f t="shared" ref="E33:E55" si="4">A33*B33</f>
        <v>7.4799999999999995</v>
      </c>
      <c r="F33" s="14">
        <f t="shared" ref="F33:F55" si="5">A33+$B$59+$B$60</f>
        <v>5.942833333333331</v>
      </c>
      <c r="G33" s="14">
        <f t="shared" ref="G33:G55" si="6">(B33-$B$57)^2</f>
        <v>158.90703402777783</v>
      </c>
      <c r="H33" s="14">
        <f t="shared" si="1"/>
        <v>4.8524746944444352</v>
      </c>
      <c r="I33" s="5">
        <f t="shared" ref="I33:I55" si="7">(A33-$A$57)^2</f>
        <v>110.25</v>
      </c>
      <c r="J33" s="5">
        <f t="shared" ref="J33:J55" si="8">ABS(B33-F33)/B33</f>
        <v>0.58899286987522226</v>
      </c>
    </row>
    <row r="34" spans="1:10" ht="18.75" x14ac:dyDescent="0.3">
      <c r="A34" s="5">
        <v>3</v>
      </c>
      <c r="B34" s="14">
        <v>5.51</v>
      </c>
      <c r="C34" s="5">
        <f t="shared" si="2"/>
        <v>9</v>
      </c>
      <c r="D34" s="14">
        <f t="shared" si="3"/>
        <v>30.360099999999999</v>
      </c>
      <c r="E34" s="14">
        <f t="shared" si="4"/>
        <v>16.53</v>
      </c>
      <c r="F34" s="14">
        <f t="shared" si="5"/>
        <v>6.942833333333331</v>
      </c>
      <c r="G34" s="14">
        <f t="shared" si="6"/>
        <v>117.41528402777782</v>
      </c>
      <c r="H34" s="14">
        <f t="shared" si="1"/>
        <v>2.0530113611111052</v>
      </c>
      <c r="I34" s="5">
        <f t="shared" si="7"/>
        <v>90.25</v>
      </c>
      <c r="J34" s="5">
        <f t="shared" si="8"/>
        <v>0.26004234724742853</v>
      </c>
    </row>
    <row r="35" spans="1:10" ht="18.75" x14ac:dyDescent="0.3">
      <c r="A35" s="5">
        <v>4</v>
      </c>
      <c r="B35" s="14">
        <v>9.629999999999999</v>
      </c>
      <c r="C35" s="5">
        <f t="shared" si="2"/>
        <v>16</v>
      </c>
      <c r="D35" s="14">
        <f t="shared" si="3"/>
        <v>92.736899999999977</v>
      </c>
      <c r="E35" s="14">
        <f t="shared" si="4"/>
        <v>38.519999999999996</v>
      </c>
      <c r="F35" s="14">
        <f t="shared" si="5"/>
        <v>7.942833333333331</v>
      </c>
      <c r="G35" s="14">
        <f t="shared" si="6"/>
        <v>45.102417361111144</v>
      </c>
      <c r="H35" s="14">
        <f t="shared" si="1"/>
        <v>2.8465313611111158</v>
      </c>
      <c r="I35" s="5">
        <f t="shared" si="7"/>
        <v>72.25</v>
      </c>
      <c r="J35" s="5">
        <f t="shared" si="8"/>
        <v>0.17519903080650759</v>
      </c>
    </row>
    <row r="36" spans="1:10" ht="18.75" x14ac:dyDescent="0.3">
      <c r="A36" s="5">
        <v>5</v>
      </c>
      <c r="B36" s="14">
        <v>7.1</v>
      </c>
      <c r="C36" s="5">
        <f t="shared" si="2"/>
        <v>25</v>
      </c>
      <c r="D36" s="14">
        <f t="shared" si="3"/>
        <v>50.41</v>
      </c>
      <c r="E36" s="14">
        <f t="shared" si="4"/>
        <v>35.5</v>
      </c>
      <c r="F36" s="14">
        <f t="shared" si="5"/>
        <v>8.942833333333331</v>
      </c>
      <c r="G36" s="14">
        <f t="shared" si="6"/>
        <v>85.485434027777814</v>
      </c>
      <c r="H36" s="14">
        <f t="shared" si="1"/>
        <v>3.3960346944444368</v>
      </c>
      <c r="I36" s="5">
        <f t="shared" si="7"/>
        <v>56.25</v>
      </c>
      <c r="J36" s="5">
        <f t="shared" si="8"/>
        <v>0.25955399061032836</v>
      </c>
    </row>
    <row r="37" spans="1:10" ht="18.75" x14ac:dyDescent="0.3">
      <c r="A37" s="5">
        <v>6</v>
      </c>
      <c r="B37" s="14">
        <v>8.870000000000001</v>
      </c>
      <c r="C37" s="5">
        <f t="shared" si="2"/>
        <v>36</v>
      </c>
      <c r="D37" s="14">
        <f t="shared" si="3"/>
        <v>78.676900000000018</v>
      </c>
      <c r="E37" s="14">
        <f t="shared" si="4"/>
        <v>53.220000000000006</v>
      </c>
      <c r="F37" s="14">
        <f t="shared" si="5"/>
        <v>9.942833333333331</v>
      </c>
      <c r="G37" s="14">
        <f t="shared" si="6"/>
        <v>55.888084027777786</v>
      </c>
      <c r="H37" s="14">
        <f t="shared" si="1"/>
        <v>1.1509713611111039</v>
      </c>
      <c r="I37" s="5">
        <f t="shared" si="7"/>
        <v>42.25</v>
      </c>
      <c r="J37" s="5">
        <f t="shared" si="8"/>
        <v>0.12095077038707214</v>
      </c>
    </row>
    <row r="38" spans="1:10" ht="18.75" x14ac:dyDescent="0.3">
      <c r="A38" s="5">
        <v>7</v>
      </c>
      <c r="B38" s="14">
        <v>9.34</v>
      </c>
      <c r="C38" s="5">
        <f t="shared" si="2"/>
        <v>49</v>
      </c>
      <c r="D38" s="14">
        <f t="shared" si="3"/>
        <v>87.235599999999991</v>
      </c>
      <c r="E38" s="14">
        <f t="shared" si="4"/>
        <v>65.38</v>
      </c>
      <c r="F38" s="14">
        <f t="shared" si="5"/>
        <v>10.942833333333331</v>
      </c>
      <c r="G38" s="14">
        <f t="shared" si="6"/>
        <v>49.081700694444471</v>
      </c>
      <c r="H38" s="14">
        <f t="shared" si="1"/>
        <v>2.5690746944444371</v>
      </c>
      <c r="I38" s="5">
        <f t="shared" si="7"/>
        <v>30.25</v>
      </c>
      <c r="J38" s="5">
        <f t="shared" si="8"/>
        <v>0.17160956459671639</v>
      </c>
    </row>
    <row r="39" spans="1:10" ht="18.75" x14ac:dyDescent="0.3">
      <c r="A39" s="5">
        <v>8</v>
      </c>
      <c r="B39" s="14">
        <v>14.11</v>
      </c>
      <c r="C39" s="5">
        <f t="shared" si="2"/>
        <v>64</v>
      </c>
      <c r="D39" s="14">
        <f t="shared" si="3"/>
        <v>199.09209999999999</v>
      </c>
      <c r="E39" s="14">
        <f t="shared" si="4"/>
        <v>112.88</v>
      </c>
      <c r="F39" s="14">
        <f t="shared" si="5"/>
        <v>11.942833333333331</v>
      </c>
      <c r="G39" s="14">
        <f t="shared" si="6"/>
        <v>4.9989506944444546</v>
      </c>
      <c r="H39" s="14">
        <f t="shared" si="1"/>
        <v>4.6966113611111187</v>
      </c>
      <c r="I39" s="5">
        <f t="shared" si="7"/>
        <v>20.25</v>
      </c>
      <c r="J39" s="5">
        <f t="shared" si="8"/>
        <v>0.15359083392393116</v>
      </c>
    </row>
    <row r="40" spans="1:10" ht="18.75" x14ac:dyDescent="0.3">
      <c r="A40" s="5">
        <v>9</v>
      </c>
      <c r="B40" s="14">
        <v>12.230000000000002</v>
      </c>
      <c r="C40" s="5">
        <f t="shared" si="2"/>
        <v>81</v>
      </c>
      <c r="D40" s="14">
        <f t="shared" si="3"/>
        <v>149.57290000000006</v>
      </c>
      <c r="E40" s="14">
        <f t="shared" si="4"/>
        <v>110.07000000000002</v>
      </c>
      <c r="F40" s="14">
        <f t="shared" si="5"/>
        <v>12.942833333333331</v>
      </c>
      <c r="G40" s="14">
        <f t="shared" si="6"/>
        <v>16.940084027777772</v>
      </c>
      <c r="H40" s="14">
        <f t="shared" si="1"/>
        <v>0.50813136111110457</v>
      </c>
      <c r="I40" s="5">
        <f t="shared" si="7"/>
        <v>12.25</v>
      </c>
      <c r="J40" s="5">
        <f t="shared" si="8"/>
        <v>5.8285636413191219E-2</v>
      </c>
    </row>
    <row r="41" spans="1:10" ht="18.75" x14ac:dyDescent="0.3">
      <c r="A41" s="5">
        <v>10</v>
      </c>
      <c r="B41" s="14">
        <v>13.350000000000001</v>
      </c>
      <c r="C41" s="5">
        <f t="shared" si="2"/>
        <v>100</v>
      </c>
      <c r="D41" s="14">
        <f t="shared" si="3"/>
        <v>178.22250000000003</v>
      </c>
      <c r="E41" s="14">
        <f t="shared" si="4"/>
        <v>133.5</v>
      </c>
      <c r="F41" s="14">
        <f t="shared" si="5"/>
        <v>13.942833333333331</v>
      </c>
      <c r="G41" s="14">
        <f t="shared" si="6"/>
        <v>8.9750173611111119</v>
      </c>
      <c r="H41" s="14">
        <f t="shared" si="1"/>
        <v>0.35145136111110664</v>
      </c>
      <c r="I41" s="5">
        <f t="shared" si="7"/>
        <v>6.25</v>
      </c>
      <c r="J41" s="5">
        <f t="shared" si="8"/>
        <v>4.440699126092356E-2</v>
      </c>
    </row>
    <row r="42" spans="1:10" ht="18.75" x14ac:dyDescent="0.3">
      <c r="A42" s="5">
        <v>11</v>
      </c>
      <c r="B42" s="14">
        <v>11.47</v>
      </c>
      <c r="C42" s="5">
        <f t="shared" si="2"/>
        <v>121</v>
      </c>
      <c r="D42" s="14">
        <f t="shared" si="3"/>
        <v>131.5609</v>
      </c>
      <c r="E42" s="14">
        <f t="shared" si="4"/>
        <v>126.17</v>
      </c>
      <c r="F42" s="14">
        <f t="shared" si="5"/>
        <v>14.942833333333331</v>
      </c>
      <c r="G42" s="14">
        <f t="shared" si="6"/>
        <v>23.773750694444455</v>
      </c>
      <c r="H42" s="14">
        <f t="shared" si="1"/>
        <v>12.060571361111091</v>
      </c>
      <c r="I42" s="5">
        <f t="shared" si="7"/>
        <v>2.25</v>
      </c>
      <c r="J42" s="5">
        <f t="shared" si="8"/>
        <v>0.30277535600116218</v>
      </c>
    </row>
    <row r="43" spans="1:10" ht="18.75" x14ac:dyDescent="0.3">
      <c r="A43" s="5">
        <v>12</v>
      </c>
      <c r="B43" s="14">
        <v>14.94</v>
      </c>
      <c r="C43" s="5">
        <f t="shared" si="2"/>
        <v>144</v>
      </c>
      <c r="D43" s="14">
        <f t="shared" si="3"/>
        <v>223.20359999999999</v>
      </c>
      <c r="E43" s="14">
        <f t="shared" si="4"/>
        <v>179.28</v>
      </c>
      <c r="F43" s="14">
        <f t="shared" si="5"/>
        <v>15.942833333333331</v>
      </c>
      <c r="G43" s="14">
        <f t="shared" si="6"/>
        <v>1.9763673611111172</v>
      </c>
      <c r="H43" s="14">
        <f t="shared" si="1"/>
        <v>1.0056746944444408</v>
      </c>
      <c r="I43" s="5">
        <f t="shared" si="7"/>
        <v>0.25</v>
      </c>
      <c r="J43" s="5">
        <f t="shared" si="8"/>
        <v>6.7124051762605857E-2</v>
      </c>
    </row>
    <row r="44" spans="1:10" ht="18.75" x14ac:dyDescent="0.3">
      <c r="A44" s="5">
        <v>13</v>
      </c>
      <c r="B44" s="14">
        <v>16.71</v>
      </c>
      <c r="C44" s="5">
        <f t="shared" si="2"/>
        <v>169</v>
      </c>
      <c r="D44" s="14">
        <f t="shared" si="3"/>
        <v>279.22410000000002</v>
      </c>
      <c r="E44" s="14">
        <f t="shared" si="4"/>
        <v>217.23000000000002</v>
      </c>
      <c r="F44" s="14">
        <f t="shared" si="5"/>
        <v>16.942833333333333</v>
      </c>
      <c r="G44" s="14">
        <f t="shared" si="6"/>
        <v>0.13261736111111053</v>
      </c>
      <c r="H44" s="14">
        <f t="shared" si="1"/>
        <v>5.421136111111044E-2</v>
      </c>
      <c r="I44" s="5">
        <f t="shared" si="7"/>
        <v>0.25</v>
      </c>
      <c r="J44" s="5">
        <f t="shared" si="8"/>
        <v>1.3933772192299933E-2</v>
      </c>
    </row>
    <row r="45" spans="1:10" ht="18.75" x14ac:dyDescent="0.3">
      <c r="A45" s="5">
        <v>14</v>
      </c>
      <c r="B45" s="14">
        <v>20.83</v>
      </c>
      <c r="C45" s="5">
        <f t="shared" si="2"/>
        <v>196</v>
      </c>
      <c r="D45" s="14">
        <f t="shared" si="3"/>
        <v>433.88889999999992</v>
      </c>
      <c r="E45" s="14">
        <f t="shared" si="4"/>
        <v>291.62</v>
      </c>
      <c r="F45" s="14">
        <f t="shared" si="5"/>
        <v>17.942833333333333</v>
      </c>
      <c r="G45" s="14">
        <f t="shared" si="6"/>
        <v>20.107750694444416</v>
      </c>
      <c r="H45" s="14">
        <f t="shared" si="1"/>
        <v>8.3357313611111046</v>
      </c>
      <c r="I45" s="5">
        <f t="shared" si="7"/>
        <v>2.25</v>
      </c>
      <c r="J45" s="5">
        <f t="shared" si="8"/>
        <v>0.13860617698831809</v>
      </c>
    </row>
    <row r="46" spans="1:10" ht="18.75" x14ac:dyDescent="0.3">
      <c r="A46" s="5">
        <v>15</v>
      </c>
      <c r="B46" s="14">
        <v>21.95</v>
      </c>
      <c r="C46" s="5">
        <f t="shared" si="2"/>
        <v>225</v>
      </c>
      <c r="D46" s="14">
        <f t="shared" si="3"/>
        <v>481.80249999999995</v>
      </c>
      <c r="E46" s="14">
        <f t="shared" si="4"/>
        <v>329.25</v>
      </c>
      <c r="F46" s="14">
        <f t="shared" si="5"/>
        <v>18.942833333333329</v>
      </c>
      <c r="G46" s="14">
        <f t="shared" si="6"/>
        <v>31.40668402777775</v>
      </c>
      <c r="H46" s="14">
        <f t="shared" si="1"/>
        <v>9.0430513611111323</v>
      </c>
      <c r="I46" s="5">
        <f t="shared" si="7"/>
        <v>6.25</v>
      </c>
      <c r="J46" s="5">
        <f t="shared" si="8"/>
        <v>0.13700075930144284</v>
      </c>
    </row>
    <row r="47" spans="1:10" ht="18.75" x14ac:dyDescent="0.3">
      <c r="A47" s="5">
        <v>16</v>
      </c>
      <c r="B47" s="14">
        <v>17.07</v>
      </c>
      <c r="C47" s="5">
        <f t="shared" si="2"/>
        <v>256</v>
      </c>
      <c r="D47" s="14">
        <f t="shared" si="3"/>
        <v>291.38490000000002</v>
      </c>
      <c r="E47" s="14">
        <f t="shared" si="4"/>
        <v>273.12</v>
      </c>
      <c r="F47" s="14">
        <f t="shared" si="5"/>
        <v>19.942833333333329</v>
      </c>
      <c r="G47" s="14">
        <f t="shared" si="6"/>
        <v>0.52441736111110915</v>
      </c>
      <c r="H47" s="14">
        <f t="shared" si="1"/>
        <v>8.253171361111086</v>
      </c>
      <c r="I47" s="5">
        <f t="shared" si="7"/>
        <v>12.25</v>
      </c>
      <c r="J47" s="5">
        <f t="shared" si="8"/>
        <v>0.16829720757664493</v>
      </c>
    </row>
    <row r="48" spans="1:10" ht="18.75" x14ac:dyDescent="0.3">
      <c r="A48" s="5">
        <v>17</v>
      </c>
      <c r="B48" s="14">
        <v>21.19</v>
      </c>
      <c r="C48" s="5">
        <f t="shared" si="2"/>
        <v>289</v>
      </c>
      <c r="D48" s="14">
        <f t="shared" si="3"/>
        <v>449.01610000000005</v>
      </c>
      <c r="E48" s="14">
        <f t="shared" si="4"/>
        <v>360.23</v>
      </c>
      <c r="F48" s="14">
        <f t="shared" si="5"/>
        <v>20.942833333333329</v>
      </c>
      <c r="G48" s="14">
        <f t="shared" si="6"/>
        <v>23.465950694444441</v>
      </c>
      <c r="H48" s="14">
        <f t="shared" si="1"/>
        <v>6.1091361111113789E-2</v>
      </c>
      <c r="I48" s="5">
        <f t="shared" si="7"/>
        <v>20.25</v>
      </c>
      <c r="J48" s="5">
        <f t="shared" si="8"/>
        <v>1.1664307063080324E-2</v>
      </c>
    </row>
    <row r="49" spans="1:11" ht="18.75" x14ac:dyDescent="0.3">
      <c r="A49" s="5">
        <v>18</v>
      </c>
      <c r="B49" s="14">
        <v>19.309999999999999</v>
      </c>
      <c r="C49" s="5">
        <f t="shared" si="2"/>
        <v>324</v>
      </c>
      <c r="D49" s="14">
        <f t="shared" si="3"/>
        <v>372.87609999999995</v>
      </c>
      <c r="E49" s="14">
        <f t="shared" si="4"/>
        <v>347.58</v>
      </c>
      <c r="F49" s="14">
        <f t="shared" si="5"/>
        <v>21.942833333333329</v>
      </c>
      <c r="G49" s="14">
        <f t="shared" si="6"/>
        <v>8.7862840277777607</v>
      </c>
      <c r="H49" s="14">
        <f t="shared" si="1"/>
        <v>6.9318113611110963</v>
      </c>
      <c r="I49" s="5">
        <f t="shared" si="7"/>
        <v>30.25</v>
      </c>
      <c r="J49" s="5">
        <f t="shared" si="8"/>
        <v>0.13634558950457434</v>
      </c>
    </row>
    <row r="50" spans="1:11" ht="18.75" x14ac:dyDescent="0.3">
      <c r="A50" s="5">
        <v>19</v>
      </c>
      <c r="B50" s="14">
        <v>20.43</v>
      </c>
      <c r="C50" s="5">
        <f t="shared" si="2"/>
        <v>361</v>
      </c>
      <c r="D50" s="14">
        <f t="shared" si="3"/>
        <v>417.38490000000002</v>
      </c>
      <c r="E50" s="14">
        <f t="shared" si="4"/>
        <v>388.17</v>
      </c>
      <c r="F50" s="14">
        <f t="shared" si="5"/>
        <v>22.942833333333329</v>
      </c>
      <c r="G50" s="14">
        <f t="shared" si="6"/>
        <v>16.680417361111097</v>
      </c>
      <c r="H50" s="14">
        <f t="shared" si="1"/>
        <v>6.3143313611110914</v>
      </c>
      <c r="I50" s="5">
        <f t="shared" si="7"/>
        <v>42.25</v>
      </c>
      <c r="J50" s="5">
        <f t="shared" si="8"/>
        <v>0.12299722630119087</v>
      </c>
    </row>
    <row r="51" spans="1:11" ht="18.75" x14ac:dyDescent="0.3">
      <c r="A51" s="5">
        <v>20</v>
      </c>
      <c r="B51" s="14">
        <v>25.2</v>
      </c>
      <c r="C51" s="5">
        <f t="shared" si="2"/>
        <v>400</v>
      </c>
      <c r="D51" s="14">
        <f t="shared" si="3"/>
        <v>635.04</v>
      </c>
      <c r="E51" s="14">
        <f t="shared" si="4"/>
        <v>504</v>
      </c>
      <c r="F51" s="14">
        <f t="shared" si="5"/>
        <v>23.942833333333329</v>
      </c>
      <c r="G51" s="14">
        <f t="shared" si="6"/>
        <v>78.396267361111072</v>
      </c>
      <c r="H51" s="14">
        <f t="shared" si="1"/>
        <v>1.5804680277777865</v>
      </c>
      <c r="I51" s="5">
        <f t="shared" si="7"/>
        <v>56.25</v>
      </c>
      <c r="J51" s="5">
        <f t="shared" si="8"/>
        <v>4.9887566137566272E-2</v>
      </c>
    </row>
    <row r="52" spans="1:11" ht="18.75" x14ac:dyDescent="0.3">
      <c r="A52" s="5">
        <v>21</v>
      </c>
      <c r="B52" s="14">
        <v>25.67</v>
      </c>
      <c r="C52" s="5">
        <f t="shared" si="2"/>
        <v>441</v>
      </c>
      <c r="D52" s="14">
        <f t="shared" si="3"/>
        <v>658.94890000000009</v>
      </c>
      <c r="E52" s="14">
        <f t="shared" si="4"/>
        <v>539.07000000000005</v>
      </c>
      <c r="F52" s="14">
        <f t="shared" si="5"/>
        <v>24.942833333333329</v>
      </c>
      <c r="G52" s="14">
        <f t="shared" si="6"/>
        <v>86.940084027777772</v>
      </c>
      <c r="H52" s="14">
        <f t="shared" si="1"/>
        <v>0.52877136111111966</v>
      </c>
      <c r="I52" s="5">
        <f t="shared" si="7"/>
        <v>72.25</v>
      </c>
      <c r="J52" s="5">
        <f t="shared" si="8"/>
        <v>2.8327489936372127E-2</v>
      </c>
    </row>
    <row r="53" spans="1:11" ht="18.75" x14ac:dyDescent="0.3">
      <c r="A53" s="5">
        <v>22</v>
      </c>
      <c r="B53" s="14">
        <v>29.79</v>
      </c>
      <c r="C53" s="5">
        <f t="shared" si="2"/>
        <v>484</v>
      </c>
      <c r="D53" s="14">
        <f t="shared" si="3"/>
        <v>887.44409999999993</v>
      </c>
      <c r="E53" s="14">
        <f t="shared" si="4"/>
        <v>655.38</v>
      </c>
      <c r="F53" s="14">
        <f t="shared" si="5"/>
        <v>25.942833333333329</v>
      </c>
      <c r="G53" s="14">
        <f t="shared" si="6"/>
        <v>180.74561736111104</v>
      </c>
      <c r="H53" s="14">
        <f t="shared" si="1"/>
        <v>14.800691361111136</v>
      </c>
      <c r="I53" s="5">
        <f t="shared" si="7"/>
        <v>90.25</v>
      </c>
      <c r="J53" s="5">
        <f t="shared" si="8"/>
        <v>0.12914288911267774</v>
      </c>
    </row>
    <row r="54" spans="1:11" ht="18.75" x14ac:dyDescent="0.3">
      <c r="A54" s="5">
        <v>23</v>
      </c>
      <c r="B54" s="14">
        <v>28.56</v>
      </c>
      <c r="C54" s="5">
        <f t="shared" si="2"/>
        <v>529</v>
      </c>
      <c r="D54" s="14">
        <f t="shared" si="3"/>
        <v>815.67359999999996</v>
      </c>
      <c r="E54" s="14">
        <f t="shared" si="4"/>
        <v>656.88</v>
      </c>
      <c r="F54" s="14">
        <f t="shared" si="5"/>
        <v>26.942833333333329</v>
      </c>
      <c r="G54" s="14">
        <f t="shared" si="6"/>
        <v>149.18586736111104</v>
      </c>
      <c r="H54" s="14">
        <f t="shared" si="1"/>
        <v>2.6152280277777868</v>
      </c>
      <c r="I54" s="5">
        <f t="shared" si="7"/>
        <v>110.25</v>
      </c>
      <c r="J54" s="5">
        <f t="shared" si="8"/>
        <v>5.6623482726424007E-2</v>
      </c>
    </row>
    <row r="55" spans="1:11" ht="18.75" x14ac:dyDescent="0.3">
      <c r="A55" s="5">
        <v>24</v>
      </c>
      <c r="B55" s="14">
        <v>29.03</v>
      </c>
      <c r="C55" s="5">
        <f t="shared" si="2"/>
        <v>576</v>
      </c>
      <c r="D55" s="14">
        <f t="shared" si="3"/>
        <v>842.74090000000001</v>
      </c>
      <c r="E55" s="14">
        <f t="shared" si="4"/>
        <v>696.72</v>
      </c>
      <c r="F55" s="14">
        <f t="shared" si="5"/>
        <v>27.942833333333329</v>
      </c>
      <c r="G55" s="14">
        <f t="shared" si="6"/>
        <v>160.88808402777775</v>
      </c>
      <c r="H55" s="14">
        <f t="shared" si="1"/>
        <v>1.1819313611111226</v>
      </c>
      <c r="I55" s="5">
        <f t="shared" si="7"/>
        <v>132.25</v>
      </c>
      <c r="J55" s="5">
        <f t="shared" si="8"/>
        <v>3.7449764611321802E-2</v>
      </c>
    </row>
    <row r="56" spans="1:11" ht="18.75" x14ac:dyDescent="0.3">
      <c r="A56" s="5">
        <f>SUM(A32:A55)</f>
        <v>300</v>
      </c>
      <c r="B56" s="5">
        <f t="shared" ref="B56:E56" si="9">SUM(B32:B55)</f>
        <v>392.30000000000007</v>
      </c>
      <c r="C56" s="5">
        <f t="shared" si="9"/>
        <v>4900</v>
      </c>
      <c r="D56" s="5">
        <f t="shared" si="9"/>
        <v>7839.7969999999996</v>
      </c>
      <c r="E56" s="5">
        <f t="shared" si="9"/>
        <v>6144.05</v>
      </c>
      <c r="F56" s="14">
        <f>SUM(F32:F55)</f>
        <v>394.62799999999999</v>
      </c>
      <c r="G56" s="14">
        <f>SUM(G32:G55)</f>
        <v>1427.3265833333332</v>
      </c>
      <c r="H56" s="14">
        <f t="shared" ref="H56:J56" si="10">SUM(H32:H55)</f>
        <v>96.952399333333304</v>
      </c>
      <c r="I56" s="14">
        <f t="shared" si="10"/>
        <v>1150</v>
      </c>
      <c r="J56" s="14">
        <f t="shared" si="10"/>
        <v>3.4444769991642223</v>
      </c>
      <c r="K56" s="5" t="s">
        <v>43</v>
      </c>
    </row>
    <row r="57" spans="1:11" ht="18.75" x14ac:dyDescent="0.3">
      <c r="A57" s="5">
        <f>AVERAGE(A32:A55)</f>
        <v>12.5</v>
      </c>
      <c r="B57" s="14">
        <f t="shared" ref="B57:E57" si="11">AVERAGE(B32:B55)</f>
        <v>16.345833333333335</v>
      </c>
      <c r="C57" s="14">
        <f t="shared" si="11"/>
        <v>204.16666666666666</v>
      </c>
      <c r="D57" s="14">
        <f t="shared" si="11"/>
        <v>326.65820833333333</v>
      </c>
      <c r="E57" s="14">
        <f t="shared" si="11"/>
        <v>256.00208333333336</v>
      </c>
      <c r="F57" s="14">
        <f t="shared" ref="F57" si="12">AVERAGE(F32:F55)</f>
        <v>16.442833333333333</v>
      </c>
      <c r="G57" s="14">
        <f>AVERAGE(G32:G55)</f>
        <v>59.471940972222221</v>
      </c>
      <c r="H57" s="14">
        <f t="shared" ref="H57:J57" si="13">AVERAGE(H32:H55)</f>
        <v>4.0396833055555543</v>
      </c>
      <c r="I57" s="14">
        <f>AVERAGE(I32:I55)</f>
        <v>47.916666666666664</v>
      </c>
      <c r="J57" s="14">
        <f t="shared" si="13"/>
        <v>0.14351987496517593</v>
      </c>
      <c r="K57" s="5" t="s">
        <v>44</v>
      </c>
    </row>
    <row r="59" spans="1:11" x14ac:dyDescent="0.25">
      <c r="A59" s="15" t="s">
        <v>38</v>
      </c>
      <c r="B59" s="16">
        <f>(E57-(A57*B57))/(C57-POWER(A57,2))</f>
        <v>1.0785217391304351</v>
      </c>
      <c r="D59" s="48" t="s">
        <v>47</v>
      </c>
      <c r="E59" s="48"/>
      <c r="F59" s="27">
        <f>J57</f>
        <v>0.14351987496517593</v>
      </c>
    </row>
    <row r="60" spans="1:11" x14ac:dyDescent="0.25">
      <c r="A60" s="15" t="s">
        <v>39</v>
      </c>
      <c r="B60" s="16">
        <f>B57-(B59*A57)</f>
        <v>2.8643115942028956</v>
      </c>
      <c r="D60" s="48"/>
      <c r="E60" s="48"/>
      <c r="F60" s="28">
        <f>1-(H57/G57)</f>
        <v>0.93207413042997223</v>
      </c>
    </row>
    <row r="61" spans="1:11" ht="33" customHeight="1" x14ac:dyDescent="0.25">
      <c r="A61" s="17" t="s">
        <v>40</v>
      </c>
      <c r="B61" s="17">
        <v>2</v>
      </c>
      <c r="D61" s="56" t="s">
        <v>48</v>
      </c>
      <c r="E61" s="56" t="s">
        <v>48</v>
      </c>
      <c r="F61" s="57">
        <f>SQRT((G56-H56)/G56)</f>
        <v>0.9654398637046081</v>
      </c>
    </row>
    <row r="62" spans="1:11" x14ac:dyDescent="0.25">
      <c r="A62" s="17" t="s">
        <v>41</v>
      </c>
      <c r="B62" s="17">
        <f>B63-B61-1</f>
        <v>21</v>
      </c>
    </row>
    <row r="63" spans="1:11" ht="30" x14ac:dyDescent="0.25">
      <c r="A63" s="18" t="s">
        <v>42</v>
      </c>
      <c r="B63" s="17">
        <v>24</v>
      </c>
    </row>
    <row r="65" spans="1:13" x14ac:dyDescent="0.25">
      <c r="A65" s="49" t="s">
        <v>45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</row>
    <row r="66" spans="1:13" ht="37.5" customHeight="1" x14ac:dyDescent="0.3">
      <c r="A66" s="19" t="s">
        <v>0</v>
      </c>
      <c r="B66" s="19" t="s">
        <v>1</v>
      </c>
      <c r="C66" s="20"/>
      <c r="D66" s="19"/>
      <c r="E66" s="19" t="s">
        <v>36</v>
      </c>
      <c r="F66" s="19"/>
      <c r="G66" s="13"/>
      <c r="H66" s="19"/>
      <c r="I66" s="19" t="s">
        <v>37</v>
      </c>
      <c r="J66" s="19"/>
      <c r="K66" s="13"/>
      <c r="L66" s="13"/>
      <c r="M66" s="13"/>
    </row>
    <row r="67" spans="1:13" ht="18.75" x14ac:dyDescent="0.3">
      <c r="A67" s="5">
        <v>1</v>
      </c>
      <c r="B67" s="14">
        <v>6.27</v>
      </c>
      <c r="C67" s="5">
        <f>A67^2</f>
        <v>1</v>
      </c>
      <c r="D67" s="14">
        <f>B67^2</f>
        <v>39.312899999999992</v>
      </c>
      <c r="E67" s="14">
        <f>A67*B67</f>
        <v>6.27</v>
      </c>
      <c r="F67" s="14">
        <f>A67^3</f>
        <v>1</v>
      </c>
      <c r="G67" s="14">
        <f>A67^4</f>
        <v>1</v>
      </c>
      <c r="H67" s="14">
        <f>C67*B67</f>
        <v>6.27</v>
      </c>
      <c r="I67" s="14">
        <f>$B$96*POWER(A67,2)+A67*$B$95+$B$94</f>
        <v>3.4228591872319702</v>
      </c>
      <c r="J67" s="14">
        <f>POWER(B67-B$92,2)</f>
        <v>101.52241736111115</v>
      </c>
      <c r="K67" s="14">
        <f>(B67-I67)^2</f>
        <v>8.1062108077293953</v>
      </c>
      <c r="L67" s="5">
        <f>(A67-$A$92)^2</f>
        <v>132.25</v>
      </c>
      <c r="M67" s="21">
        <f>ABS(B67-I67)/B67</f>
        <v>0.45408944382265226</v>
      </c>
    </row>
    <row r="68" spans="1:13" ht="18.75" x14ac:dyDescent="0.3">
      <c r="A68" s="5">
        <v>2</v>
      </c>
      <c r="B68" s="14">
        <v>3.7399999999999998</v>
      </c>
      <c r="C68" s="5">
        <f t="shared" ref="C68:C90" si="14">A68^2</f>
        <v>4</v>
      </c>
      <c r="D68" s="14">
        <f t="shared" ref="D68:D90" si="15">B68^2</f>
        <v>13.987599999999999</v>
      </c>
      <c r="E68" s="14">
        <f t="shared" ref="E68:E90" si="16">A68*B68</f>
        <v>7.4799999999999995</v>
      </c>
      <c r="F68" s="14">
        <f t="shared" ref="F68:F89" si="17">A68^3</f>
        <v>8</v>
      </c>
      <c r="G68" s="14">
        <f t="shared" ref="G68:G90" si="18">A68^4</f>
        <v>16</v>
      </c>
      <c r="H68" s="14">
        <f t="shared" ref="H68:H90" si="19">C68*B68</f>
        <v>14.959999999999999</v>
      </c>
      <c r="I68" s="14">
        <f t="shared" ref="I68:I90" si="20">$B$96*POWER(A68,2)+A68*$B$95+$B$94</f>
        <v>4.5141412014926319</v>
      </c>
      <c r="J68" s="14">
        <f t="shared" ref="J68:J90" si="21">POWER(B68-B$92,2)</f>
        <v>158.90703402777783</v>
      </c>
      <c r="K68" s="14">
        <f t="shared" ref="K68:K90" si="22">(B68-I68)^2</f>
        <v>0.59929459984845601</v>
      </c>
      <c r="L68" s="5">
        <f t="shared" ref="L68:L90" si="23">(A68-$A$92)^2</f>
        <v>110.25</v>
      </c>
      <c r="M68" s="21">
        <f t="shared" ref="M68:M89" si="24">ABS(B68-I68)/B68</f>
        <v>0.2069896260675487</v>
      </c>
    </row>
    <row r="69" spans="1:13" ht="18.75" x14ac:dyDescent="0.3">
      <c r="A69" s="5">
        <v>3</v>
      </c>
      <c r="B69" s="14">
        <v>5.51</v>
      </c>
      <c r="C69" s="5">
        <f t="shared" si="14"/>
        <v>9</v>
      </c>
      <c r="D69" s="14">
        <f t="shared" si="15"/>
        <v>30.360099999999999</v>
      </c>
      <c r="E69" s="14">
        <f t="shared" si="16"/>
        <v>16.53</v>
      </c>
      <c r="F69" s="14">
        <f t="shared" si="17"/>
        <v>27</v>
      </c>
      <c r="G69" s="14">
        <f t="shared" si="18"/>
        <v>81</v>
      </c>
      <c r="H69" s="14">
        <f t="shared" si="19"/>
        <v>49.589999999999996</v>
      </c>
      <c r="I69" s="14">
        <f t="shared" si="20"/>
        <v>5.6079869832956222</v>
      </c>
      <c r="J69" s="14">
        <f t="shared" si="21"/>
        <v>117.41528402777782</v>
      </c>
      <c r="K69" s="14">
        <f t="shared" si="22"/>
        <v>9.6014488953765804E-3</v>
      </c>
      <c r="L69" s="5">
        <f t="shared" si="23"/>
        <v>90.25</v>
      </c>
      <c r="M69" s="21">
        <f t="shared" si="24"/>
        <v>1.7783481541855245E-2</v>
      </c>
    </row>
    <row r="70" spans="1:13" ht="18.75" x14ac:dyDescent="0.3">
      <c r="A70" s="5">
        <v>4</v>
      </c>
      <c r="B70" s="14">
        <v>9.629999999999999</v>
      </c>
      <c r="C70" s="5">
        <f t="shared" si="14"/>
        <v>16</v>
      </c>
      <c r="D70" s="14">
        <f t="shared" si="15"/>
        <v>92.736899999999977</v>
      </c>
      <c r="E70" s="14">
        <f t="shared" si="16"/>
        <v>38.519999999999996</v>
      </c>
      <c r="F70" s="14">
        <f t="shared" si="17"/>
        <v>64</v>
      </c>
      <c r="G70" s="14">
        <f t="shared" si="18"/>
        <v>256</v>
      </c>
      <c r="H70" s="14">
        <f t="shared" si="19"/>
        <v>154.07999999999998</v>
      </c>
      <c r="I70" s="14">
        <f t="shared" si="20"/>
        <v>6.7043965326409403</v>
      </c>
      <c r="J70" s="14">
        <f t="shared" si="21"/>
        <v>45.102417361111144</v>
      </c>
      <c r="K70" s="14">
        <f t="shared" si="22"/>
        <v>8.5591556482233475</v>
      </c>
      <c r="L70" s="5">
        <f t="shared" si="23"/>
        <v>72.25</v>
      </c>
      <c r="M70" s="21">
        <f t="shared" si="24"/>
        <v>0.30380098311101339</v>
      </c>
    </row>
    <row r="71" spans="1:13" ht="18.75" x14ac:dyDescent="0.3">
      <c r="A71" s="5">
        <v>5</v>
      </c>
      <c r="B71" s="14">
        <v>7.1</v>
      </c>
      <c r="C71" s="5">
        <f t="shared" si="14"/>
        <v>25</v>
      </c>
      <c r="D71" s="14">
        <f t="shared" si="15"/>
        <v>50.41</v>
      </c>
      <c r="E71" s="14">
        <f t="shared" si="16"/>
        <v>35.5</v>
      </c>
      <c r="F71" s="14">
        <f t="shared" si="17"/>
        <v>125</v>
      </c>
      <c r="G71" s="14">
        <f t="shared" si="18"/>
        <v>625</v>
      </c>
      <c r="H71" s="14">
        <f t="shared" si="19"/>
        <v>177.5</v>
      </c>
      <c r="I71" s="14">
        <f t="shared" si="20"/>
        <v>7.803369849528587</v>
      </c>
      <c r="J71" s="14">
        <f t="shared" si="21"/>
        <v>85.485434027777814</v>
      </c>
      <c r="K71" s="14">
        <f t="shared" si="22"/>
        <v>0.49472914522586764</v>
      </c>
      <c r="L71" s="5">
        <f t="shared" si="23"/>
        <v>56.25</v>
      </c>
      <c r="M71" s="21">
        <f t="shared" si="24"/>
        <v>9.9066175989941885E-2</v>
      </c>
    </row>
    <row r="72" spans="1:13" ht="18.75" x14ac:dyDescent="0.3">
      <c r="A72" s="5">
        <v>6</v>
      </c>
      <c r="B72" s="14">
        <v>8.870000000000001</v>
      </c>
      <c r="C72" s="5">
        <f t="shared" si="14"/>
        <v>36</v>
      </c>
      <c r="D72" s="14">
        <f t="shared" si="15"/>
        <v>78.676900000000018</v>
      </c>
      <c r="E72" s="14">
        <f t="shared" si="16"/>
        <v>53.220000000000006</v>
      </c>
      <c r="F72" s="14">
        <f t="shared" si="17"/>
        <v>216</v>
      </c>
      <c r="G72" s="14">
        <f t="shared" si="18"/>
        <v>1296</v>
      </c>
      <c r="H72" s="14">
        <f t="shared" si="19"/>
        <v>319.32000000000005</v>
      </c>
      <c r="I72" s="14">
        <f t="shared" si="20"/>
        <v>8.9049069339585643</v>
      </c>
      <c r="J72" s="14">
        <f t="shared" si="21"/>
        <v>55.888084027777786</v>
      </c>
      <c r="K72" s="14">
        <f t="shared" si="22"/>
        <v>1.2184940383874968E-3</v>
      </c>
      <c r="L72" s="5">
        <f t="shared" si="23"/>
        <v>42.25</v>
      </c>
      <c r="M72" s="21">
        <f t="shared" si="24"/>
        <v>3.9353927799958572E-3</v>
      </c>
    </row>
    <row r="73" spans="1:13" ht="18.75" x14ac:dyDescent="0.3">
      <c r="A73" s="5">
        <v>7</v>
      </c>
      <c r="B73" s="14">
        <v>9.34</v>
      </c>
      <c r="C73" s="5">
        <f t="shared" si="14"/>
        <v>49</v>
      </c>
      <c r="D73" s="14">
        <f t="shared" si="15"/>
        <v>87.235599999999991</v>
      </c>
      <c r="E73" s="14">
        <f t="shared" si="16"/>
        <v>65.38</v>
      </c>
      <c r="F73" s="14">
        <f t="shared" si="17"/>
        <v>343</v>
      </c>
      <c r="G73" s="14">
        <f t="shared" si="18"/>
        <v>2401</v>
      </c>
      <c r="H73" s="14">
        <f t="shared" si="19"/>
        <v>457.65999999999997</v>
      </c>
      <c r="I73" s="14">
        <f t="shared" si="20"/>
        <v>10.009007785930867</v>
      </c>
      <c r="J73" s="14">
        <f t="shared" si="21"/>
        <v>49.081700694444471</v>
      </c>
      <c r="K73" s="14">
        <f t="shared" si="22"/>
        <v>0.44757141763612163</v>
      </c>
      <c r="L73" s="5">
        <f t="shared" si="23"/>
        <v>30.25</v>
      </c>
      <c r="M73" s="21">
        <f t="shared" si="24"/>
        <v>7.1628242605017947E-2</v>
      </c>
    </row>
    <row r="74" spans="1:13" ht="18.75" x14ac:dyDescent="0.3">
      <c r="A74" s="5">
        <v>8</v>
      </c>
      <c r="B74" s="14">
        <v>14.11</v>
      </c>
      <c r="C74" s="5">
        <f t="shared" si="14"/>
        <v>64</v>
      </c>
      <c r="D74" s="14">
        <f t="shared" si="15"/>
        <v>199.09209999999999</v>
      </c>
      <c r="E74" s="14">
        <f t="shared" si="16"/>
        <v>112.88</v>
      </c>
      <c r="F74" s="14">
        <f t="shared" si="17"/>
        <v>512</v>
      </c>
      <c r="G74" s="14">
        <f t="shared" si="18"/>
        <v>4096</v>
      </c>
      <c r="H74" s="14">
        <f t="shared" si="19"/>
        <v>903.04</v>
      </c>
      <c r="I74" s="14">
        <f t="shared" si="20"/>
        <v>11.115672405445501</v>
      </c>
      <c r="J74" s="14">
        <f t="shared" si="21"/>
        <v>4.9989506944444546</v>
      </c>
      <c r="K74" s="14">
        <f t="shared" si="22"/>
        <v>8.9659977435105276</v>
      </c>
      <c r="L74" s="5">
        <f t="shared" si="23"/>
        <v>20.25</v>
      </c>
      <c r="M74" s="21">
        <f t="shared" si="24"/>
        <v>0.21221315340570507</v>
      </c>
    </row>
    <row r="75" spans="1:13" ht="18.75" x14ac:dyDescent="0.3">
      <c r="A75" s="5">
        <v>9</v>
      </c>
      <c r="B75" s="14">
        <v>12.230000000000002</v>
      </c>
      <c r="C75" s="5">
        <f t="shared" si="14"/>
        <v>81</v>
      </c>
      <c r="D75" s="14">
        <f t="shared" si="15"/>
        <v>149.57290000000006</v>
      </c>
      <c r="E75" s="14">
        <f t="shared" si="16"/>
        <v>110.07000000000002</v>
      </c>
      <c r="F75" s="14">
        <f t="shared" si="17"/>
        <v>729</v>
      </c>
      <c r="G75" s="14">
        <f t="shared" si="18"/>
        <v>6561</v>
      </c>
      <c r="H75" s="14">
        <f t="shared" si="19"/>
        <v>990.63000000000022</v>
      </c>
      <c r="I75" s="14">
        <f t="shared" si="20"/>
        <v>12.22490079250246</v>
      </c>
      <c r="J75" s="14">
        <f t="shared" si="21"/>
        <v>16.940084027777772</v>
      </c>
      <c r="K75" s="14">
        <f t="shared" si="22"/>
        <v>2.6001917102990833E-5</v>
      </c>
      <c r="L75" s="5">
        <f t="shared" si="23"/>
        <v>12.25</v>
      </c>
      <c r="M75" s="21">
        <f t="shared" si="24"/>
        <v>4.1694255907949495E-4</v>
      </c>
    </row>
    <row r="76" spans="1:13" ht="18.75" x14ac:dyDescent="0.3">
      <c r="A76" s="5">
        <v>10</v>
      </c>
      <c r="B76" s="14">
        <v>13.350000000000001</v>
      </c>
      <c r="C76" s="5">
        <f t="shared" si="14"/>
        <v>100</v>
      </c>
      <c r="D76" s="14">
        <f t="shared" si="15"/>
        <v>178.22250000000003</v>
      </c>
      <c r="E76" s="14">
        <f t="shared" si="16"/>
        <v>133.5</v>
      </c>
      <c r="F76" s="14">
        <f t="shared" si="17"/>
        <v>1000</v>
      </c>
      <c r="G76" s="14">
        <f t="shared" si="18"/>
        <v>10000</v>
      </c>
      <c r="H76" s="14">
        <f t="shared" si="19"/>
        <v>1335.0000000000002</v>
      </c>
      <c r="I76" s="14">
        <f t="shared" si="20"/>
        <v>13.336692947101749</v>
      </c>
      <c r="J76" s="14">
        <f t="shared" si="21"/>
        <v>8.9750173611111119</v>
      </c>
      <c r="K76" s="14">
        <f t="shared" si="22"/>
        <v>1.7707765683688177E-4</v>
      </c>
      <c r="L76" s="5">
        <f t="shared" si="23"/>
        <v>6.25</v>
      </c>
      <c r="M76" s="21">
        <f t="shared" si="24"/>
        <v>9.9678298863312208E-4</v>
      </c>
    </row>
    <row r="77" spans="1:13" ht="18.75" x14ac:dyDescent="0.3">
      <c r="A77" s="5">
        <v>11</v>
      </c>
      <c r="B77" s="14">
        <v>11.47</v>
      </c>
      <c r="C77" s="5">
        <f t="shared" si="14"/>
        <v>121</v>
      </c>
      <c r="D77" s="14">
        <f t="shared" si="15"/>
        <v>131.5609</v>
      </c>
      <c r="E77" s="14">
        <f t="shared" si="16"/>
        <v>126.17</v>
      </c>
      <c r="F77" s="14">
        <f t="shared" si="17"/>
        <v>1331</v>
      </c>
      <c r="G77" s="14">
        <f t="shared" si="18"/>
        <v>14641</v>
      </c>
      <c r="H77" s="14">
        <f t="shared" si="19"/>
        <v>1387.8700000000001</v>
      </c>
      <c r="I77" s="14">
        <f t="shared" si="20"/>
        <v>14.451048869243369</v>
      </c>
      <c r="J77" s="14">
        <f t="shared" si="21"/>
        <v>23.773750694444455</v>
      </c>
      <c r="K77" s="14">
        <f t="shared" si="22"/>
        <v>8.8866523608171644</v>
      </c>
      <c r="L77" s="5">
        <f t="shared" si="23"/>
        <v>2.25</v>
      </c>
      <c r="M77" s="21">
        <f t="shared" si="24"/>
        <v>0.25989963986428666</v>
      </c>
    </row>
    <row r="78" spans="1:13" ht="18.75" x14ac:dyDescent="0.3">
      <c r="A78" s="5">
        <v>12</v>
      </c>
      <c r="B78" s="14">
        <v>14.94</v>
      </c>
      <c r="C78" s="5">
        <f t="shared" si="14"/>
        <v>144</v>
      </c>
      <c r="D78" s="14">
        <f t="shared" si="15"/>
        <v>223.20359999999999</v>
      </c>
      <c r="E78" s="14">
        <f t="shared" si="16"/>
        <v>179.28</v>
      </c>
      <c r="F78" s="14">
        <f t="shared" si="17"/>
        <v>1728</v>
      </c>
      <c r="G78" s="14">
        <f t="shared" si="18"/>
        <v>20736</v>
      </c>
      <c r="H78" s="14">
        <f t="shared" si="19"/>
        <v>2151.36</v>
      </c>
      <c r="I78" s="14">
        <f t="shared" si="20"/>
        <v>15.567968558927316</v>
      </c>
      <c r="J78" s="14">
        <f t="shared" si="21"/>
        <v>1.9763673611111172</v>
      </c>
      <c r="K78" s="14">
        <f t="shared" si="22"/>
        <v>0.39434451100125001</v>
      </c>
      <c r="L78" s="5">
        <f t="shared" si="23"/>
        <v>0.25</v>
      </c>
      <c r="M78" s="21">
        <f t="shared" si="24"/>
        <v>4.2032701400757433E-2</v>
      </c>
    </row>
    <row r="79" spans="1:13" ht="18.75" x14ac:dyDescent="0.3">
      <c r="A79" s="5">
        <v>13</v>
      </c>
      <c r="B79" s="14">
        <v>16.71</v>
      </c>
      <c r="C79" s="5">
        <f t="shared" si="14"/>
        <v>169</v>
      </c>
      <c r="D79" s="14">
        <f t="shared" si="15"/>
        <v>279.22410000000002</v>
      </c>
      <c r="E79" s="14">
        <f t="shared" si="16"/>
        <v>217.23000000000002</v>
      </c>
      <c r="F79" s="14">
        <f t="shared" si="17"/>
        <v>2197</v>
      </c>
      <c r="G79" s="14">
        <f t="shared" si="18"/>
        <v>28561</v>
      </c>
      <c r="H79" s="14">
        <f t="shared" si="19"/>
        <v>2823.9900000000002</v>
      </c>
      <c r="I79" s="14">
        <f t="shared" si="20"/>
        <v>16.687452016153589</v>
      </c>
      <c r="J79" s="14">
        <f t="shared" si="21"/>
        <v>0.13261736111111053</v>
      </c>
      <c r="K79" s="14">
        <f t="shared" si="22"/>
        <v>5.08411575538046E-4</v>
      </c>
      <c r="L79" s="5">
        <f t="shared" si="23"/>
        <v>0.25</v>
      </c>
      <c r="M79" s="21">
        <f t="shared" si="24"/>
        <v>1.3493706670503749E-3</v>
      </c>
    </row>
    <row r="80" spans="1:13" ht="18.75" x14ac:dyDescent="0.3">
      <c r="A80" s="5">
        <v>14</v>
      </c>
      <c r="B80" s="14">
        <v>20.83</v>
      </c>
      <c r="C80" s="5">
        <f t="shared" si="14"/>
        <v>196</v>
      </c>
      <c r="D80" s="14">
        <f t="shared" si="15"/>
        <v>433.88889999999992</v>
      </c>
      <c r="E80" s="14">
        <f t="shared" si="16"/>
        <v>291.62</v>
      </c>
      <c r="F80" s="14">
        <f t="shared" si="17"/>
        <v>2744</v>
      </c>
      <c r="G80" s="14">
        <f t="shared" si="18"/>
        <v>38416</v>
      </c>
      <c r="H80" s="14">
        <f t="shared" si="19"/>
        <v>4082.68</v>
      </c>
      <c r="I80" s="14">
        <f t="shared" si="20"/>
        <v>17.809499240922193</v>
      </c>
      <c r="J80" s="14">
        <f t="shared" si="21"/>
        <v>20.107750694444416</v>
      </c>
      <c r="K80" s="14">
        <f t="shared" si="22"/>
        <v>9.1234248355895975</v>
      </c>
      <c r="L80" s="5">
        <f t="shared" si="23"/>
        <v>2.25</v>
      </c>
      <c r="M80" s="21">
        <f t="shared" si="24"/>
        <v>0.14500723759374967</v>
      </c>
    </row>
    <row r="81" spans="1:14" ht="18.75" x14ac:dyDescent="0.3">
      <c r="A81" s="5">
        <v>15</v>
      </c>
      <c r="B81" s="14">
        <v>21.95</v>
      </c>
      <c r="C81" s="5">
        <f t="shared" si="14"/>
        <v>225</v>
      </c>
      <c r="D81" s="14">
        <f t="shared" si="15"/>
        <v>481.80249999999995</v>
      </c>
      <c r="E81" s="14">
        <f t="shared" si="16"/>
        <v>329.25</v>
      </c>
      <c r="F81" s="14">
        <f t="shared" si="17"/>
        <v>3375</v>
      </c>
      <c r="G81" s="14">
        <f t="shared" si="18"/>
        <v>50625</v>
      </c>
      <c r="H81" s="14">
        <f t="shared" si="19"/>
        <v>4938.75</v>
      </c>
      <c r="I81" s="14">
        <f t="shared" si="20"/>
        <v>18.934110233233127</v>
      </c>
      <c r="J81" s="14">
        <f t="shared" si="21"/>
        <v>31.40668402777775</v>
      </c>
      <c r="K81" s="14">
        <f t="shared" si="22"/>
        <v>9.0955910852891364</v>
      </c>
      <c r="L81" s="5">
        <f t="shared" si="23"/>
        <v>6.25</v>
      </c>
      <c r="M81" s="21">
        <f t="shared" si="24"/>
        <v>0.13739816705088254</v>
      </c>
    </row>
    <row r="82" spans="1:14" ht="18.75" x14ac:dyDescent="0.3">
      <c r="A82" s="5">
        <v>16</v>
      </c>
      <c r="B82" s="14">
        <v>17.07</v>
      </c>
      <c r="C82" s="5">
        <f t="shared" si="14"/>
        <v>256</v>
      </c>
      <c r="D82" s="14">
        <f t="shared" si="15"/>
        <v>291.38490000000002</v>
      </c>
      <c r="E82" s="14">
        <f t="shared" si="16"/>
        <v>273.12</v>
      </c>
      <c r="F82" s="14">
        <f t="shared" si="17"/>
        <v>4096</v>
      </c>
      <c r="G82" s="14">
        <f t="shared" si="18"/>
        <v>65536</v>
      </c>
      <c r="H82" s="14">
        <f t="shared" si="19"/>
        <v>4369.92</v>
      </c>
      <c r="I82" s="14">
        <f t="shared" si="20"/>
        <v>20.061284993086385</v>
      </c>
      <c r="J82" s="14">
        <f t="shared" si="21"/>
        <v>0.52441736111110915</v>
      </c>
      <c r="K82" s="14">
        <f t="shared" si="22"/>
        <v>8.9477859098638142</v>
      </c>
      <c r="L82" s="5">
        <f t="shared" si="23"/>
        <v>12.25</v>
      </c>
      <c r="M82" s="21">
        <f t="shared" si="24"/>
        <v>0.17523637920834123</v>
      </c>
    </row>
    <row r="83" spans="1:14" ht="18.75" x14ac:dyDescent="0.3">
      <c r="A83" s="5">
        <v>17</v>
      </c>
      <c r="B83" s="14">
        <v>21.19</v>
      </c>
      <c r="C83" s="5">
        <f t="shared" si="14"/>
        <v>289</v>
      </c>
      <c r="D83" s="14">
        <f t="shared" si="15"/>
        <v>449.01610000000005</v>
      </c>
      <c r="E83" s="14">
        <f t="shared" si="16"/>
        <v>360.23</v>
      </c>
      <c r="F83" s="14">
        <f t="shared" si="17"/>
        <v>4913</v>
      </c>
      <c r="G83" s="14">
        <f t="shared" si="18"/>
        <v>83521</v>
      </c>
      <c r="H83" s="14">
        <f t="shared" si="19"/>
        <v>6123.9100000000008</v>
      </c>
      <c r="I83" s="14">
        <f t="shared" si="20"/>
        <v>21.191023520481977</v>
      </c>
      <c r="J83" s="14">
        <f t="shared" si="21"/>
        <v>23.465950694444441</v>
      </c>
      <c r="K83" s="14">
        <f t="shared" si="22"/>
        <v>1.0475941770238451E-6</v>
      </c>
      <c r="L83" s="5">
        <f t="shared" si="23"/>
        <v>20.25</v>
      </c>
      <c r="M83" s="21">
        <f t="shared" si="24"/>
        <v>4.8302052004518028E-5</v>
      </c>
    </row>
    <row r="84" spans="1:14" ht="18.75" x14ac:dyDescent="0.3">
      <c r="A84" s="5">
        <v>18</v>
      </c>
      <c r="B84" s="14">
        <v>19.309999999999999</v>
      </c>
      <c r="C84" s="5">
        <f t="shared" si="14"/>
        <v>324</v>
      </c>
      <c r="D84" s="14">
        <f t="shared" si="15"/>
        <v>372.87609999999995</v>
      </c>
      <c r="E84" s="14">
        <f t="shared" si="16"/>
        <v>347.58</v>
      </c>
      <c r="F84" s="14">
        <f t="shared" si="17"/>
        <v>5832</v>
      </c>
      <c r="G84" s="14">
        <f t="shared" si="18"/>
        <v>104976</v>
      </c>
      <c r="H84" s="14">
        <f t="shared" si="19"/>
        <v>6256.44</v>
      </c>
      <c r="I84" s="14">
        <f t="shared" si="20"/>
        <v>22.323325815419896</v>
      </c>
      <c r="J84" s="14">
        <f t="shared" si="21"/>
        <v>8.7862840277777607</v>
      </c>
      <c r="K84" s="14">
        <f t="shared" si="22"/>
        <v>9.0801324698759878</v>
      </c>
      <c r="L84" s="5">
        <f t="shared" si="23"/>
        <v>30.25</v>
      </c>
      <c r="M84" s="21">
        <f t="shared" si="24"/>
        <v>0.15605001633453636</v>
      </c>
    </row>
    <row r="85" spans="1:14" ht="18.75" x14ac:dyDescent="0.3">
      <c r="A85" s="5">
        <v>19</v>
      </c>
      <c r="B85" s="14">
        <v>20.43</v>
      </c>
      <c r="C85" s="5">
        <f t="shared" si="14"/>
        <v>361</v>
      </c>
      <c r="D85" s="14">
        <f t="shared" si="15"/>
        <v>417.38490000000002</v>
      </c>
      <c r="E85" s="14">
        <f t="shared" si="16"/>
        <v>388.17</v>
      </c>
      <c r="F85" s="14">
        <f t="shared" si="17"/>
        <v>6859</v>
      </c>
      <c r="G85" s="14">
        <f t="shared" si="18"/>
        <v>130321</v>
      </c>
      <c r="H85" s="14">
        <f t="shared" si="19"/>
        <v>7375.23</v>
      </c>
      <c r="I85" s="14">
        <f t="shared" si="20"/>
        <v>23.458191877900138</v>
      </c>
      <c r="J85" s="14">
        <f t="shared" si="21"/>
        <v>16.680417361111097</v>
      </c>
      <c r="K85" s="14">
        <f t="shared" si="22"/>
        <v>9.1699460493803642</v>
      </c>
      <c r="L85" s="5">
        <f t="shared" si="23"/>
        <v>42.25</v>
      </c>
      <c r="M85" s="21">
        <f t="shared" si="24"/>
        <v>0.14822280361723633</v>
      </c>
    </row>
    <row r="86" spans="1:14" ht="18.75" x14ac:dyDescent="0.3">
      <c r="A86" s="5">
        <v>20</v>
      </c>
      <c r="B86" s="14">
        <v>25.2</v>
      </c>
      <c r="C86" s="5">
        <f t="shared" si="14"/>
        <v>400</v>
      </c>
      <c r="D86" s="14">
        <f t="shared" si="15"/>
        <v>635.04</v>
      </c>
      <c r="E86" s="14">
        <f t="shared" si="16"/>
        <v>504</v>
      </c>
      <c r="F86" s="14">
        <f t="shared" si="17"/>
        <v>8000</v>
      </c>
      <c r="G86" s="14">
        <f t="shared" si="18"/>
        <v>160000</v>
      </c>
      <c r="H86" s="14">
        <f t="shared" si="19"/>
        <v>10080</v>
      </c>
      <c r="I86" s="14">
        <f t="shared" si="20"/>
        <v>24.595621707922714</v>
      </c>
      <c r="J86" s="14">
        <f t="shared" si="21"/>
        <v>78.396267361111072</v>
      </c>
      <c r="K86" s="14">
        <f t="shared" si="22"/>
        <v>0.36527311993425671</v>
      </c>
      <c r="L86" s="5">
        <f t="shared" si="23"/>
        <v>56.25</v>
      </c>
      <c r="M86" s="21">
        <f t="shared" si="24"/>
        <v>2.3983265558622444E-2</v>
      </c>
    </row>
    <row r="87" spans="1:14" ht="18.75" x14ac:dyDescent="0.3">
      <c r="A87" s="5">
        <v>21</v>
      </c>
      <c r="B87" s="14">
        <v>25.67</v>
      </c>
      <c r="C87" s="5">
        <f t="shared" si="14"/>
        <v>441</v>
      </c>
      <c r="D87" s="14">
        <f t="shared" si="15"/>
        <v>658.94890000000009</v>
      </c>
      <c r="E87" s="14">
        <f t="shared" si="16"/>
        <v>539.07000000000005</v>
      </c>
      <c r="F87" s="14">
        <f t="shared" si="17"/>
        <v>9261</v>
      </c>
      <c r="G87" s="14">
        <f t="shared" si="18"/>
        <v>194481</v>
      </c>
      <c r="H87" s="14">
        <f t="shared" si="19"/>
        <v>11320.470000000001</v>
      </c>
      <c r="I87" s="14">
        <f t="shared" si="20"/>
        <v>25.735615305487617</v>
      </c>
      <c r="J87" s="14">
        <f t="shared" si="21"/>
        <v>86.940084027777772</v>
      </c>
      <c r="K87" s="14">
        <f t="shared" si="22"/>
        <v>4.3053683142330341E-3</v>
      </c>
      <c r="L87" s="5">
        <f t="shared" si="23"/>
        <v>72.25</v>
      </c>
      <c r="M87" s="21">
        <f t="shared" si="24"/>
        <v>2.5561085113991024E-3</v>
      </c>
    </row>
    <row r="88" spans="1:14" ht="18.75" x14ac:dyDescent="0.3">
      <c r="A88" s="5">
        <v>22</v>
      </c>
      <c r="B88" s="14">
        <v>29.79</v>
      </c>
      <c r="C88" s="5">
        <f t="shared" si="14"/>
        <v>484</v>
      </c>
      <c r="D88" s="14">
        <f t="shared" si="15"/>
        <v>887.44409999999993</v>
      </c>
      <c r="E88" s="14">
        <f t="shared" si="16"/>
        <v>655.38</v>
      </c>
      <c r="F88" s="14">
        <f t="shared" si="17"/>
        <v>10648</v>
      </c>
      <c r="G88" s="14">
        <f t="shared" si="18"/>
        <v>234256</v>
      </c>
      <c r="H88" s="14">
        <f t="shared" si="19"/>
        <v>14418.359999999999</v>
      </c>
      <c r="I88" s="14">
        <f t="shared" si="20"/>
        <v>26.87817267059485</v>
      </c>
      <c r="J88" s="14">
        <f t="shared" si="21"/>
        <v>180.74561736111104</v>
      </c>
      <c r="K88" s="14">
        <f t="shared" si="22"/>
        <v>8.4787383962707228</v>
      </c>
      <c r="L88" s="5">
        <f t="shared" si="23"/>
        <v>90.25</v>
      </c>
      <c r="M88" s="21">
        <f t="shared" si="24"/>
        <v>9.7745126868249391E-2</v>
      </c>
    </row>
    <row r="89" spans="1:14" ht="18.75" x14ac:dyDescent="0.3">
      <c r="A89" s="5">
        <v>23</v>
      </c>
      <c r="B89" s="14">
        <v>28.56</v>
      </c>
      <c r="C89" s="5">
        <f t="shared" si="14"/>
        <v>529</v>
      </c>
      <c r="D89" s="14">
        <f t="shared" si="15"/>
        <v>815.67359999999996</v>
      </c>
      <c r="E89" s="14">
        <f t="shared" si="16"/>
        <v>656.88</v>
      </c>
      <c r="F89" s="14">
        <f t="shared" si="17"/>
        <v>12167</v>
      </c>
      <c r="G89" s="14">
        <f t="shared" si="18"/>
        <v>279841</v>
      </c>
      <c r="H89" s="14">
        <f t="shared" si="19"/>
        <v>15108.24</v>
      </c>
      <c r="I89" s="14">
        <f t="shared" si="20"/>
        <v>28.02329380324441</v>
      </c>
      <c r="J89" s="14">
        <f t="shared" si="21"/>
        <v>149.18586736111104</v>
      </c>
      <c r="K89" s="14">
        <f t="shared" si="22"/>
        <v>0.28805354163584834</v>
      </c>
      <c r="L89" s="5">
        <f t="shared" si="23"/>
        <v>110.25</v>
      </c>
      <c r="M89" s="21">
        <f t="shared" si="24"/>
        <v>1.8792233779957576E-2</v>
      </c>
    </row>
    <row r="90" spans="1:14" ht="18.75" x14ac:dyDescent="0.3">
      <c r="A90" s="5">
        <v>24</v>
      </c>
      <c r="B90" s="14">
        <v>29.03</v>
      </c>
      <c r="C90" s="5">
        <f t="shared" si="14"/>
        <v>576</v>
      </c>
      <c r="D90" s="14">
        <f t="shared" si="15"/>
        <v>842.74090000000001</v>
      </c>
      <c r="E90" s="14">
        <f t="shared" si="16"/>
        <v>696.72</v>
      </c>
      <c r="F90" s="14">
        <f>A90^3</f>
        <v>13824</v>
      </c>
      <c r="G90" s="14">
        <f t="shared" si="18"/>
        <v>331776</v>
      </c>
      <c r="H90" s="14">
        <f t="shared" si="19"/>
        <v>16721.28</v>
      </c>
      <c r="I90" s="14">
        <f t="shared" si="20"/>
        <v>29.170978703436298</v>
      </c>
      <c r="J90" s="14">
        <f t="shared" si="21"/>
        <v>160.88808402777775</v>
      </c>
      <c r="K90" s="14">
        <f t="shared" si="22"/>
        <v>1.9874994822579203E-2</v>
      </c>
      <c r="L90" s="5">
        <f t="shared" si="23"/>
        <v>132.25</v>
      </c>
      <c r="M90" s="21">
        <f>ABS(B90-I90)/B90</f>
        <v>4.8563108314259853E-3</v>
      </c>
    </row>
    <row r="91" spans="1:14" ht="18.75" x14ac:dyDescent="0.3">
      <c r="A91" s="5">
        <f>SUM(A67:A90)</f>
        <v>300</v>
      </c>
      <c r="B91" s="5">
        <f t="shared" ref="B91:E91" si="25">SUM(B67:B90)</f>
        <v>392.30000000000007</v>
      </c>
      <c r="C91" s="5">
        <f t="shared" si="25"/>
        <v>4900</v>
      </c>
      <c r="D91" s="5">
        <f t="shared" si="25"/>
        <v>7839.7969999999996</v>
      </c>
      <c r="E91" s="5">
        <f t="shared" si="25"/>
        <v>6144.05</v>
      </c>
      <c r="F91" s="14">
        <f t="shared" ref="F91:M91" si="26">SUM(F67:F90)</f>
        <v>90000</v>
      </c>
      <c r="G91" s="14">
        <f t="shared" si="26"/>
        <v>1763020</v>
      </c>
      <c r="H91" s="14">
        <f t="shared" si="26"/>
        <v>111566.55</v>
      </c>
      <c r="I91" s="14">
        <f t="shared" si="26"/>
        <v>388.53152193518275</v>
      </c>
      <c r="J91" s="14">
        <f t="shared" si="26"/>
        <v>1427.3265833333332</v>
      </c>
      <c r="K91" s="14">
        <f t="shared" si="26"/>
        <v>91.038614486646068</v>
      </c>
      <c r="L91" s="14">
        <f t="shared" si="26"/>
        <v>1150</v>
      </c>
      <c r="M91" s="14">
        <f t="shared" si="26"/>
        <v>2.5840978882099428</v>
      </c>
      <c r="N91" s="5" t="s">
        <v>43</v>
      </c>
    </row>
    <row r="92" spans="1:14" ht="18.75" x14ac:dyDescent="0.3">
      <c r="A92" s="5">
        <f>AVERAGE(A67:A90)</f>
        <v>12.5</v>
      </c>
      <c r="B92" s="14">
        <f t="shared" ref="B92:E92" si="27">AVERAGE(B67:B90)</f>
        <v>16.345833333333335</v>
      </c>
      <c r="C92" s="14">
        <f t="shared" si="27"/>
        <v>204.16666666666666</v>
      </c>
      <c r="D92" s="14">
        <f t="shared" si="27"/>
        <v>326.65820833333333</v>
      </c>
      <c r="E92" s="14">
        <f t="shared" si="27"/>
        <v>256.00208333333336</v>
      </c>
      <c r="F92" s="14">
        <f t="shared" ref="F92" si="28">AVERAGE(F67:F90)</f>
        <v>3750</v>
      </c>
      <c r="G92" s="14">
        <f t="shared" ref="G92:H92" si="29">AVERAGE(G67:G90)</f>
        <v>73459.166666666672</v>
      </c>
      <c r="H92" s="14">
        <f t="shared" si="29"/>
        <v>4648.6062499999998</v>
      </c>
      <c r="I92" s="14">
        <f t="shared" ref="I92" si="30">AVERAGE(I67:I90)</f>
        <v>16.188813413965949</v>
      </c>
      <c r="J92" s="14">
        <f t="shared" ref="J92" si="31">AVERAGE(J67:J90)</f>
        <v>59.471940972222221</v>
      </c>
      <c r="K92" s="14">
        <f>AVERAGE(K67:K90)</f>
        <v>3.7932756036102528</v>
      </c>
      <c r="L92" s="14">
        <f t="shared" ref="L92" si="32">AVERAGE(L67:L90)</f>
        <v>47.916666666666664</v>
      </c>
      <c r="M92" s="14">
        <f>AVERAGE(M67:M90)</f>
        <v>0.10767074534208095</v>
      </c>
      <c r="N92" s="5" t="s">
        <v>44</v>
      </c>
    </row>
    <row r="94" spans="1:14" ht="18.75" x14ac:dyDescent="0.3">
      <c r="A94" s="22" t="s">
        <v>39</v>
      </c>
      <c r="B94" s="23">
        <v>2.3341409405136373</v>
      </c>
      <c r="C94" s="24">
        <f>B94*B99+B95*A91+B96*D91</f>
        <v>392.30000000000013</v>
      </c>
      <c r="D94" s="24">
        <f>B91</f>
        <v>392.30000000000007</v>
      </c>
      <c r="F94" s="48" t="s">
        <v>47</v>
      </c>
      <c r="G94" s="48"/>
      <c r="H94" s="27">
        <f>M92</f>
        <v>0.10767074534208095</v>
      </c>
    </row>
    <row r="95" spans="1:14" ht="18.75" x14ac:dyDescent="0.3">
      <c r="A95" s="22" t="s">
        <v>38</v>
      </c>
      <c r="B95" s="23">
        <v>1.0874363629471688</v>
      </c>
      <c r="C95" s="24">
        <f>B94*A91+B95*C91+B96*F91</f>
        <v>6144.0500000000011</v>
      </c>
      <c r="D95" s="24">
        <f>E91</f>
        <v>6144.05</v>
      </c>
      <c r="F95" s="48"/>
      <c r="G95" s="48"/>
      <c r="H95" s="28">
        <f>1-(K92/J92)</f>
        <v>0.93621739022471129</v>
      </c>
    </row>
    <row r="96" spans="1:14" ht="18.75" x14ac:dyDescent="0.3">
      <c r="A96" s="22" t="s">
        <v>46</v>
      </c>
      <c r="B96" s="23">
        <v>1.2818837711642481E-3</v>
      </c>
      <c r="C96" s="24">
        <f>B94*C91+B95*F91+B96*G91</f>
        <v>111566.55000000002</v>
      </c>
      <c r="D96" s="24">
        <f>H91</f>
        <v>111566.55</v>
      </c>
      <c r="F96" s="48" t="s">
        <v>48</v>
      </c>
      <c r="G96" s="48" t="s">
        <v>48</v>
      </c>
      <c r="H96" s="27">
        <f>SQRT((J91-K91)/J91)</f>
        <v>0.96758327301825098</v>
      </c>
    </row>
    <row r="97" spans="1:13" ht="18.75" x14ac:dyDescent="0.3">
      <c r="A97" s="23" t="s">
        <v>40</v>
      </c>
      <c r="B97" s="23">
        <v>2</v>
      </c>
      <c r="F97" s="48" t="s">
        <v>49</v>
      </c>
      <c r="G97" s="48" t="s">
        <v>49</v>
      </c>
      <c r="H97" s="29">
        <f>(H96/(1-H96))*(B98/B97)</f>
        <v>313.40685234544549</v>
      </c>
    </row>
    <row r="98" spans="1:13" ht="18.75" x14ac:dyDescent="0.3">
      <c r="A98" s="23" t="s">
        <v>41</v>
      </c>
      <c r="B98" s="23">
        <f>B99-B97-1</f>
        <v>21</v>
      </c>
      <c r="F98" s="48" t="s">
        <v>50</v>
      </c>
      <c r="G98" s="48" t="s">
        <v>50</v>
      </c>
      <c r="H98" s="29">
        <f>FINV(0.05,B97,B98)</f>
        <v>3.4668001115424172</v>
      </c>
    </row>
    <row r="99" spans="1:13" ht="37.5" x14ac:dyDescent="0.3">
      <c r="A99" s="26" t="s">
        <v>42</v>
      </c>
      <c r="B99" s="23">
        <v>24</v>
      </c>
      <c r="F99" s="25"/>
      <c r="G99" s="25"/>
    </row>
    <row r="101" spans="1:13" x14ac:dyDescent="0.25">
      <c r="A101" s="30"/>
      <c r="B101" s="32">
        <f>K91/B98</f>
        <v>4.3351721184117178</v>
      </c>
      <c r="C101" s="31" t="s">
        <v>54</v>
      </c>
      <c r="D101" s="32">
        <f>TINV(0.025,B98)</f>
        <v>2.4138450165989993</v>
      </c>
    </row>
    <row r="102" spans="1:13" x14ac:dyDescent="0.25">
      <c r="A102" s="31" t="s">
        <v>51</v>
      </c>
      <c r="B102" s="32">
        <f>SQRT(B101)</f>
        <v>2.0821076145126884</v>
      </c>
      <c r="C102" s="30"/>
      <c r="D102" s="30"/>
    </row>
    <row r="103" spans="1:13" x14ac:dyDescent="0.25">
      <c r="A103" s="31" t="s">
        <v>52</v>
      </c>
      <c r="B103" s="31">
        <v>25</v>
      </c>
      <c r="C103" s="31" t="s">
        <v>55</v>
      </c>
      <c r="D103" s="33">
        <f>D$101*B$102*SQRT(1+1/B$99+(3*POWER(B$99+2-1,2))/($B$99*(B$99*B$99-1)))</f>
        <v>5.4538061109904152</v>
      </c>
      <c r="E103" s="31" t="s">
        <v>56</v>
      </c>
      <c r="F103" s="32">
        <f>B96*POWER(B103,2)+B103*B95+B94</f>
        <v>30.321227371170512</v>
      </c>
      <c r="G103" s="34" t="s">
        <v>58</v>
      </c>
      <c r="H103" s="35">
        <f>F103-D103</f>
        <v>24.867421260180095</v>
      </c>
      <c r="I103" s="36" t="s">
        <v>61</v>
      </c>
      <c r="J103" s="37">
        <f>F103+D103</f>
        <v>35.775033482160929</v>
      </c>
    </row>
    <row r="104" spans="1:13" x14ac:dyDescent="0.25">
      <c r="A104" s="31" t="s">
        <v>53</v>
      </c>
      <c r="B104" s="31">
        <v>26</v>
      </c>
      <c r="C104" s="31" t="s">
        <v>41</v>
      </c>
      <c r="D104" s="33">
        <f>D$101*B$102*SQRT(1+1/B$99+(3*POWER(B$99+4-1,2))/($B$99*(B$99*B$99-1)))</f>
        <v>5.5059137222921413</v>
      </c>
      <c r="E104" s="31" t="s">
        <v>57</v>
      </c>
      <c r="F104" s="32">
        <f>B96*POWER(B104,2)+B104*B95+B94</f>
        <v>31.47403980644706</v>
      </c>
      <c r="G104" s="34" t="s">
        <v>59</v>
      </c>
      <c r="H104" s="35">
        <f>F104-D104</f>
        <v>25.968126084154918</v>
      </c>
      <c r="I104" s="36" t="s">
        <v>60</v>
      </c>
      <c r="J104" s="37">
        <f>F104+D104</f>
        <v>36.979953528739202</v>
      </c>
    </row>
    <row r="107" spans="1:13" x14ac:dyDescent="0.25">
      <c r="A107" s="49" t="s">
        <v>62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</row>
    <row r="108" spans="1:13" ht="39.75" customHeight="1" x14ac:dyDescent="0.3">
      <c r="A108" s="19" t="s">
        <v>0</v>
      </c>
      <c r="B108" s="19" t="s">
        <v>1</v>
      </c>
      <c r="C108" s="19" t="s">
        <v>63</v>
      </c>
      <c r="D108" s="19"/>
      <c r="E108" s="19"/>
      <c r="F108" s="19" t="s">
        <v>36</v>
      </c>
      <c r="G108" s="19" t="s">
        <v>37</v>
      </c>
      <c r="H108" s="19"/>
      <c r="I108" s="19"/>
      <c r="J108" s="13"/>
      <c r="K108" s="13"/>
    </row>
    <row r="109" spans="1:13" ht="18.75" x14ac:dyDescent="0.3">
      <c r="A109" s="5">
        <v>1</v>
      </c>
      <c r="B109" s="5">
        <v>6.27</v>
      </c>
      <c r="C109" s="14">
        <f>LN(B109)</f>
        <v>1.8357763546448294</v>
      </c>
      <c r="D109" s="38">
        <f>A109^2</f>
        <v>1</v>
      </c>
      <c r="E109" s="38">
        <f>C109^2</f>
        <v>3.3700748242730585</v>
      </c>
      <c r="F109" s="39">
        <f>A109*C109</f>
        <v>1.8357763546448294</v>
      </c>
      <c r="G109" s="39">
        <f>LN(B$137*EXP(B$138*A109))</f>
        <v>0.61092087157827968</v>
      </c>
      <c r="H109" s="39">
        <f>POWER(C109-C$134,2)</f>
        <v>0.67562558246436444</v>
      </c>
      <c r="I109" s="39">
        <f>POWER(C109-G109,2)</f>
        <v>1.5002709543981907</v>
      </c>
      <c r="J109" s="20">
        <f>(A109-A$134)^2</f>
        <v>132.25</v>
      </c>
      <c r="K109" s="39">
        <f>ABS(C109-G109)/C109</f>
        <v>0.66721389017101951</v>
      </c>
    </row>
    <row r="110" spans="1:13" ht="18.75" x14ac:dyDescent="0.3">
      <c r="A110" s="5">
        <v>2</v>
      </c>
      <c r="B110" s="5">
        <v>3.7399999999999998</v>
      </c>
      <c r="C110" s="14">
        <f t="shared" ref="C110:C132" si="33">LN(B110)</f>
        <v>1.3190856114264404</v>
      </c>
      <c r="D110" s="38">
        <f t="shared" ref="D110:D132" si="34">A110^2</f>
        <v>4</v>
      </c>
      <c r="E110" s="38">
        <f t="shared" ref="E110:E132" si="35">C110^2</f>
        <v>1.7399868502722662</v>
      </c>
      <c r="F110" s="39">
        <f t="shared" ref="F110:F132" si="36">A110*C110</f>
        <v>2.6381712228528809</v>
      </c>
      <c r="G110" s="39">
        <f t="shared" ref="G110:G132" si="37">LN(B$137*EXP(B$138*A110))</f>
        <v>0.6869604983038694</v>
      </c>
      <c r="H110" s="39">
        <f t="shared" ref="H110:H132" si="38">POWER(C110-C$134,2)</f>
        <v>1.7919977676980374</v>
      </c>
      <c r="I110" s="39">
        <f t="shared" ref="I110:I132" si="39">POWER(C110-G110,2)</f>
        <v>0.39958215864022323</v>
      </c>
      <c r="J110" s="20">
        <f t="shared" ref="J110:J132" si="40">(A110-A$134)^2</f>
        <v>110.25</v>
      </c>
      <c r="K110" s="39">
        <f t="shared" ref="K110:K132" si="41">ABS(C110-G110)/C110</f>
        <v>0.47921462234661172</v>
      </c>
    </row>
    <row r="111" spans="1:13" ht="18.75" x14ac:dyDescent="0.3">
      <c r="A111" s="5">
        <v>3</v>
      </c>
      <c r="B111" s="5">
        <v>5.51</v>
      </c>
      <c r="C111" s="14">
        <f t="shared" si="33"/>
        <v>1.706564623164823</v>
      </c>
      <c r="D111" s="38">
        <f t="shared" si="34"/>
        <v>9</v>
      </c>
      <c r="E111" s="38">
        <f t="shared" si="35"/>
        <v>2.9123628130376944</v>
      </c>
      <c r="F111" s="39">
        <f t="shared" si="36"/>
        <v>5.1196938694944691</v>
      </c>
      <c r="G111" s="39">
        <f t="shared" si="37"/>
        <v>0.76300012502945913</v>
      </c>
      <c r="H111" s="39">
        <f t="shared" si="38"/>
        <v>0.90473615760838277</v>
      </c>
      <c r="I111" s="39">
        <f t="shared" si="39"/>
        <v>0.89031396214144121</v>
      </c>
      <c r="J111" s="20">
        <f t="shared" si="40"/>
        <v>90.25</v>
      </c>
      <c r="K111" s="39">
        <f t="shared" si="41"/>
        <v>0.55290288180562663</v>
      </c>
    </row>
    <row r="112" spans="1:13" ht="18.75" x14ac:dyDescent="0.3">
      <c r="A112" s="5">
        <v>4</v>
      </c>
      <c r="B112" s="5">
        <v>9.629999999999999</v>
      </c>
      <c r="C112" s="14">
        <f t="shared" si="33"/>
        <v>2.264883225810034</v>
      </c>
      <c r="D112" s="38">
        <f t="shared" si="34"/>
        <v>16</v>
      </c>
      <c r="E112" s="38">
        <f t="shared" si="35"/>
        <v>5.1296960265556653</v>
      </c>
      <c r="F112" s="39">
        <f t="shared" si="36"/>
        <v>9.0595329032401359</v>
      </c>
      <c r="G112" s="39">
        <f t="shared" si="37"/>
        <v>0.83903975175504875</v>
      </c>
      <c r="H112" s="39">
        <f t="shared" si="38"/>
        <v>0.15433708938812596</v>
      </c>
      <c r="I112" s="39">
        <f t="shared" si="39"/>
        <v>2.0330296125051892</v>
      </c>
      <c r="J112" s="20">
        <f t="shared" si="40"/>
        <v>72.25</v>
      </c>
      <c r="K112" s="39">
        <f t="shared" si="41"/>
        <v>0.62954392429880501</v>
      </c>
    </row>
    <row r="113" spans="1:11" ht="18.75" x14ac:dyDescent="0.3">
      <c r="A113" s="5">
        <v>5</v>
      </c>
      <c r="B113" s="5">
        <v>7.1</v>
      </c>
      <c r="C113" s="14">
        <f t="shared" si="33"/>
        <v>1.9600947840472698</v>
      </c>
      <c r="D113" s="38">
        <f t="shared" si="34"/>
        <v>25</v>
      </c>
      <c r="E113" s="38">
        <f t="shared" si="35"/>
        <v>3.8419715624493129</v>
      </c>
      <c r="F113" s="39">
        <f t="shared" si="36"/>
        <v>9.8004739202363496</v>
      </c>
      <c r="G113" s="39">
        <f t="shared" si="37"/>
        <v>0.91507937848063869</v>
      </c>
      <c r="H113" s="39">
        <f t="shared" si="38"/>
        <v>0.48670999161445166</v>
      </c>
      <c r="I113" s="39">
        <f t="shared" si="39"/>
        <v>1.0920571978715907</v>
      </c>
      <c r="J113" s="20">
        <f t="shared" si="40"/>
        <v>56.25</v>
      </c>
      <c r="K113" s="39">
        <f t="shared" si="41"/>
        <v>0.53314534280268233</v>
      </c>
    </row>
    <row r="114" spans="1:11" ht="18.75" x14ac:dyDescent="0.3">
      <c r="A114" s="5">
        <v>6</v>
      </c>
      <c r="B114" s="5">
        <v>8.870000000000001</v>
      </c>
      <c r="C114" s="14">
        <f t="shared" si="33"/>
        <v>2.1826747963214883</v>
      </c>
      <c r="D114" s="38">
        <f t="shared" si="34"/>
        <v>36</v>
      </c>
      <c r="E114" s="38">
        <f t="shared" si="35"/>
        <v>4.7640692664970503</v>
      </c>
      <c r="F114" s="39">
        <f t="shared" si="36"/>
        <v>13.09604877792893</v>
      </c>
      <c r="G114" s="39">
        <f t="shared" si="37"/>
        <v>0.9911190052062282</v>
      </c>
      <c r="H114" s="39">
        <f t="shared" si="38"/>
        <v>0.22568772694488776</v>
      </c>
      <c r="I114" s="39">
        <f t="shared" si="39"/>
        <v>1.4198052033403135</v>
      </c>
      <c r="J114" s="20">
        <f t="shared" si="40"/>
        <v>42.25</v>
      </c>
      <c r="K114" s="39">
        <f t="shared" si="41"/>
        <v>0.54591540302907993</v>
      </c>
    </row>
    <row r="115" spans="1:11" ht="18.75" x14ac:dyDescent="0.3">
      <c r="A115" s="5">
        <v>7</v>
      </c>
      <c r="B115" s="5">
        <v>9.34</v>
      </c>
      <c r="C115" s="14">
        <f t="shared" si="33"/>
        <v>2.2343062522407511</v>
      </c>
      <c r="D115" s="38">
        <f t="shared" si="34"/>
        <v>49</v>
      </c>
      <c r="E115" s="38">
        <f t="shared" si="35"/>
        <v>4.9921244288021107</v>
      </c>
      <c r="F115" s="39">
        <f t="shared" si="36"/>
        <v>15.640143765685258</v>
      </c>
      <c r="G115" s="39">
        <f t="shared" si="37"/>
        <v>1.0671586319318178</v>
      </c>
      <c r="H115" s="39">
        <f t="shared" si="38"/>
        <v>0.17929683325472831</v>
      </c>
      <c r="I115" s="39">
        <f t="shared" si="39"/>
        <v>1.3622335675928059</v>
      </c>
      <c r="J115" s="20">
        <f t="shared" si="40"/>
        <v>30.25</v>
      </c>
      <c r="K115" s="39">
        <f t="shared" si="41"/>
        <v>0.52237584670338677</v>
      </c>
    </row>
    <row r="116" spans="1:11" ht="18.75" x14ac:dyDescent="0.3">
      <c r="A116" s="5">
        <v>8</v>
      </c>
      <c r="B116" s="5">
        <v>14.11</v>
      </c>
      <c r="C116" s="14">
        <f t="shared" si="33"/>
        <v>2.6468837658647226</v>
      </c>
      <c r="D116" s="38">
        <f t="shared" si="34"/>
        <v>64</v>
      </c>
      <c r="E116" s="38">
        <f t="shared" si="35"/>
        <v>7.0059936699982162</v>
      </c>
      <c r="F116" s="39">
        <f t="shared" si="36"/>
        <v>21.175070126917781</v>
      </c>
      <c r="G116" s="39">
        <f t="shared" si="37"/>
        <v>1.1431982586574077</v>
      </c>
      <c r="H116" s="39">
        <f t="shared" si="38"/>
        <v>1.1787562658004911E-4</v>
      </c>
      <c r="I116" s="39">
        <f t="shared" si="39"/>
        <v>2.2610701045853201</v>
      </c>
      <c r="J116" s="20">
        <f t="shared" si="40"/>
        <v>20.25</v>
      </c>
      <c r="K116" s="39">
        <f t="shared" si="41"/>
        <v>0.56809653925852277</v>
      </c>
    </row>
    <row r="117" spans="1:11" ht="18.75" x14ac:dyDescent="0.3">
      <c r="A117" s="5">
        <v>9</v>
      </c>
      <c r="B117" s="5">
        <v>12.230000000000002</v>
      </c>
      <c r="C117" s="14">
        <f t="shared" si="33"/>
        <v>2.503891949699081</v>
      </c>
      <c r="D117" s="38">
        <f t="shared" si="34"/>
        <v>81</v>
      </c>
      <c r="E117" s="38">
        <f t="shared" si="35"/>
        <v>6.269474895767865</v>
      </c>
      <c r="F117" s="39">
        <f t="shared" si="36"/>
        <v>22.53502754729173</v>
      </c>
      <c r="G117" s="39">
        <f t="shared" si="37"/>
        <v>1.2192378853829973</v>
      </c>
      <c r="H117" s="39">
        <f t="shared" si="38"/>
        <v>2.3669474922395944E-2</v>
      </c>
      <c r="I117" s="39">
        <f t="shared" si="39"/>
        <v>1.6503360649638326</v>
      </c>
      <c r="J117" s="20">
        <f t="shared" si="40"/>
        <v>12.25</v>
      </c>
      <c r="K117" s="39">
        <f t="shared" si="41"/>
        <v>0.51306289972715247</v>
      </c>
    </row>
    <row r="118" spans="1:11" ht="18.75" x14ac:dyDescent="0.3">
      <c r="A118" s="5">
        <v>10</v>
      </c>
      <c r="B118" s="5">
        <v>13.350000000000001</v>
      </c>
      <c r="C118" s="14">
        <f t="shared" si="33"/>
        <v>2.5915163848462588</v>
      </c>
      <c r="D118" s="38">
        <f t="shared" si="34"/>
        <v>100</v>
      </c>
      <c r="E118" s="38">
        <f t="shared" si="35"/>
        <v>6.7159571729266228</v>
      </c>
      <c r="F118" s="39">
        <f t="shared" si="36"/>
        <v>25.915163848462587</v>
      </c>
      <c r="G118" s="39">
        <f t="shared" si="37"/>
        <v>1.2952775121085871</v>
      </c>
      <c r="H118" s="39">
        <f t="shared" si="38"/>
        <v>4.3856758241419885E-3</v>
      </c>
      <c r="I118" s="39">
        <f t="shared" si="39"/>
        <v>1.6802352151962299</v>
      </c>
      <c r="J118" s="20">
        <f t="shared" si="40"/>
        <v>6.25</v>
      </c>
      <c r="K118" s="39">
        <f t="shared" si="41"/>
        <v>0.50018548225948056</v>
      </c>
    </row>
    <row r="119" spans="1:11" ht="18.75" x14ac:dyDescent="0.3">
      <c r="A119" s="5">
        <v>11</v>
      </c>
      <c r="B119" s="5">
        <v>11.47</v>
      </c>
      <c r="C119" s="14">
        <f t="shared" si="33"/>
        <v>2.4397349311412793</v>
      </c>
      <c r="D119" s="38">
        <f t="shared" si="34"/>
        <v>121</v>
      </c>
      <c r="E119" s="38">
        <f t="shared" si="35"/>
        <v>5.9523065342309422</v>
      </c>
      <c r="F119" s="39">
        <f t="shared" si="36"/>
        <v>26.83708424255407</v>
      </c>
      <c r="G119" s="39">
        <f t="shared" si="37"/>
        <v>1.3713171388341769</v>
      </c>
      <c r="H119" s="39">
        <f t="shared" si="38"/>
        <v>4.7526567618920983E-2</v>
      </c>
      <c r="I119" s="39">
        <f t="shared" si="39"/>
        <v>1.1415165789183825</v>
      </c>
      <c r="J119" s="20">
        <f t="shared" si="40"/>
        <v>2.25</v>
      </c>
      <c r="K119" s="39">
        <f t="shared" si="41"/>
        <v>0.43792371813412906</v>
      </c>
    </row>
    <row r="120" spans="1:11" ht="18.75" x14ac:dyDescent="0.3">
      <c r="A120" s="5">
        <v>12</v>
      </c>
      <c r="B120" s="5">
        <v>14.94</v>
      </c>
      <c r="C120" s="14">
        <f t="shared" si="33"/>
        <v>2.7040421797046714</v>
      </c>
      <c r="D120" s="38">
        <f t="shared" si="34"/>
        <v>144</v>
      </c>
      <c r="E120" s="38">
        <f t="shared" si="35"/>
        <v>7.3118441096219904</v>
      </c>
      <c r="F120" s="39">
        <f t="shared" si="36"/>
        <v>32.448506156456055</v>
      </c>
      <c r="G120" s="39">
        <f t="shared" si="37"/>
        <v>1.4473567655597666</v>
      </c>
      <c r="H120" s="39">
        <f t="shared" si="38"/>
        <v>2.1438159016151292E-3</v>
      </c>
      <c r="I120" s="39">
        <f t="shared" si="39"/>
        <v>1.579258230124551</v>
      </c>
      <c r="J120" s="20">
        <f t="shared" si="40"/>
        <v>0.25</v>
      </c>
      <c r="K120" s="39">
        <f t="shared" si="41"/>
        <v>0.46474327345077021</v>
      </c>
    </row>
    <row r="121" spans="1:11" ht="18.75" x14ac:dyDescent="0.3">
      <c r="A121" s="5">
        <v>13</v>
      </c>
      <c r="B121" s="5">
        <v>16.71</v>
      </c>
      <c r="C121" s="14">
        <f t="shared" si="33"/>
        <v>2.8160073426073025</v>
      </c>
      <c r="D121" s="38">
        <f t="shared" si="34"/>
        <v>169</v>
      </c>
      <c r="E121" s="38">
        <f t="shared" si="35"/>
        <v>7.9298973536182409</v>
      </c>
      <c r="F121" s="39">
        <f t="shared" si="36"/>
        <v>36.608095453894933</v>
      </c>
      <c r="G121" s="39">
        <f t="shared" si="37"/>
        <v>1.5233963922853562</v>
      </c>
      <c r="H121" s="39">
        <f t="shared" si="38"/>
        <v>2.5048292147832982E-2</v>
      </c>
      <c r="I121" s="39">
        <f t="shared" si="39"/>
        <v>1.6708430688922051</v>
      </c>
      <c r="J121" s="20">
        <f t="shared" si="40"/>
        <v>0.25</v>
      </c>
      <c r="K121" s="39">
        <f t="shared" si="41"/>
        <v>0.45902257808927999</v>
      </c>
    </row>
    <row r="122" spans="1:11" ht="18.75" x14ac:dyDescent="0.3">
      <c r="A122" s="5">
        <v>14</v>
      </c>
      <c r="B122" s="5">
        <v>20.83</v>
      </c>
      <c r="C122" s="14">
        <f t="shared" si="33"/>
        <v>3.0363942552728806</v>
      </c>
      <c r="D122" s="38">
        <f t="shared" si="34"/>
        <v>196</v>
      </c>
      <c r="E122" s="38">
        <f t="shared" si="35"/>
        <v>9.2196900734541511</v>
      </c>
      <c r="F122" s="39">
        <f t="shared" si="36"/>
        <v>42.509519573820327</v>
      </c>
      <c r="G122" s="39">
        <f t="shared" si="37"/>
        <v>1.5994360190109458</v>
      </c>
      <c r="H122" s="39">
        <f t="shared" si="38"/>
        <v>0.14337842397128175</v>
      </c>
      <c r="I122" s="39">
        <f t="shared" si="39"/>
        <v>2.0648489727610104</v>
      </c>
      <c r="J122" s="20">
        <f t="shared" si="40"/>
        <v>2.25</v>
      </c>
      <c r="K122" s="39">
        <f t="shared" si="41"/>
        <v>0.47324494629331182</v>
      </c>
    </row>
    <row r="123" spans="1:11" ht="18.75" x14ac:dyDescent="0.3">
      <c r="A123" s="5">
        <v>15</v>
      </c>
      <c r="B123" s="5">
        <v>21.95</v>
      </c>
      <c r="C123" s="14">
        <f t="shared" si="33"/>
        <v>3.0887671395211802</v>
      </c>
      <c r="D123" s="38">
        <f t="shared" si="34"/>
        <v>225</v>
      </c>
      <c r="E123" s="38">
        <f t="shared" si="35"/>
        <v>9.5404824421858532</v>
      </c>
      <c r="F123" s="39">
        <f t="shared" si="36"/>
        <v>46.331507092817702</v>
      </c>
      <c r="G123" s="39">
        <f t="shared" si="37"/>
        <v>1.6754756457365356</v>
      </c>
      <c r="H123" s="39">
        <f t="shared" si="38"/>
        <v>0.18578368803725118</v>
      </c>
      <c r="I123" s="39">
        <f t="shared" si="39"/>
        <v>1.997392846404032</v>
      </c>
      <c r="J123" s="20">
        <f t="shared" si="40"/>
        <v>6.25</v>
      </c>
      <c r="K123" s="39">
        <f t="shared" si="41"/>
        <v>0.45755844644337046</v>
      </c>
    </row>
    <row r="124" spans="1:11" ht="18.75" x14ac:dyDescent="0.3">
      <c r="A124" s="5">
        <v>16</v>
      </c>
      <c r="B124" s="5">
        <v>17.07</v>
      </c>
      <c r="C124" s="14">
        <f t="shared" si="33"/>
        <v>2.837322536806349</v>
      </c>
      <c r="D124" s="38">
        <f t="shared" si="34"/>
        <v>256</v>
      </c>
      <c r="E124" s="38">
        <f t="shared" si="35"/>
        <v>8.0503991778692168</v>
      </c>
      <c r="F124" s="39">
        <f t="shared" si="36"/>
        <v>45.397160588901585</v>
      </c>
      <c r="G124" s="39">
        <f t="shared" si="37"/>
        <v>1.7515152724621252</v>
      </c>
      <c r="H124" s="39">
        <f t="shared" si="38"/>
        <v>3.2249592976650102E-2</v>
      </c>
      <c r="I124" s="39">
        <f t="shared" si="39"/>
        <v>1.1789774153026871</v>
      </c>
      <c r="J124" s="20">
        <f t="shared" si="40"/>
        <v>12.25</v>
      </c>
      <c r="K124" s="39">
        <f t="shared" si="41"/>
        <v>0.38268728713739869</v>
      </c>
    </row>
    <row r="125" spans="1:11" ht="18.75" x14ac:dyDescent="0.3">
      <c r="A125" s="5">
        <v>17</v>
      </c>
      <c r="B125" s="5">
        <v>21.19</v>
      </c>
      <c r="C125" s="14">
        <f t="shared" si="33"/>
        <v>3.0535293722802077</v>
      </c>
      <c r="D125" s="38">
        <f t="shared" si="34"/>
        <v>289</v>
      </c>
      <c r="E125" s="38">
        <f t="shared" si="35"/>
        <v>9.3240416273779587</v>
      </c>
      <c r="F125" s="39">
        <f t="shared" si="36"/>
        <v>51.909999328763533</v>
      </c>
      <c r="G125" s="39">
        <f t="shared" si="37"/>
        <v>1.8275548991877151</v>
      </c>
      <c r="H125" s="39">
        <f t="shared" si="38"/>
        <v>0.15664857804010227</v>
      </c>
      <c r="I125" s="39">
        <f t="shared" si="39"/>
        <v>1.5030134086744149</v>
      </c>
      <c r="J125" s="20">
        <f t="shared" si="40"/>
        <v>20.25</v>
      </c>
      <c r="K125" s="39">
        <f t="shared" si="41"/>
        <v>0.40149424604257283</v>
      </c>
    </row>
    <row r="126" spans="1:11" ht="18.75" x14ac:dyDescent="0.3">
      <c r="A126" s="5">
        <v>18</v>
      </c>
      <c r="B126" s="5">
        <v>19.309999999999999</v>
      </c>
      <c r="C126" s="14">
        <f t="shared" si="33"/>
        <v>2.9606230964404232</v>
      </c>
      <c r="D126" s="38">
        <f t="shared" si="34"/>
        <v>324</v>
      </c>
      <c r="E126" s="38">
        <f t="shared" si="35"/>
        <v>8.7652891191764795</v>
      </c>
      <c r="F126" s="39">
        <f t="shared" si="36"/>
        <v>53.291215735927615</v>
      </c>
      <c r="G126" s="39">
        <f t="shared" si="37"/>
        <v>1.9035945259133047</v>
      </c>
      <c r="H126" s="39">
        <f t="shared" si="38"/>
        <v>9.1737673323603219E-2</v>
      </c>
      <c r="I126" s="39">
        <f t="shared" si="39"/>
        <v>1.1173093989106035</v>
      </c>
      <c r="J126" s="20">
        <f t="shared" si="40"/>
        <v>30.25</v>
      </c>
      <c r="K126" s="39">
        <f t="shared" si="41"/>
        <v>0.35702909019320661</v>
      </c>
    </row>
    <row r="127" spans="1:11" ht="18.75" x14ac:dyDescent="0.3">
      <c r="A127" s="5">
        <v>19</v>
      </c>
      <c r="B127" s="5">
        <v>20.43</v>
      </c>
      <c r="C127" s="14">
        <f t="shared" si="33"/>
        <v>3.0170044088295307</v>
      </c>
      <c r="D127" s="38">
        <f t="shared" si="34"/>
        <v>361</v>
      </c>
      <c r="E127" s="38">
        <f t="shared" si="35"/>
        <v>9.1023156028968266</v>
      </c>
      <c r="F127" s="39">
        <f t="shared" si="36"/>
        <v>57.323083767761084</v>
      </c>
      <c r="G127" s="39">
        <f t="shared" si="37"/>
        <v>1.9796341526388945</v>
      </c>
      <c r="H127" s="39">
        <f t="shared" si="38"/>
        <v>0.12907032618972356</v>
      </c>
      <c r="I127" s="39">
        <f t="shared" si="39"/>
        <v>1.076137048429026</v>
      </c>
      <c r="J127" s="20">
        <f t="shared" si="40"/>
        <v>42.25</v>
      </c>
      <c r="K127" s="39">
        <f t="shared" si="41"/>
        <v>0.34384114691867212</v>
      </c>
    </row>
    <row r="128" spans="1:11" ht="18.75" x14ac:dyDescent="0.3">
      <c r="A128" s="5">
        <v>20</v>
      </c>
      <c r="B128" s="5">
        <v>25.2</v>
      </c>
      <c r="C128" s="14">
        <f t="shared" si="33"/>
        <v>3.2268439945173775</v>
      </c>
      <c r="D128" s="38">
        <f t="shared" si="34"/>
        <v>400</v>
      </c>
      <c r="E128" s="38">
        <f t="shared" si="35"/>
        <v>10.412522164952865</v>
      </c>
      <c r="F128" s="39">
        <f t="shared" si="36"/>
        <v>64.536879890347549</v>
      </c>
      <c r="G128" s="39">
        <f t="shared" si="37"/>
        <v>2.0556737793644841</v>
      </c>
      <c r="H128" s="39">
        <f t="shared" si="38"/>
        <v>0.32387842313653326</v>
      </c>
      <c r="I128" s="39">
        <f t="shared" si="39"/>
        <v>1.3716396728612745</v>
      </c>
      <c r="J128" s="20">
        <f t="shared" si="40"/>
        <v>56.25</v>
      </c>
      <c r="K128" s="39">
        <f t="shared" si="41"/>
        <v>0.36294602935338349</v>
      </c>
    </row>
    <row r="129" spans="1:13" ht="18.75" x14ac:dyDescent="0.3">
      <c r="A129" s="5">
        <v>21</v>
      </c>
      <c r="B129" s="5">
        <v>25.67</v>
      </c>
      <c r="C129" s="14">
        <f t="shared" si="33"/>
        <v>3.2453229948830491</v>
      </c>
      <c r="D129" s="38">
        <f t="shared" si="34"/>
        <v>441</v>
      </c>
      <c r="E129" s="38">
        <f t="shared" si="35"/>
        <v>10.532121341116683</v>
      </c>
      <c r="F129" s="39">
        <f t="shared" si="36"/>
        <v>68.151782892544034</v>
      </c>
      <c r="G129" s="39">
        <f t="shared" si="37"/>
        <v>2.131713406090074</v>
      </c>
      <c r="H129" s="39">
        <f t="shared" si="38"/>
        <v>0.34525281212752423</v>
      </c>
      <c r="I129" s="39">
        <f t="shared" si="39"/>
        <v>1.2401263162516591</v>
      </c>
      <c r="J129" s="20">
        <f t="shared" si="40"/>
        <v>72.25</v>
      </c>
      <c r="K129" s="39">
        <f t="shared" si="41"/>
        <v>0.34314291383286671</v>
      </c>
    </row>
    <row r="130" spans="1:13" ht="18.75" x14ac:dyDescent="0.3">
      <c r="A130" s="5">
        <v>22</v>
      </c>
      <c r="B130" s="5">
        <v>29.79</v>
      </c>
      <c r="C130" s="14">
        <f t="shared" si="33"/>
        <v>3.3941727667251911</v>
      </c>
      <c r="D130" s="38">
        <f t="shared" si="34"/>
        <v>484</v>
      </c>
      <c r="E130" s="38">
        <f t="shared" si="35"/>
        <v>11.520408770378939</v>
      </c>
      <c r="F130" s="39">
        <f t="shared" si="36"/>
        <v>74.671800867954204</v>
      </c>
      <c r="G130" s="39">
        <f t="shared" si="37"/>
        <v>2.2077530328156638</v>
      </c>
      <c r="H130" s="39">
        <f t="shared" si="38"/>
        <v>0.54233201201611736</v>
      </c>
      <c r="I130" s="39">
        <f t="shared" si="39"/>
        <v>1.4075917850099535</v>
      </c>
      <c r="J130" s="20">
        <f t="shared" si="40"/>
        <v>90.25</v>
      </c>
      <c r="K130" s="39">
        <f t="shared" si="41"/>
        <v>0.3495460648145568</v>
      </c>
    </row>
    <row r="131" spans="1:13" ht="18.75" x14ac:dyDescent="0.3">
      <c r="A131" s="5">
        <v>23</v>
      </c>
      <c r="B131" s="5">
        <v>28.56</v>
      </c>
      <c r="C131" s="14">
        <f t="shared" si="33"/>
        <v>3.3520071374713836</v>
      </c>
      <c r="D131" s="38">
        <f t="shared" si="34"/>
        <v>529</v>
      </c>
      <c r="E131" s="38">
        <f t="shared" si="35"/>
        <v>11.235951849659099</v>
      </c>
      <c r="F131" s="39">
        <f t="shared" si="36"/>
        <v>77.096164161841827</v>
      </c>
      <c r="G131" s="39">
        <f t="shared" si="37"/>
        <v>2.2837926595412532</v>
      </c>
      <c r="H131" s="39">
        <f t="shared" si="38"/>
        <v>0.48200571944203108</v>
      </c>
      <c r="I131" s="39">
        <f t="shared" si="39"/>
        <v>1.1410821708595409</v>
      </c>
      <c r="J131" s="20">
        <f t="shared" si="40"/>
        <v>110.25</v>
      </c>
      <c r="K131" s="39">
        <f t="shared" si="41"/>
        <v>0.31867905828385185</v>
      </c>
    </row>
    <row r="132" spans="1:13" ht="18.75" x14ac:dyDescent="0.3">
      <c r="A132" s="5">
        <v>24</v>
      </c>
      <c r="B132" s="5">
        <v>29.03</v>
      </c>
      <c r="C132" s="14">
        <f t="shared" si="33"/>
        <v>3.3683297780365384</v>
      </c>
      <c r="D132" s="38">
        <f t="shared" si="34"/>
        <v>576</v>
      </c>
      <c r="E132" s="38">
        <f t="shared" si="35"/>
        <v>11.345645493607677</v>
      </c>
      <c r="F132" s="39">
        <f t="shared" si="36"/>
        <v>80.839914672876915</v>
      </c>
      <c r="G132" s="39">
        <f t="shared" si="37"/>
        <v>2.359832286266843</v>
      </c>
      <c r="H132" s="39">
        <f t="shared" si="38"/>
        <v>0.50493666714707586</v>
      </c>
      <c r="I132" s="39">
        <f t="shared" si="39"/>
        <v>1.0170671909057669</v>
      </c>
      <c r="J132" s="20">
        <f t="shared" si="40"/>
        <v>132.25</v>
      </c>
      <c r="K132" s="39">
        <f t="shared" si="41"/>
        <v>0.29940580591178551</v>
      </c>
    </row>
    <row r="133" spans="1:13" ht="18.75" x14ac:dyDescent="0.3">
      <c r="A133" s="40">
        <f>SUM(A109:A132)</f>
        <v>300</v>
      </c>
      <c r="B133" s="40">
        <f t="shared" ref="B133:H133" si="42">SUM(B109:B132)</f>
        <v>392.30000000000007</v>
      </c>
      <c r="C133" s="41">
        <f t="shared" si="42"/>
        <v>63.785779682303058</v>
      </c>
      <c r="D133" s="40">
        <f t="shared" si="42"/>
        <v>4900</v>
      </c>
      <c r="E133" s="41">
        <f t="shared" si="42"/>
        <v>176.98462717072681</v>
      </c>
      <c r="F133" s="41">
        <f t="shared" si="42"/>
        <v>884.76781676321639</v>
      </c>
      <c r="G133" s="41">
        <f t="shared" si="42"/>
        <v>35.649037894141472</v>
      </c>
      <c r="H133" s="41">
        <f t="shared" si="42"/>
        <v>7.4585567674223583</v>
      </c>
      <c r="I133" s="41">
        <f>SUM(I109:I132)</f>
        <v>33.795738145540241</v>
      </c>
      <c r="J133" s="41">
        <f>SUM(J109:J132)</f>
        <v>1150</v>
      </c>
      <c r="K133" s="41">
        <f>SUM(K109:K132)</f>
        <v>10.962921437301523</v>
      </c>
      <c r="L133" s="42" t="s">
        <v>43</v>
      </c>
    </row>
    <row r="134" spans="1:13" ht="18.75" x14ac:dyDescent="0.3">
      <c r="A134" s="43">
        <f>AVERAGE(A109:A132)</f>
        <v>12.5</v>
      </c>
      <c r="B134" s="44">
        <f t="shared" ref="B134:D134" si="43">AVERAGE(B109:B132)</f>
        <v>16.345833333333335</v>
      </c>
      <c r="C134" s="44">
        <f t="shared" si="43"/>
        <v>2.6577408200959609</v>
      </c>
      <c r="D134" s="44">
        <f t="shared" si="43"/>
        <v>204.16666666666666</v>
      </c>
      <c r="E134" s="45">
        <f t="shared" ref="E134:K134" si="44">AVERAGE(E109:E132)</f>
        <v>7.3743594654469504</v>
      </c>
      <c r="F134" s="45">
        <f t="shared" si="44"/>
        <v>36.865325698467352</v>
      </c>
      <c r="G134" s="45">
        <f t="shared" si="44"/>
        <v>1.4853765789225613</v>
      </c>
      <c r="H134" s="44">
        <f t="shared" si="44"/>
        <v>0.31077319864259828</v>
      </c>
      <c r="I134" s="45">
        <f t="shared" si="44"/>
        <v>1.4081557560641766</v>
      </c>
      <c r="J134" s="45">
        <f t="shared" si="44"/>
        <v>47.916666666666664</v>
      </c>
      <c r="K134" s="44">
        <f t="shared" si="44"/>
        <v>0.45678839322089676</v>
      </c>
      <c r="L134" s="46" t="s">
        <v>44</v>
      </c>
    </row>
    <row r="137" spans="1:13" ht="18.75" x14ac:dyDescent="0.3">
      <c r="A137" s="22" t="s">
        <v>39</v>
      </c>
      <c r="B137" s="23">
        <f>C134-(B138*A134)</f>
        <v>1.7072454860260895</v>
      </c>
      <c r="C137" s="24">
        <f>EXP(B137)</f>
        <v>5.5137528318025009</v>
      </c>
      <c r="F137" s="48" t="s">
        <v>47</v>
      </c>
      <c r="G137" s="48"/>
      <c r="H137" s="27">
        <f>K134</f>
        <v>0.45678839322089676</v>
      </c>
    </row>
    <row r="138" spans="1:13" ht="18.75" x14ac:dyDescent="0.3">
      <c r="A138" s="22" t="s">
        <v>38</v>
      </c>
      <c r="B138" s="23">
        <f>(F134-(A134*C134))/(D134-A134^2)</f>
        <v>7.6039626725589712E-2</v>
      </c>
      <c r="C138" s="24">
        <f>B138</f>
        <v>7.6039626725589712E-2</v>
      </c>
      <c r="F138" s="48"/>
      <c r="G138" s="48"/>
      <c r="H138" s="28">
        <f>1-(H134/I134)</f>
        <v>0.7793048124795402</v>
      </c>
    </row>
    <row r="139" spans="1:13" ht="18.75" x14ac:dyDescent="0.3">
      <c r="A139" s="23" t="s">
        <v>40</v>
      </c>
      <c r="B139" s="47">
        <v>2</v>
      </c>
      <c r="F139" s="48" t="s">
        <v>48</v>
      </c>
      <c r="G139" s="48" t="s">
        <v>48</v>
      </c>
      <c r="H139" s="27">
        <f>SQRT((I133-H133)/I133)</f>
        <v>0.88278242646732619</v>
      </c>
    </row>
    <row r="140" spans="1:13" ht="18.75" x14ac:dyDescent="0.3">
      <c r="A140" s="23" t="s">
        <v>41</v>
      </c>
      <c r="B140" s="47">
        <f>B141-B139-1</f>
        <v>21</v>
      </c>
    </row>
    <row r="141" spans="1:13" ht="18.75" x14ac:dyDescent="0.3">
      <c r="A141" s="26" t="s">
        <v>20</v>
      </c>
      <c r="B141" s="47">
        <v>24</v>
      </c>
    </row>
    <row r="143" spans="1:13" x14ac:dyDescent="0.25">
      <c r="A143" s="49" t="s">
        <v>65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</row>
    <row r="144" spans="1:13" ht="40.5" customHeight="1" x14ac:dyDescent="0.25">
      <c r="A144" s="19" t="s">
        <v>0</v>
      </c>
      <c r="B144" s="19" t="s">
        <v>64</v>
      </c>
      <c r="C144" s="19" t="s">
        <v>1</v>
      </c>
      <c r="D144" s="19" t="s">
        <v>63</v>
      </c>
      <c r="E144" s="19"/>
      <c r="F144" s="19"/>
      <c r="G144" s="19" t="s">
        <v>36</v>
      </c>
      <c r="H144" s="19" t="s">
        <v>37</v>
      </c>
      <c r="I144" s="19"/>
      <c r="J144" s="19"/>
      <c r="K144" s="19"/>
      <c r="L144" s="19"/>
    </row>
    <row r="145" spans="1:12" ht="18.75" x14ac:dyDescent="0.3">
      <c r="A145" s="5">
        <v>1</v>
      </c>
      <c r="B145" s="5">
        <f>LN(A145)</f>
        <v>0</v>
      </c>
      <c r="C145" s="5">
        <v>6.27</v>
      </c>
      <c r="D145" s="14">
        <f>LN(C145)</f>
        <v>1.8357763546448294</v>
      </c>
      <c r="E145" s="5">
        <f>A145^2</f>
        <v>1</v>
      </c>
      <c r="F145" s="14">
        <f>D145^2</f>
        <v>3.3700748242730585</v>
      </c>
      <c r="G145" s="5">
        <f>B145*D145</f>
        <v>0</v>
      </c>
      <c r="H145" s="14">
        <f>LN(C$173*POWER(A145,C$174))</f>
        <v>2.6529152956087243</v>
      </c>
      <c r="I145" s="14">
        <f>POWER(D145-D$170,2)</f>
        <v>0.67562558246436444</v>
      </c>
      <c r="J145" s="14">
        <f>POWER(D145-H145,2)</f>
        <v>0.66771604883959579</v>
      </c>
      <c r="K145" s="5">
        <f>POWER(A145-A$170,2)</f>
        <v>132.25</v>
      </c>
      <c r="L145" s="14">
        <f>ABS(D145-H145)/D145</f>
        <v>0.44511900313804192</v>
      </c>
    </row>
    <row r="146" spans="1:12" ht="18.75" x14ac:dyDescent="0.3">
      <c r="A146" s="5">
        <v>2</v>
      </c>
      <c r="B146" s="14">
        <f t="shared" ref="B146:B168" si="45">LN(A146)</f>
        <v>0.69314718055994529</v>
      </c>
      <c r="C146" s="5">
        <v>3.7399999999999998</v>
      </c>
      <c r="D146" s="14">
        <f t="shared" ref="D146:D168" si="46">LN(C146)</f>
        <v>1.3190856114264404</v>
      </c>
      <c r="E146" s="5">
        <f t="shared" ref="E146:E168" si="47">A146^2</f>
        <v>4</v>
      </c>
      <c r="F146" s="14">
        <f t="shared" ref="F146:F168" si="48">D146^2</f>
        <v>1.7399868502722662</v>
      </c>
      <c r="G146" s="14">
        <f t="shared" ref="G146:G168" si="49">B146*D146</f>
        <v>0.91432047247742876</v>
      </c>
      <c r="H146" s="14">
        <f t="shared" ref="H146:H168" si="50">LN(C$173*POWER(A146,C$174))</f>
        <v>2.6543805792655966</v>
      </c>
      <c r="I146" s="14">
        <f t="shared" ref="I146:I168" si="51">POWER(D146-D$170,2)</f>
        <v>1.7919977676980374</v>
      </c>
      <c r="J146" s="14">
        <f t="shared" ref="J146:J168" si="52">POWER(D146-H146,2)</f>
        <v>1.7830126511365729</v>
      </c>
      <c r="K146" s="5">
        <f t="shared" ref="K146:K168" si="53">POWER(A146-A$170,2)</f>
        <v>110.25</v>
      </c>
      <c r="L146" s="14">
        <f t="shared" ref="L146:L168" si="54">ABS(D146-H146)/D146</f>
        <v>1.0122883278176213</v>
      </c>
    </row>
    <row r="147" spans="1:12" ht="18.75" x14ac:dyDescent="0.3">
      <c r="A147" s="5">
        <v>3</v>
      </c>
      <c r="B147" s="14">
        <f t="shared" si="45"/>
        <v>1.0986122886681098</v>
      </c>
      <c r="C147" s="5">
        <v>5.51</v>
      </c>
      <c r="D147" s="14">
        <f t="shared" si="46"/>
        <v>1.706564623164823</v>
      </c>
      <c r="E147" s="5">
        <f t="shared" si="47"/>
        <v>9</v>
      </c>
      <c r="F147" s="14">
        <f t="shared" si="48"/>
        <v>2.9123628130376944</v>
      </c>
      <c r="G147" s="14">
        <f t="shared" si="49"/>
        <v>1.8748528664151365</v>
      </c>
      <c r="H147" s="14">
        <f t="shared" si="50"/>
        <v>2.6552377152577864</v>
      </c>
      <c r="I147" s="14">
        <f t="shared" si="51"/>
        <v>0.90473615760838277</v>
      </c>
      <c r="J147" s="14">
        <f t="shared" si="52"/>
        <v>0.8999806356612241</v>
      </c>
      <c r="K147" s="5">
        <f t="shared" si="53"/>
        <v>90.25</v>
      </c>
      <c r="L147" s="14">
        <f t="shared" si="54"/>
        <v>0.55589637756210464</v>
      </c>
    </row>
    <row r="148" spans="1:12" ht="18.75" x14ac:dyDescent="0.3">
      <c r="A148" s="5">
        <v>4</v>
      </c>
      <c r="B148" s="14">
        <f t="shared" si="45"/>
        <v>1.3862943611198906</v>
      </c>
      <c r="C148" s="5">
        <v>9.629999999999999</v>
      </c>
      <c r="D148" s="14">
        <f t="shared" si="46"/>
        <v>2.264883225810034</v>
      </c>
      <c r="E148" s="5">
        <f t="shared" si="47"/>
        <v>16</v>
      </c>
      <c r="F148" s="14">
        <f t="shared" si="48"/>
        <v>5.1296960265556653</v>
      </c>
      <c r="G148" s="14">
        <f t="shared" si="49"/>
        <v>3.1397948445354777</v>
      </c>
      <c r="H148" s="14">
        <f t="shared" si="50"/>
        <v>2.6558458629224688</v>
      </c>
      <c r="I148" s="14">
        <f t="shared" si="51"/>
        <v>0.15433708938812596</v>
      </c>
      <c r="J148" s="14">
        <f t="shared" si="52"/>
        <v>0.15285178361790941</v>
      </c>
      <c r="K148" s="5">
        <f t="shared" si="53"/>
        <v>72.25</v>
      </c>
      <c r="L148" s="14">
        <f t="shared" si="54"/>
        <v>0.1726193353622491</v>
      </c>
    </row>
    <row r="149" spans="1:12" ht="18.75" x14ac:dyDescent="0.3">
      <c r="A149" s="5">
        <v>5</v>
      </c>
      <c r="B149" s="14">
        <f t="shared" si="45"/>
        <v>1.6094379124341003</v>
      </c>
      <c r="C149" s="5">
        <v>7.1</v>
      </c>
      <c r="D149" s="14">
        <f t="shared" si="46"/>
        <v>1.9600947840472698</v>
      </c>
      <c r="E149" s="5">
        <f t="shared" si="47"/>
        <v>25</v>
      </c>
      <c r="F149" s="14">
        <f t="shared" si="48"/>
        <v>3.8419715624493129</v>
      </c>
      <c r="G149" s="14">
        <f t="shared" si="49"/>
        <v>3.1546508574100063</v>
      </c>
      <c r="H149" s="14">
        <f t="shared" si="50"/>
        <v>2.6563175788985953</v>
      </c>
      <c r="I149" s="14">
        <f t="shared" si="51"/>
        <v>0.48670999161445166</v>
      </c>
      <c r="J149" s="14">
        <f t="shared" si="52"/>
        <v>0.48472618007059093</v>
      </c>
      <c r="K149" s="5">
        <f t="shared" si="53"/>
        <v>56.25</v>
      </c>
      <c r="L149" s="14">
        <f t="shared" si="54"/>
        <v>0.35519853453910083</v>
      </c>
    </row>
    <row r="150" spans="1:12" ht="18.75" x14ac:dyDescent="0.3">
      <c r="A150" s="5">
        <v>6</v>
      </c>
      <c r="B150" s="14">
        <f t="shared" si="45"/>
        <v>1.791759469228055</v>
      </c>
      <c r="C150" s="5">
        <v>8.870000000000001</v>
      </c>
      <c r="D150" s="14">
        <f t="shared" si="46"/>
        <v>2.1826747963214883</v>
      </c>
      <c r="E150" s="5">
        <f t="shared" si="47"/>
        <v>36</v>
      </c>
      <c r="F150" s="14">
        <f t="shared" si="48"/>
        <v>4.7640692664970503</v>
      </c>
      <c r="G150" s="14">
        <f t="shared" si="49"/>
        <v>3.910828234554443</v>
      </c>
      <c r="H150" s="14">
        <f t="shared" si="50"/>
        <v>2.6567029989146587</v>
      </c>
      <c r="I150" s="14">
        <f t="shared" si="51"/>
        <v>0.22568772694488776</v>
      </c>
      <c r="J150" s="14">
        <f t="shared" si="52"/>
        <v>0.22470273685371175</v>
      </c>
      <c r="K150" s="5">
        <f t="shared" si="53"/>
        <v>42.25</v>
      </c>
      <c r="L150" s="14">
        <f t="shared" si="54"/>
        <v>0.21717765898614896</v>
      </c>
    </row>
    <row r="151" spans="1:12" ht="18.75" x14ac:dyDescent="0.3">
      <c r="A151" s="5">
        <v>7</v>
      </c>
      <c r="B151" s="14">
        <f t="shared" si="45"/>
        <v>1.9459101490553132</v>
      </c>
      <c r="C151" s="5">
        <v>9.34</v>
      </c>
      <c r="D151" s="14">
        <f t="shared" si="46"/>
        <v>2.2343062522407511</v>
      </c>
      <c r="E151" s="5">
        <f t="shared" si="47"/>
        <v>49</v>
      </c>
      <c r="F151" s="14">
        <f t="shared" si="48"/>
        <v>4.9921244288021107</v>
      </c>
      <c r="G151" s="14">
        <f t="shared" si="49"/>
        <v>4.3477592123330187</v>
      </c>
      <c r="H151" s="14">
        <f t="shared" si="50"/>
        <v>2.6570288668950552</v>
      </c>
      <c r="I151" s="14">
        <f t="shared" si="51"/>
        <v>0.17929683325472831</v>
      </c>
      <c r="J151" s="14">
        <f t="shared" si="52"/>
        <v>0.17869440894017133</v>
      </c>
      <c r="K151" s="5">
        <f t="shared" si="53"/>
        <v>30.25</v>
      </c>
      <c r="L151" s="14">
        <f t="shared" si="54"/>
        <v>0.18919636206109267</v>
      </c>
    </row>
    <row r="152" spans="1:12" ht="18.75" x14ac:dyDescent="0.3">
      <c r="A152" s="5">
        <v>8</v>
      </c>
      <c r="B152" s="14">
        <f t="shared" si="45"/>
        <v>2.0794415416798357</v>
      </c>
      <c r="C152" s="5">
        <v>14.11</v>
      </c>
      <c r="D152" s="14">
        <f t="shared" si="46"/>
        <v>2.6468837658647226</v>
      </c>
      <c r="E152" s="5">
        <f t="shared" si="47"/>
        <v>64</v>
      </c>
      <c r="F152" s="14">
        <f t="shared" si="48"/>
        <v>7.0059936699982162</v>
      </c>
      <c r="G152" s="14">
        <f t="shared" si="49"/>
        <v>5.5040400587370684</v>
      </c>
      <c r="H152" s="14">
        <f t="shared" si="50"/>
        <v>2.6573111465793411</v>
      </c>
      <c r="I152" s="14">
        <f t="shared" si="51"/>
        <v>1.1787562658004911E-4</v>
      </c>
      <c r="J152" s="14">
        <f t="shared" si="52"/>
        <v>1.0873026856759702E-4</v>
      </c>
      <c r="K152" s="5">
        <f t="shared" si="53"/>
        <v>20.25</v>
      </c>
      <c r="L152" s="14">
        <f t="shared" si="54"/>
        <v>3.939493244506675E-3</v>
      </c>
    </row>
    <row r="153" spans="1:12" ht="18.75" x14ac:dyDescent="0.3">
      <c r="A153" s="5">
        <v>9</v>
      </c>
      <c r="B153" s="14">
        <f t="shared" si="45"/>
        <v>2.1972245773362196</v>
      </c>
      <c r="C153" s="5">
        <v>12.230000000000002</v>
      </c>
      <c r="D153" s="14">
        <f t="shared" si="46"/>
        <v>2.503891949699081</v>
      </c>
      <c r="E153" s="5">
        <f t="shared" si="47"/>
        <v>81</v>
      </c>
      <c r="F153" s="14">
        <f t="shared" si="48"/>
        <v>6.269474895767865</v>
      </c>
      <c r="G153" s="14">
        <f t="shared" si="49"/>
        <v>5.5016129308731259</v>
      </c>
      <c r="H153" s="14">
        <f t="shared" si="50"/>
        <v>2.6575601349068485</v>
      </c>
      <c r="I153" s="14">
        <f t="shared" si="51"/>
        <v>2.3669474922395944E-2</v>
      </c>
      <c r="J153" s="14">
        <f t="shared" si="52"/>
        <v>2.3613911145048728E-2</v>
      </c>
      <c r="K153" s="5">
        <f t="shared" si="53"/>
        <v>12.25</v>
      </c>
      <c r="L153" s="14">
        <f t="shared" si="54"/>
        <v>6.1371731805853445E-2</v>
      </c>
    </row>
    <row r="154" spans="1:12" ht="18.75" x14ac:dyDescent="0.3">
      <c r="A154" s="5">
        <v>10</v>
      </c>
      <c r="B154" s="14">
        <f t="shared" si="45"/>
        <v>2.3025850929940459</v>
      </c>
      <c r="C154" s="5">
        <v>13.350000000000001</v>
      </c>
      <c r="D154" s="14">
        <f t="shared" si="46"/>
        <v>2.5915163848462588</v>
      </c>
      <c r="E154" s="5">
        <f t="shared" si="47"/>
        <v>100</v>
      </c>
      <c r="F154" s="14">
        <f t="shared" si="48"/>
        <v>6.7159571729266228</v>
      </c>
      <c r="G154" s="14">
        <f t="shared" si="49"/>
        <v>5.9671869959968165</v>
      </c>
      <c r="H154" s="14">
        <f t="shared" si="50"/>
        <v>2.6577828625554676</v>
      </c>
      <c r="I154" s="14">
        <f t="shared" si="51"/>
        <v>4.3856758241419885E-3</v>
      </c>
      <c r="J154" s="14">
        <f t="shared" si="52"/>
        <v>4.3912460679850661E-3</v>
      </c>
      <c r="K154" s="5">
        <f t="shared" si="53"/>
        <v>6.25</v>
      </c>
      <c r="L154" s="14">
        <f t="shared" si="54"/>
        <v>2.5570541670775521E-2</v>
      </c>
    </row>
    <row r="155" spans="1:12" ht="18.75" x14ac:dyDescent="0.3">
      <c r="A155" s="5">
        <v>11</v>
      </c>
      <c r="B155" s="14">
        <f t="shared" si="45"/>
        <v>2.3978952727983707</v>
      </c>
      <c r="C155" s="5">
        <v>11.47</v>
      </c>
      <c r="D155" s="14">
        <f t="shared" si="46"/>
        <v>2.4397349311412793</v>
      </c>
      <c r="E155" s="5">
        <f t="shared" si="47"/>
        <v>121</v>
      </c>
      <c r="F155" s="14">
        <f t="shared" si="48"/>
        <v>5.9523065342309422</v>
      </c>
      <c r="G155" s="14">
        <f t="shared" si="49"/>
        <v>5.8502288582647317</v>
      </c>
      <c r="H155" s="14">
        <f t="shared" si="50"/>
        <v>2.6579843442215809</v>
      </c>
      <c r="I155" s="14">
        <f t="shared" si="51"/>
        <v>4.7526567618920983E-2</v>
      </c>
      <c r="J155" s="14">
        <f t="shared" si="52"/>
        <v>4.763280630989615E-2</v>
      </c>
      <c r="K155" s="5">
        <f t="shared" si="53"/>
        <v>2.25</v>
      </c>
      <c r="L155" s="14">
        <f t="shared" si="54"/>
        <v>8.9456198824930194E-2</v>
      </c>
    </row>
    <row r="156" spans="1:12" ht="18.75" x14ac:dyDescent="0.3">
      <c r="A156" s="5">
        <v>12</v>
      </c>
      <c r="B156" s="14">
        <f t="shared" si="45"/>
        <v>2.4849066497880004</v>
      </c>
      <c r="C156" s="5">
        <v>14.94</v>
      </c>
      <c r="D156" s="14">
        <f t="shared" si="46"/>
        <v>2.7040421797046714</v>
      </c>
      <c r="E156" s="5">
        <f t="shared" si="47"/>
        <v>144</v>
      </c>
      <c r="F156" s="14">
        <f t="shared" si="48"/>
        <v>7.3118441096219904</v>
      </c>
      <c r="G156" s="14">
        <f t="shared" si="49"/>
        <v>6.719292393655377</v>
      </c>
      <c r="H156" s="14">
        <f t="shared" si="50"/>
        <v>2.6581682825715309</v>
      </c>
      <c r="I156" s="14">
        <f t="shared" si="51"/>
        <v>2.1438159016151292E-3</v>
      </c>
      <c r="J156" s="14">
        <f t="shared" si="52"/>
        <v>2.1044144381819558E-3</v>
      </c>
      <c r="K156" s="5">
        <f t="shared" si="53"/>
        <v>0.25</v>
      </c>
      <c r="L156" s="14">
        <f t="shared" si="54"/>
        <v>1.6964934007852914E-2</v>
      </c>
    </row>
    <row r="157" spans="1:12" ht="18.75" x14ac:dyDescent="0.3">
      <c r="A157" s="5">
        <v>13</v>
      </c>
      <c r="B157" s="14">
        <f t="shared" si="45"/>
        <v>2.5649493574615367</v>
      </c>
      <c r="C157" s="5">
        <v>16.71</v>
      </c>
      <c r="D157" s="14">
        <f t="shared" si="46"/>
        <v>2.8160073426073025</v>
      </c>
      <c r="E157" s="5">
        <f t="shared" si="47"/>
        <v>169</v>
      </c>
      <c r="F157" s="14">
        <f t="shared" si="48"/>
        <v>7.9298973536182409</v>
      </c>
      <c r="G157" s="14">
        <f t="shared" si="49"/>
        <v>7.2229162240275704</v>
      </c>
      <c r="H157" s="14">
        <f t="shared" si="50"/>
        <v>2.6583374894509575</v>
      </c>
      <c r="I157" s="14">
        <f t="shared" si="51"/>
        <v>2.5048292147832982E-2</v>
      </c>
      <c r="J157" s="14">
        <f t="shared" si="52"/>
        <v>2.4859782594343384E-2</v>
      </c>
      <c r="K157" s="5">
        <f t="shared" si="53"/>
        <v>0.25</v>
      </c>
      <c r="L157" s="14">
        <f t="shared" si="54"/>
        <v>5.5990568906102572E-2</v>
      </c>
    </row>
    <row r="158" spans="1:12" ht="18.75" x14ac:dyDescent="0.3">
      <c r="A158" s="5">
        <v>14</v>
      </c>
      <c r="B158" s="14">
        <f t="shared" si="45"/>
        <v>2.6390573296152584</v>
      </c>
      <c r="C158" s="5">
        <v>20.83</v>
      </c>
      <c r="D158" s="14">
        <f t="shared" si="46"/>
        <v>3.0363942552728806</v>
      </c>
      <c r="E158" s="5">
        <f t="shared" si="47"/>
        <v>196</v>
      </c>
      <c r="F158" s="14">
        <f t="shared" si="48"/>
        <v>9.2196900734541511</v>
      </c>
      <c r="G158" s="14">
        <f t="shared" si="49"/>
        <v>8.0132185149795596</v>
      </c>
      <c r="H158" s="14">
        <f t="shared" si="50"/>
        <v>2.6584941505519275</v>
      </c>
      <c r="I158" s="14">
        <f t="shared" si="51"/>
        <v>0.14337842397128175</v>
      </c>
      <c r="J158" s="14">
        <f t="shared" si="52"/>
        <v>0.14280848914810734</v>
      </c>
      <c r="K158" s="5">
        <f t="shared" si="53"/>
        <v>2.25</v>
      </c>
      <c r="L158" s="14">
        <f t="shared" si="54"/>
        <v>0.1244568632893133</v>
      </c>
    </row>
    <row r="159" spans="1:12" ht="18.75" x14ac:dyDescent="0.3">
      <c r="A159" s="5">
        <v>15</v>
      </c>
      <c r="B159" s="14">
        <f t="shared" si="45"/>
        <v>2.7080502011022101</v>
      </c>
      <c r="C159" s="5">
        <v>21.95</v>
      </c>
      <c r="D159" s="14">
        <f t="shared" si="46"/>
        <v>3.0887671395211802</v>
      </c>
      <c r="E159" s="5">
        <f t="shared" si="47"/>
        <v>225</v>
      </c>
      <c r="F159" s="14">
        <f t="shared" si="48"/>
        <v>9.5404824421858532</v>
      </c>
      <c r="G159" s="14">
        <f t="shared" si="49"/>
        <v>8.3645364733382301</v>
      </c>
      <c r="H159" s="14">
        <f t="shared" si="50"/>
        <v>2.6586399985476574</v>
      </c>
      <c r="I159" s="14">
        <f t="shared" si="51"/>
        <v>0.18578368803725118</v>
      </c>
      <c r="J159" s="14">
        <f t="shared" si="52"/>
        <v>0.18500935740205673</v>
      </c>
      <c r="K159" s="5">
        <f t="shared" si="53"/>
        <v>6.25</v>
      </c>
      <c r="L159" s="14">
        <f t="shared" si="54"/>
        <v>0.13925528262392772</v>
      </c>
    </row>
    <row r="160" spans="1:12" ht="18.75" x14ac:dyDescent="0.3">
      <c r="A160" s="5">
        <v>16</v>
      </c>
      <c r="B160" s="14">
        <f t="shared" si="45"/>
        <v>2.7725887222397811</v>
      </c>
      <c r="C160" s="5">
        <v>17.07</v>
      </c>
      <c r="D160" s="14">
        <f t="shared" si="46"/>
        <v>2.837322536806349</v>
      </c>
      <c r="E160" s="5">
        <f t="shared" si="47"/>
        <v>256</v>
      </c>
      <c r="F160" s="14">
        <f t="shared" si="48"/>
        <v>8.0503991778692168</v>
      </c>
      <c r="G160" s="14">
        <f t="shared" si="49"/>
        <v>7.86672846690605</v>
      </c>
      <c r="H160" s="14">
        <f t="shared" si="50"/>
        <v>2.6587764302362134</v>
      </c>
      <c r="I160" s="14">
        <f t="shared" si="51"/>
        <v>3.2249592976650102E-2</v>
      </c>
      <c r="J160" s="14">
        <f t="shared" si="52"/>
        <v>3.1878712171354254E-2</v>
      </c>
      <c r="K160" s="5">
        <f t="shared" si="53"/>
        <v>12.25</v>
      </c>
      <c r="L160" s="14">
        <f t="shared" si="54"/>
        <v>6.2927673626807595E-2</v>
      </c>
    </row>
    <row r="161" spans="1:13" ht="18.75" x14ac:dyDescent="0.3">
      <c r="A161" s="5">
        <v>17</v>
      </c>
      <c r="B161" s="14">
        <f t="shared" si="45"/>
        <v>2.8332133440562162</v>
      </c>
      <c r="C161" s="5">
        <v>21.19</v>
      </c>
      <c r="D161" s="14">
        <f t="shared" si="46"/>
        <v>3.0535293722802077</v>
      </c>
      <c r="E161" s="5">
        <f t="shared" si="47"/>
        <v>289</v>
      </c>
      <c r="F161" s="14">
        <f t="shared" si="48"/>
        <v>9.3240416273779587</v>
      </c>
      <c r="G161" s="14">
        <f t="shared" si="49"/>
        <v>8.6513001640118858</v>
      </c>
      <c r="H161" s="14">
        <f t="shared" si="50"/>
        <v>2.6589045881080811</v>
      </c>
      <c r="I161" s="14">
        <f t="shared" si="51"/>
        <v>0.15664857804010227</v>
      </c>
      <c r="J161" s="14">
        <f t="shared" si="52"/>
        <v>0.15572872028289755</v>
      </c>
      <c r="K161" s="5">
        <f t="shared" si="53"/>
        <v>20.25</v>
      </c>
      <c r="L161" s="14">
        <f t="shared" si="54"/>
        <v>0.1292356273872822</v>
      </c>
    </row>
    <row r="162" spans="1:13" ht="18.75" x14ac:dyDescent="0.3">
      <c r="A162" s="5">
        <v>18</v>
      </c>
      <c r="B162" s="14">
        <f t="shared" si="45"/>
        <v>2.8903717578961645</v>
      </c>
      <c r="C162" s="5">
        <v>19.309999999999999</v>
      </c>
      <c r="D162" s="14">
        <f t="shared" si="46"/>
        <v>2.9606230964404232</v>
      </c>
      <c r="E162" s="5">
        <f t="shared" si="47"/>
        <v>324</v>
      </c>
      <c r="F162" s="14">
        <f t="shared" si="48"/>
        <v>8.7652891191764795</v>
      </c>
      <c r="G162" s="14">
        <f t="shared" si="49"/>
        <v>8.5573013837264913</v>
      </c>
      <c r="H162" s="14">
        <f t="shared" si="50"/>
        <v>2.6590254185637208</v>
      </c>
      <c r="I162" s="14">
        <f t="shared" si="51"/>
        <v>9.1737673323603219E-2</v>
      </c>
      <c r="J162" s="14">
        <f t="shared" si="52"/>
        <v>9.0961159300619168E-2</v>
      </c>
      <c r="K162" s="5">
        <f t="shared" si="53"/>
        <v>30.25</v>
      </c>
      <c r="L162" s="14">
        <f t="shared" si="54"/>
        <v>0.10186966326085727</v>
      </c>
    </row>
    <row r="163" spans="1:13" ht="18.75" x14ac:dyDescent="0.3">
      <c r="A163" s="5">
        <v>19</v>
      </c>
      <c r="B163" s="14">
        <f t="shared" si="45"/>
        <v>2.9444389791664403</v>
      </c>
      <c r="C163" s="5">
        <v>20.43</v>
      </c>
      <c r="D163" s="14">
        <f t="shared" si="46"/>
        <v>3.0170044088295307</v>
      </c>
      <c r="E163" s="5">
        <f t="shared" si="47"/>
        <v>361</v>
      </c>
      <c r="F163" s="14">
        <f t="shared" si="48"/>
        <v>9.1023156028968266</v>
      </c>
      <c r="G163" s="14">
        <f t="shared" si="49"/>
        <v>8.8833853816746728</v>
      </c>
      <c r="H163" s="14">
        <f t="shared" si="50"/>
        <v>2.6591397143697515</v>
      </c>
      <c r="I163" s="14">
        <f t="shared" si="51"/>
        <v>0.12907032618972356</v>
      </c>
      <c r="J163" s="14">
        <f t="shared" si="52"/>
        <v>0.12806713954079113</v>
      </c>
      <c r="K163" s="5">
        <f t="shared" si="53"/>
        <v>42.25</v>
      </c>
      <c r="L163" s="14">
        <f t="shared" si="54"/>
        <v>0.11861590039857299</v>
      </c>
    </row>
    <row r="164" spans="1:13" ht="18.75" x14ac:dyDescent="0.3">
      <c r="A164" s="5">
        <v>20</v>
      </c>
      <c r="B164" s="14">
        <f t="shared" si="45"/>
        <v>2.9957322735539909</v>
      </c>
      <c r="C164" s="5">
        <v>25.2</v>
      </c>
      <c r="D164" s="14">
        <f t="shared" si="46"/>
        <v>3.2268439945173775</v>
      </c>
      <c r="E164" s="5">
        <f t="shared" si="47"/>
        <v>400</v>
      </c>
      <c r="F164" s="14">
        <f t="shared" si="48"/>
        <v>10.412522164952865</v>
      </c>
      <c r="G164" s="14">
        <f t="shared" si="49"/>
        <v>9.6667606960995851</v>
      </c>
      <c r="H164" s="14">
        <f t="shared" si="50"/>
        <v>2.6592481462123398</v>
      </c>
      <c r="I164" s="14">
        <f t="shared" si="51"/>
        <v>0.32387842313653326</v>
      </c>
      <c r="J164" s="14">
        <f t="shared" si="52"/>
        <v>0.32216504701311527</v>
      </c>
      <c r="K164" s="5">
        <f t="shared" si="53"/>
        <v>56.25</v>
      </c>
      <c r="L164" s="14">
        <f t="shared" si="54"/>
        <v>0.17589813739660817</v>
      </c>
    </row>
    <row r="165" spans="1:13" ht="18.75" x14ac:dyDescent="0.3">
      <c r="A165" s="5">
        <v>21</v>
      </c>
      <c r="B165" s="14">
        <f t="shared" si="45"/>
        <v>3.044522437723423</v>
      </c>
      <c r="C165" s="5">
        <v>25.67</v>
      </c>
      <c r="D165" s="14">
        <f t="shared" si="46"/>
        <v>3.2453229948830491</v>
      </c>
      <c r="E165" s="5">
        <f t="shared" si="47"/>
        <v>441</v>
      </c>
      <c r="F165" s="14">
        <f t="shared" si="48"/>
        <v>10.532121341116683</v>
      </c>
      <c r="G165" s="14">
        <f t="shared" si="49"/>
        <v>9.8804586755812203</v>
      </c>
      <c r="H165" s="14">
        <f t="shared" si="50"/>
        <v>2.6593512865441173</v>
      </c>
      <c r="I165" s="14">
        <f t="shared" si="51"/>
        <v>0.34525281212752423</v>
      </c>
      <c r="J165" s="14">
        <f t="shared" si="52"/>
        <v>0.34336284297364611</v>
      </c>
      <c r="K165" s="5">
        <f t="shared" si="53"/>
        <v>72.25</v>
      </c>
      <c r="L165" s="14">
        <f t="shared" si="54"/>
        <v>0.18055882550453142</v>
      </c>
    </row>
    <row r="166" spans="1:13" ht="18.75" x14ac:dyDescent="0.3">
      <c r="A166" s="5">
        <v>22</v>
      </c>
      <c r="B166" s="14">
        <f t="shared" si="45"/>
        <v>3.0910424533583161</v>
      </c>
      <c r="C166" s="5">
        <v>29.79</v>
      </c>
      <c r="D166" s="14">
        <f t="shared" si="46"/>
        <v>3.3941727667251911</v>
      </c>
      <c r="E166" s="5">
        <f t="shared" si="47"/>
        <v>484</v>
      </c>
      <c r="F166" s="14">
        <f t="shared" si="48"/>
        <v>11.520408770378939</v>
      </c>
      <c r="G166" s="14">
        <f t="shared" si="49"/>
        <v>10.491532115980219</v>
      </c>
      <c r="H166" s="14">
        <f t="shared" si="50"/>
        <v>2.6594496278784527</v>
      </c>
      <c r="I166" s="14">
        <f t="shared" si="51"/>
        <v>0.54233201201611736</v>
      </c>
      <c r="J166" s="14">
        <f t="shared" si="52"/>
        <v>0.53981809075680354</v>
      </c>
      <c r="K166" s="5">
        <f t="shared" si="53"/>
        <v>90.25</v>
      </c>
      <c r="L166" s="14">
        <f t="shared" si="54"/>
        <v>0.21646604028221678</v>
      </c>
    </row>
    <row r="167" spans="1:13" ht="18.75" x14ac:dyDescent="0.3">
      <c r="A167" s="5">
        <v>23</v>
      </c>
      <c r="B167" s="14">
        <f t="shared" si="45"/>
        <v>3.1354942159291497</v>
      </c>
      <c r="C167" s="5">
        <v>28.56</v>
      </c>
      <c r="D167" s="14">
        <f t="shared" si="46"/>
        <v>3.3520071374713836</v>
      </c>
      <c r="E167" s="5">
        <f t="shared" si="47"/>
        <v>529</v>
      </c>
      <c r="F167" s="14">
        <f t="shared" si="48"/>
        <v>11.235951849659099</v>
      </c>
      <c r="G167" s="14">
        <f t="shared" si="49"/>
        <v>10.510198991294748</v>
      </c>
      <c r="H167" s="14">
        <f t="shared" si="50"/>
        <v>2.6595435970137835</v>
      </c>
      <c r="I167" s="14">
        <f t="shared" si="51"/>
        <v>0.48200571944203108</v>
      </c>
      <c r="J167" s="14">
        <f t="shared" si="52"/>
        <v>0.47950575486307428</v>
      </c>
      <c r="K167" s="5">
        <f t="shared" si="53"/>
        <v>110.25</v>
      </c>
      <c r="L167" s="14">
        <f t="shared" si="54"/>
        <v>0.20658176192905309</v>
      </c>
    </row>
    <row r="168" spans="1:13" ht="18.75" x14ac:dyDescent="0.3">
      <c r="A168" s="5">
        <v>24</v>
      </c>
      <c r="B168" s="14">
        <f t="shared" si="45"/>
        <v>3.1780538303479458</v>
      </c>
      <c r="C168" s="5">
        <v>29.03</v>
      </c>
      <c r="D168" s="14">
        <f t="shared" si="46"/>
        <v>3.3683297780365384</v>
      </c>
      <c r="E168" s="5">
        <f t="shared" si="47"/>
        <v>576</v>
      </c>
      <c r="F168" s="14">
        <f t="shared" si="48"/>
        <v>11.345645493607677</v>
      </c>
      <c r="G168" s="14">
        <f t="shared" si="49"/>
        <v>10.704733352964066</v>
      </c>
      <c r="H168" s="14">
        <f t="shared" si="50"/>
        <v>2.6596335662284032</v>
      </c>
      <c r="I168" s="14">
        <f t="shared" si="51"/>
        <v>0.50493666714707586</v>
      </c>
      <c r="J168" s="14">
        <f t="shared" si="52"/>
        <v>0.50225032063120134</v>
      </c>
      <c r="K168" s="5">
        <f t="shared" si="53"/>
        <v>132.25</v>
      </c>
      <c r="L168" s="14">
        <f t="shared" si="54"/>
        <v>0.21039988911692825</v>
      </c>
    </row>
    <row r="169" spans="1:13" ht="18.75" x14ac:dyDescent="0.3">
      <c r="A169" s="40">
        <f>SUM(A145:A168)</f>
        <v>300</v>
      </c>
      <c r="B169" s="41">
        <f t="shared" ref="B169:L169" si="55">SUM(B145:B168)</f>
        <v>54.784729398112326</v>
      </c>
      <c r="C169" s="40">
        <f t="shared" si="55"/>
        <v>392.30000000000007</v>
      </c>
      <c r="D169" s="41">
        <f t="shared" si="55"/>
        <v>63.785779682303058</v>
      </c>
      <c r="E169" s="40">
        <f t="shared" si="55"/>
        <v>4900</v>
      </c>
      <c r="F169" s="41">
        <f t="shared" si="55"/>
        <v>176.98462717072681</v>
      </c>
      <c r="G169" s="41">
        <f t="shared" si="55"/>
        <v>155.69763816583693</v>
      </c>
      <c r="H169" s="40">
        <f t="shared" si="55"/>
        <v>63.785779682303051</v>
      </c>
      <c r="I169" s="40">
        <f t="shared" si="55"/>
        <v>7.4585567674223583</v>
      </c>
      <c r="J169" s="40">
        <f t="shared" si="55"/>
        <v>7.4159509700274642</v>
      </c>
      <c r="K169" s="40">
        <f t="shared" si="55"/>
        <v>1150</v>
      </c>
      <c r="L169" s="40">
        <f t="shared" si="55"/>
        <v>4.8670547327424796</v>
      </c>
      <c r="M169" s="42" t="s">
        <v>43</v>
      </c>
    </row>
    <row r="170" spans="1:13" ht="18.75" x14ac:dyDescent="0.3">
      <c r="A170" s="43">
        <f>AVERAGE(A145:A168)</f>
        <v>12.5</v>
      </c>
      <c r="B170" s="44">
        <f t="shared" ref="B170:L170" si="56">AVERAGE(B145:B168)</f>
        <v>2.2826970582546804</v>
      </c>
      <c r="C170" s="44">
        <f t="shared" si="56"/>
        <v>16.345833333333335</v>
      </c>
      <c r="D170" s="44">
        <f t="shared" si="56"/>
        <v>2.6577408200959609</v>
      </c>
      <c r="E170" s="44">
        <f t="shared" si="56"/>
        <v>204.16666666666666</v>
      </c>
      <c r="F170" s="44">
        <f t="shared" si="56"/>
        <v>7.3743594654469504</v>
      </c>
      <c r="G170" s="44">
        <f t="shared" si="56"/>
        <v>6.4874015902432056</v>
      </c>
      <c r="H170" s="43">
        <f t="shared" si="56"/>
        <v>2.6577408200959605</v>
      </c>
      <c r="I170" s="43">
        <f t="shared" si="56"/>
        <v>0.31077319864259828</v>
      </c>
      <c r="J170" s="43">
        <f t="shared" si="56"/>
        <v>0.30899795708447769</v>
      </c>
      <c r="K170" s="43">
        <f t="shared" si="56"/>
        <v>47.916666666666664</v>
      </c>
      <c r="L170" s="43">
        <f t="shared" si="56"/>
        <v>0.20279394719760332</v>
      </c>
      <c r="M170" s="46" t="s">
        <v>44</v>
      </c>
    </row>
    <row r="173" spans="1:13" ht="18.75" x14ac:dyDescent="0.3">
      <c r="A173" s="22" t="s">
        <v>39</v>
      </c>
      <c r="B173" s="23">
        <f>D170-(B174*B170)</f>
        <v>2.6529152956087243</v>
      </c>
      <c r="C173" s="24">
        <f>EXP(B173)</f>
        <v>14.195362057798642</v>
      </c>
      <c r="F173" s="48" t="s">
        <v>47</v>
      </c>
      <c r="G173" s="48"/>
      <c r="H173" s="27">
        <f>L170</f>
        <v>0.20279394719760332</v>
      </c>
    </row>
    <row r="174" spans="1:13" ht="18.75" x14ac:dyDescent="0.3">
      <c r="A174" s="22" t="s">
        <v>38</v>
      </c>
      <c r="B174" s="23">
        <f>(G170-(B170*D170))/(E170-POWER(B170,2))</f>
        <v>2.1139574652652635E-3</v>
      </c>
      <c r="C174" s="23">
        <f>B174</f>
        <v>2.1139574652652635E-3</v>
      </c>
      <c r="F174" s="48"/>
      <c r="G174" s="48"/>
      <c r="H174" s="28">
        <f>1-(J170/I170)</f>
        <v>5.7123380197343643E-3</v>
      </c>
    </row>
    <row r="175" spans="1:13" ht="18.75" x14ac:dyDescent="0.3">
      <c r="A175" s="23" t="s">
        <v>40</v>
      </c>
      <c r="B175" s="47">
        <v>2</v>
      </c>
      <c r="F175" s="48" t="s">
        <v>48</v>
      </c>
      <c r="G175" s="48" t="s">
        <v>48</v>
      </c>
      <c r="H175" s="27">
        <f>SQRT((I169-J169)/I169)</f>
        <v>7.5580010715363161E-2</v>
      </c>
    </row>
    <row r="176" spans="1:13" ht="18.75" x14ac:dyDescent="0.3">
      <c r="A176" s="23" t="s">
        <v>41</v>
      </c>
      <c r="B176" s="47">
        <f>B177-B175-1</f>
        <v>21</v>
      </c>
    </row>
    <row r="177" spans="1:13" ht="18.75" x14ac:dyDescent="0.3">
      <c r="A177" s="26" t="s">
        <v>20</v>
      </c>
      <c r="B177" s="47">
        <v>24</v>
      </c>
    </row>
    <row r="179" spans="1:13" x14ac:dyDescent="0.25">
      <c r="A179" s="49" t="s">
        <v>66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</row>
    <row r="180" spans="1:13" ht="33" customHeight="1" x14ac:dyDescent="0.25">
      <c r="A180" s="19" t="s">
        <v>0</v>
      </c>
      <c r="B180" s="19" t="s">
        <v>67</v>
      </c>
      <c r="C180" s="19" t="s">
        <v>1</v>
      </c>
      <c r="D180" s="19"/>
      <c r="E180" s="19"/>
      <c r="F180" s="19" t="s">
        <v>36</v>
      </c>
      <c r="G180" s="19" t="s">
        <v>37</v>
      </c>
      <c r="H180" s="19"/>
      <c r="I180" s="19"/>
      <c r="J180" s="19"/>
      <c r="K180" s="19"/>
    </row>
    <row r="181" spans="1:13" ht="18.75" x14ac:dyDescent="0.3">
      <c r="A181" s="5">
        <v>1</v>
      </c>
      <c r="B181" s="14">
        <f>1/A181</f>
        <v>1</v>
      </c>
      <c r="C181" s="5">
        <v>6.27</v>
      </c>
      <c r="D181" s="21">
        <f>B181^2</f>
        <v>1</v>
      </c>
      <c r="E181" s="14">
        <f>C181^2</f>
        <v>39.312899999999992</v>
      </c>
      <c r="F181" s="14">
        <f>B181*C181</f>
        <v>6.27</v>
      </c>
      <c r="G181" s="14">
        <f>B$210/A181+B$209</f>
        <v>-3.1541920792148197</v>
      </c>
      <c r="H181" s="14">
        <f>POWER(C181-C$206,2)</f>
        <v>101.52241736111115</v>
      </c>
      <c r="I181" s="14">
        <f>POWER(C181-G181,2)</f>
        <v>88.815396345935341</v>
      </c>
      <c r="J181" s="5">
        <f>POWER(A181-A$206,2)</f>
        <v>132.25</v>
      </c>
      <c r="K181" s="14">
        <f>ABS(C181-G181)/C181</f>
        <v>1.5030609376738149</v>
      </c>
    </row>
    <row r="182" spans="1:13" ht="18.75" x14ac:dyDescent="0.3">
      <c r="A182" s="5">
        <v>2</v>
      </c>
      <c r="B182" s="14">
        <f t="shared" ref="B182:B204" si="57">1/A182</f>
        <v>0.5</v>
      </c>
      <c r="C182" s="5">
        <v>3.7399999999999998</v>
      </c>
      <c r="D182" s="21">
        <f t="shared" ref="D182:D204" si="58">B182^2</f>
        <v>0.25</v>
      </c>
      <c r="E182" s="14">
        <f t="shared" ref="E182:E204" si="59">C182^2</f>
        <v>13.987599999999999</v>
      </c>
      <c r="F182" s="14">
        <f t="shared" ref="F182:F204" si="60">B182*C182</f>
        <v>1.8699999999999999</v>
      </c>
      <c r="G182" s="14">
        <f t="shared" ref="G182:G204" si="61">B$210/A182+B$209</f>
        <v>8.4162104648096374</v>
      </c>
      <c r="H182" s="14">
        <f t="shared" ref="H182:H204" si="62">POWER(C182-C$206,2)</f>
        <v>158.90703402777783</v>
      </c>
      <c r="I182" s="14">
        <f t="shared" ref="I182:I204" si="63">POWER(C182-G182,2)</f>
        <v>21.866944311195162</v>
      </c>
      <c r="J182" s="5">
        <f t="shared" ref="J182:J204" si="64">POWER(A182-A$206,2)</f>
        <v>110.25</v>
      </c>
      <c r="K182" s="14">
        <f t="shared" ref="K182:K204" si="65">ABS(C182-G182)/C182</f>
        <v>1.2503236536924165</v>
      </c>
    </row>
    <row r="183" spans="1:13" ht="18.75" x14ac:dyDescent="0.3">
      <c r="A183" s="5">
        <v>3</v>
      </c>
      <c r="B183" s="14">
        <f t="shared" si="57"/>
        <v>0.33333333333333331</v>
      </c>
      <c r="C183" s="5">
        <v>5.51</v>
      </c>
      <c r="D183" s="21">
        <f t="shared" si="58"/>
        <v>0.1111111111111111</v>
      </c>
      <c r="E183" s="14">
        <f t="shared" si="59"/>
        <v>30.360099999999999</v>
      </c>
      <c r="F183" s="14">
        <f t="shared" si="60"/>
        <v>1.8366666666666664</v>
      </c>
      <c r="G183" s="14">
        <f t="shared" si="61"/>
        <v>12.27301131281779</v>
      </c>
      <c r="H183" s="14">
        <f t="shared" si="62"/>
        <v>117.41528402777782</v>
      </c>
      <c r="I183" s="14">
        <f t="shared" si="63"/>
        <v>45.738322017301407</v>
      </c>
      <c r="J183" s="5">
        <f t="shared" si="64"/>
        <v>90.25</v>
      </c>
      <c r="K183" s="14">
        <f t="shared" si="65"/>
        <v>1.2274067718362596</v>
      </c>
    </row>
    <row r="184" spans="1:13" ht="18.75" x14ac:dyDescent="0.3">
      <c r="A184" s="5">
        <v>4</v>
      </c>
      <c r="B184" s="14">
        <f t="shared" si="57"/>
        <v>0.25</v>
      </c>
      <c r="C184" s="5">
        <v>9.629999999999999</v>
      </c>
      <c r="D184" s="21">
        <f t="shared" si="58"/>
        <v>6.25E-2</v>
      </c>
      <c r="E184" s="14">
        <f t="shared" si="59"/>
        <v>92.736899999999977</v>
      </c>
      <c r="F184" s="14">
        <f t="shared" si="60"/>
        <v>2.4074999999999998</v>
      </c>
      <c r="G184" s="14">
        <f t="shared" si="61"/>
        <v>14.201411736821866</v>
      </c>
      <c r="H184" s="14">
        <f t="shared" si="62"/>
        <v>45.102417361111144</v>
      </c>
      <c r="I184" s="14">
        <f t="shared" si="63"/>
        <v>20.897805267552719</v>
      </c>
      <c r="J184" s="5">
        <f t="shared" si="64"/>
        <v>72.25</v>
      </c>
      <c r="K184" s="14">
        <f t="shared" si="65"/>
        <v>0.47470526862117002</v>
      </c>
    </row>
    <row r="185" spans="1:13" ht="18.75" x14ac:dyDescent="0.3">
      <c r="A185" s="5">
        <v>5</v>
      </c>
      <c r="B185" s="14">
        <f t="shared" si="57"/>
        <v>0.2</v>
      </c>
      <c r="C185" s="5">
        <v>7.1</v>
      </c>
      <c r="D185" s="21">
        <f t="shared" si="58"/>
        <v>4.0000000000000008E-2</v>
      </c>
      <c r="E185" s="14">
        <f t="shared" si="59"/>
        <v>50.41</v>
      </c>
      <c r="F185" s="14">
        <f t="shared" si="60"/>
        <v>1.42</v>
      </c>
      <c r="G185" s="14">
        <f t="shared" si="61"/>
        <v>15.358451991224312</v>
      </c>
      <c r="H185" s="14">
        <f t="shared" si="62"/>
        <v>85.485434027777814</v>
      </c>
      <c r="I185" s="14">
        <f t="shared" si="63"/>
        <v>68.202029291356808</v>
      </c>
      <c r="J185" s="5">
        <f t="shared" si="64"/>
        <v>56.25</v>
      </c>
      <c r="K185" s="14">
        <f t="shared" si="65"/>
        <v>1.1631622522851144</v>
      </c>
    </row>
    <row r="186" spans="1:13" ht="18.75" x14ac:dyDescent="0.3">
      <c r="A186" s="5">
        <v>6</v>
      </c>
      <c r="B186" s="14">
        <f t="shared" si="57"/>
        <v>0.16666666666666666</v>
      </c>
      <c r="C186" s="5">
        <v>8.870000000000001</v>
      </c>
      <c r="D186" s="21">
        <f t="shared" si="58"/>
        <v>2.7777777777777776E-2</v>
      </c>
      <c r="E186" s="14">
        <f t="shared" si="59"/>
        <v>78.676900000000018</v>
      </c>
      <c r="F186" s="14">
        <f t="shared" si="60"/>
        <v>1.4783333333333335</v>
      </c>
      <c r="G186" s="14">
        <f t="shared" si="61"/>
        <v>16.129812160825942</v>
      </c>
      <c r="H186" s="14">
        <f t="shared" si="62"/>
        <v>55.888084027777786</v>
      </c>
      <c r="I186" s="14">
        <f t="shared" si="63"/>
        <v>52.704872610476222</v>
      </c>
      <c r="J186" s="5">
        <f t="shared" si="64"/>
        <v>42.25</v>
      </c>
      <c r="K186" s="14">
        <f t="shared" si="65"/>
        <v>0.81846811283268772</v>
      </c>
    </row>
    <row r="187" spans="1:13" ht="18.75" x14ac:dyDescent="0.3">
      <c r="A187" s="5">
        <v>7</v>
      </c>
      <c r="B187" s="14">
        <f t="shared" si="57"/>
        <v>0.14285714285714285</v>
      </c>
      <c r="C187" s="5">
        <v>9.34</v>
      </c>
      <c r="D187" s="21">
        <f t="shared" si="58"/>
        <v>2.0408163265306121E-2</v>
      </c>
      <c r="E187" s="14">
        <f t="shared" si="59"/>
        <v>87.235599999999991</v>
      </c>
      <c r="F187" s="14">
        <f t="shared" si="60"/>
        <v>1.3342857142857143</v>
      </c>
      <c r="G187" s="14">
        <f t="shared" si="61"/>
        <v>16.680783710541391</v>
      </c>
      <c r="H187" s="14">
        <f t="shared" si="62"/>
        <v>49.081700694444471</v>
      </c>
      <c r="I187" s="14">
        <f t="shared" si="63"/>
        <v>53.887105484949835</v>
      </c>
      <c r="J187" s="5">
        <f t="shared" si="64"/>
        <v>30.25</v>
      </c>
      <c r="K187" s="14">
        <f t="shared" si="65"/>
        <v>0.78595114673890698</v>
      </c>
    </row>
    <row r="188" spans="1:13" ht="18.75" x14ac:dyDescent="0.3">
      <c r="A188" s="5">
        <v>8</v>
      </c>
      <c r="B188" s="14">
        <f t="shared" si="57"/>
        <v>0.125</v>
      </c>
      <c r="C188" s="5">
        <v>14.11</v>
      </c>
      <c r="D188" s="21">
        <f t="shared" si="58"/>
        <v>1.5625E-2</v>
      </c>
      <c r="E188" s="14">
        <f t="shared" si="59"/>
        <v>199.09209999999999</v>
      </c>
      <c r="F188" s="14">
        <f t="shared" si="60"/>
        <v>1.7637499999999999</v>
      </c>
      <c r="G188" s="14">
        <f t="shared" si="61"/>
        <v>17.094012372827979</v>
      </c>
      <c r="H188" s="14">
        <f t="shared" si="62"/>
        <v>4.9989506944444546</v>
      </c>
      <c r="I188" s="14">
        <f t="shared" si="63"/>
        <v>8.9043298411904708</v>
      </c>
      <c r="J188" s="5">
        <f t="shared" si="64"/>
        <v>20.25</v>
      </c>
      <c r="K188" s="14">
        <f t="shared" si="65"/>
        <v>0.21148209587724875</v>
      </c>
    </row>
    <row r="189" spans="1:13" ht="18.75" x14ac:dyDescent="0.3">
      <c r="A189" s="5">
        <v>9</v>
      </c>
      <c r="B189" s="14">
        <f t="shared" si="57"/>
        <v>0.1111111111111111</v>
      </c>
      <c r="C189" s="5">
        <v>12.230000000000002</v>
      </c>
      <c r="D189" s="21">
        <f t="shared" si="58"/>
        <v>1.2345679012345678E-2</v>
      </c>
      <c r="E189" s="14">
        <f t="shared" si="59"/>
        <v>149.57290000000006</v>
      </c>
      <c r="F189" s="14">
        <f t="shared" si="60"/>
        <v>1.358888888888889</v>
      </c>
      <c r="G189" s="14">
        <f t="shared" si="61"/>
        <v>17.415412443495327</v>
      </c>
      <c r="H189" s="14">
        <f t="shared" si="62"/>
        <v>16.940084027777772</v>
      </c>
      <c r="I189" s="14">
        <f t="shared" si="63"/>
        <v>26.888502209156158</v>
      </c>
      <c r="J189" s="5">
        <f t="shared" si="64"/>
        <v>12.25</v>
      </c>
      <c r="K189" s="14">
        <f t="shared" si="65"/>
        <v>0.42399120551883274</v>
      </c>
    </row>
    <row r="190" spans="1:13" ht="18.75" x14ac:dyDescent="0.3">
      <c r="A190" s="5">
        <v>10</v>
      </c>
      <c r="B190" s="14">
        <f t="shared" si="57"/>
        <v>0.1</v>
      </c>
      <c r="C190" s="5">
        <v>13.350000000000001</v>
      </c>
      <c r="D190" s="21">
        <f t="shared" si="58"/>
        <v>1.0000000000000002E-2</v>
      </c>
      <c r="E190" s="14">
        <f t="shared" si="59"/>
        <v>178.22250000000003</v>
      </c>
      <c r="F190" s="14">
        <f t="shared" si="60"/>
        <v>1.3350000000000002</v>
      </c>
      <c r="G190" s="14">
        <f t="shared" si="61"/>
        <v>17.672532500029202</v>
      </c>
      <c r="H190" s="14">
        <f t="shared" si="62"/>
        <v>8.9750173611111119</v>
      </c>
      <c r="I190" s="14">
        <f t="shared" si="63"/>
        <v>18.684287213808695</v>
      </c>
      <c r="J190" s="5">
        <f t="shared" si="64"/>
        <v>6.25</v>
      </c>
      <c r="K190" s="14">
        <f t="shared" si="65"/>
        <v>0.32378520599469668</v>
      </c>
    </row>
    <row r="191" spans="1:13" ht="18.75" x14ac:dyDescent="0.3">
      <c r="A191" s="5">
        <v>11</v>
      </c>
      <c r="B191" s="14">
        <f t="shared" si="57"/>
        <v>9.0909090909090912E-2</v>
      </c>
      <c r="C191" s="5">
        <v>11.47</v>
      </c>
      <c r="D191" s="21">
        <f t="shared" si="58"/>
        <v>8.2644628099173556E-3</v>
      </c>
      <c r="E191" s="14">
        <f t="shared" si="59"/>
        <v>131.5609</v>
      </c>
      <c r="F191" s="14">
        <f t="shared" si="60"/>
        <v>1.0427272727272727</v>
      </c>
      <c r="G191" s="14">
        <f t="shared" si="61"/>
        <v>17.882903455375104</v>
      </c>
      <c r="H191" s="14">
        <f t="shared" si="62"/>
        <v>23.773750694444455</v>
      </c>
      <c r="I191" s="14">
        <f t="shared" si="63"/>
        <v>41.125330727961938</v>
      </c>
      <c r="J191" s="5">
        <f t="shared" si="64"/>
        <v>2.25</v>
      </c>
      <c r="K191" s="14">
        <f t="shared" si="65"/>
        <v>0.5591023064843158</v>
      </c>
    </row>
    <row r="192" spans="1:13" ht="18.75" x14ac:dyDescent="0.3">
      <c r="A192" s="5">
        <v>12</v>
      </c>
      <c r="B192" s="14">
        <f t="shared" si="57"/>
        <v>8.3333333333333329E-2</v>
      </c>
      <c r="C192" s="5">
        <v>14.94</v>
      </c>
      <c r="D192" s="21">
        <f t="shared" si="58"/>
        <v>6.9444444444444441E-3</v>
      </c>
      <c r="E192" s="14">
        <f t="shared" si="59"/>
        <v>223.20359999999999</v>
      </c>
      <c r="F192" s="14">
        <f t="shared" si="60"/>
        <v>1.2449999999999999</v>
      </c>
      <c r="G192" s="14">
        <f t="shared" si="61"/>
        <v>18.058212584830017</v>
      </c>
      <c r="H192" s="14">
        <f t="shared" si="62"/>
        <v>1.9763673611111172</v>
      </c>
      <c r="I192" s="14">
        <f t="shared" si="63"/>
        <v>9.7232497241922964</v>
      </c>
      <c r="J192" s="5">
        <f t="shared" si="64"/>
        <v>0.25</v>
      </c>
      <c r="K192" s="14">
        <f t="shared" si="65"/>
        <v>0.20871570179585122</v>
      </c>
    </row>
    <row r="193" spans="1:12" ht="18.75" x14ac:dyDescent="0.3">
      <c r="A193" s="5">
        <v>13</v>
      </c>
      <c r="B193" s="14">
        <f t="shared" si="57"/>
        <v>7.6923076923076927E-2</v>
      </c>
      <c r="C193" s="5">
        <v>16.71</v>
      </c>
      <c r="D193" s="21">
        <f t="shared" si="58"/>
        <v>5.9171597633136102E-3</v>
      </c>
      <c r="E193" s="14">
        <f t="shared" si="59"/>
        <v>279.22410000000002</v>
      </c>
      <c r="F193" s="14">
        <f t="shared" si="60"/>
        <v>1.2853846153846156</v>
      </c>
      <c r="G193" s="14">
        <f t="shared" si="61"/>
        <v>18.206551078984177</v>
      </c>
      <c r="H193" s="14">
        <f t="shared" si="62"/>
        <v>0.13261736111111053</v>
      </c>
      <c r="I193" s="14">
        <f t="shared" si="63"/>
        <v>2.2396651320087009</v>
      </c>
      <c r="J193" s="5">
        <f t="shared" si="64"/>
        <v>0.25</v>
      </c>
      <c r="K193" s="14">
        <f t="shared" si="65"/>
        <v>8.9560208197736427E-2</v>
      </c>
    </row>
    <row r="194" spans="1:12" ht="18.75" x14ac:dyDescent="0.3">
      <c r="A194" s="5">
        <v>14</v>
      </c>
      <c r="B194" s="14">
        <f t="shared" si="57"/>
        <v>7.1428571428571425E-2</v>
      </c>
      <c r="C194" s="5">
        <v>20.83</v>
      </c>
      <c r="D194" s="21">
        <f t="shared" si="58"/>
        <v>5.1020408163265302E-3</v>
      </c>
      <c r="E194" s="14">
        <f t="shared" si="59"/>
        <v>433.88889999999992</v>
      </c>
      <c r="F194" s="14">
        <f t="shared" si="60"/>
        <v>1.4878571428571425</v>
      </c>
      <c r="G194" s="14">
        <f t="shared" si="61"/>
        <v>18.333698359687745</v>
      </c>
      <c r="H194" s="14">
        <f t="shared" si="62"/>
        <v>20.107750694444416</v>
      </c>
      <c r="I194" s="14">
        <f t="shared" si="63"/>
        <v>6.2315218794256486</v>
      </c>
      <c r="J194" s="5">
        <f t="shared" si="64"/>
        <v>2.25</v>
      </c>
      <c r="K194" s="14">
        <f t="shared" si="65"/>
        <v>0.11984165339953212</v>
      </c>
    </row>
    <row r="195" spans="1:12" ht="18.75" x14ac:dyDescent="0.3">
      <c r="A195" s="5">
        <v>15</v>
      </c>
      <c r="B195" s="14">
        <f t="shared" si="57"/>
        <v>6.6666666666666666E-2</v>
      </c>
      <c r="C195" s="5">
        <v>21.95</v>
      </c>
      <c r="D195" s="21">
        <f t="shared" si="58"/>
        <v>4.4444444444444444E-3</v>
      </c>
      <c r="E195" s="14">
        <f t="shared" si="59"/>
        <v>481.80249999999995</v>
      </c>
      <c r="F195" s="14">
        <f t="shared" si="60"/>
        <v>1.4633333333333334</v>
      </c>
      <c r="G195" s="14">
        <f t="shared" si="61"/>
        <v>18.443892669630834</v>
      </c>
      <c r="H195" s="14">
        <f t="shared" si="62"/>
        <v>31.40668402777775</v>
      </c>
      <c r="I195" s="14">
        <f t="shared" si="63"/>
        <v>12.292788612068392</v>
      </c>
      <c r="J195" s="5">
        <f t="shared" si="64"/>
        <v>6.25</v>
      </c>
      <c r="K195" s="14">
        <f t="shared" si="65"/>
        <v>0.15973154124688679</v>
      </c>
    </row>
    <row r="196" spans="1:12" ht="18.75" x14ac:dyDescent="0.3">
      <c r="A196" s="5">
        <v>16</v>
      </c>
      <c r="B196" s="14">
        <f t="shared" si="57"/>
        <v>6.25E-2</v>
      </c>
      <c r="C196" s="5">
        <v>17.07</v>
      </c>
      <c r="D196" s="21">
        <f t="shared" si="58"/>
        <v>3.90625E-3</v>
      </c>
      <c r="E196" s="14">
        <f t="shared" si="59"/>
        <v>291.38490000000002</v>
      </c>
      <c r="F196" s="14">
        <f t="shared" si="60"/>
        <v>1.066875</v>
      </c>
      <c r="G196" s="14">
        <f t="shared" si="61"/>
        <v>18.540312690831037</v>
      </c>
      <c r="H196" s="14">
        <f t="shared" si="62"/>
        <v>0.52441736111110915</v>
      </c>
      <c r="I196" s="14">
        <f t="shared" si="63"/>
        <v>2.1618194088188036</v>
      </c>
      <c r="J196" s="5">
        <f t="shared" si="64"/>
        <v>12.25</v>
      </c>
      <c r="K196" s="14">
        <f t="shared" si="65"/>
        <v>8.6134311120740284E-2</v>
      </c>
    </row>
    <row r="197" spans="1:12" ht="18.75" x14ac:dyDescent="0.3">
      <c r="A197" s="5">
        <v>17</v>
      </c>
      <c r="B197" s="14">
        <f t="shared" si="57"/>
        <v>5.8823529411764705E-2</v>
      </c>
      <c r="C197" s="5">
        <v>21.19</v>
      </c>
      <c r="D197" s="21">
        <f t="shared" si="58"/>
        <v>3.4602076124567475E-3</v>
      </c>
      <c r="E197" s="14">
        <f t="shared" si="59"/>
        <v>449.01610000000005</v>
      </c>
      <c r="F197" s="14">
        <f t="shared" si="60"/>
        <v>1.2464705882352942</v>
      </c>
      <c r="G197" s="14">
        <f t="shared" si="61"/>
        <v>18.625389180125335</v>
      </c>
      <c r="H197" s="14">
        <f t="shared" si="62"/>
        <v>23.465950694444441</v>
      </c>
      <c r="I197" s="14">
        <f t="shared" si="63"/>
        <v>6.5772286574182068</v>
      </c>
      <c r="J197" s="5">
        <f t="shared" si="64"/>
        <v>20.25</v>
      </c>
      <c r="K197" s="14">
        <f t="shared" si="65"/>
        <v>0.12102929777605785</v>
      </c>
    </row>
    <row r="198" spans="1:12" ht="18.75" x14ac:dyDescent="0.3">
      <c r="A198" s="5">
        <v>18</v>
      </c>
      <c r="B198" s="14">
        <f t="shared" si="57"/>
        <v>5.5555555555555552E-2</v>
      </c>
      <c r="C198" s="5">
        <v>19.309999999999999</v>
      </c>
      <c r="D198" s="21">
        <f t="shared" si="58"/>
        <v>3.0864197530864196E-3</v>
      </c>
      <c r="E198" s="14">
        <f t="shared" si="59"/>
        <v>372.87609999999995</v>
      </c>
      <c r="F198" s="14">
        <f t="shared" si="60"/>
        <v>1.0727777777777776</v>
      </c>
      <c r="G198" s="14">
        <f t="shared" si="61"/>
        <v>18.701012726164709</v>
      </c>
      <c r="H198" s="14">
        <f t="shared" si="62"/>
        <v>8.7862840277777607</v>
      </c>
      <c r="I198" s="14">
        <f t="shared" si="63"/>
        <v>0.37086549969333787</v>
      </c>
      <c r="J198" s="5">
        <f t="shared" si="64"/>
        <v>30.25</v>
      </c>
      <c r="K198" s="14">
        <f t="shared" si="65"/>
        <v>3.1537404134401321E-2</v>
      </c>
    </row>
    <row r="199" spans="1:12" ht="18.75" x14ac:dyDescent="0.3">
      <c r="A199" s="5">
        <v>19</v>
      </c>
      <c r="B199" s="14">
        <f t="shared" si="57"/>
        <v>5.2631578947368418E-2</v>
      </c>
      <c r="C199" s="5">
        <v>20.43</v>
      </c>
      <c r="D199" s="21">
        <f t="shared" si="58"/>
        <v>2.7700831024930744E-3</v>
      </c>
      <c r="E199" s="14">
        <f t="shared" si="59"/>
        <v>417.38490000000002</v>
      </c>
      <c r="F199" s="14">
        <f t="shared" si="60"/>
        <v>1.0752631578947367</v>
      </c>
      <c r="G199" s="14">
        <f t="shared" si="61"/>
        <v>18.768675898936785</v>
      </c>
      <c r="H199" s="14">
        <f t="shared" si="62"/>
        <v>16.680417361111097</v>
      </c>
      <c r="I199" s="14">
        <f t="shared" si="63"/>
        <v>2.7599977687734998</v>
      </c>
      <c r="J199" s="5">
        <f t="shared" si="64"/>
        <v>42.25</v>
      </c>
      <c r="K199" s="14">
        <f t="shared" si="65"/>
        <v>8.1317870830309114E-2</v>
      </c>
    </row>
    <row r="200" spans="1:12" ht="18.75" x14ac:dyDescent="0.3">
      <c r="A200" s="5">
        <v>20</v>
      </c>
      <c r="B200" s="14">
        <f t="shared" si="57"/>
        <v>0.05</v>
      </c>
      <c r="C200" s="5">
        <v>25.2</v>
      </c>
      <c r="D200" s="21">
        <f t="shared" si="58"/>
        <v>2.5000000000000005E-3</v>
      </c>
      <c r="E200" s="14">
        <f t="shared" si="59"/>
        <v>635.04</v>
      </c>
      <c r="F200" s="14">
        <f t="shared" si="60"/>
        <v>1.26</v>
      </c>
      <c r="G200" s="14">
        <f t="shared" si="61"/>
        <v>18.829572754431648</v>
      </c>
      <c r="H200" s="14">
        <f t="shared" si="62"/>
        <v>78.396267361111072</v>
      </c>
      <c r="I200" s="14">
        <f t="shared" si="63"/>
        <v>40.582343291079567</v>
      </c>
      <c r="J200" s="5">
        <f t="shared" si="64"/>
        <v>56.25</v>
      </c>
      <c r="K200" s="14">
        <f t="shared" si="65"/>
        <v>0.25279473196699803</v>
      </c>
    </row>
    <row r="201" spans="1:12" ht="18.75" x14ac:dyDescent="0.3">
      <c r="A201" s="5">
        <v>21</v>
      </c>
      <c r="B201" s="14">
        <f t="shared" si="57"/>
        <v>4.7619047619047616E-2</v>
      </c>
      <c r="C201" s="5">
        <v>25.67</v>
      </c>
      <c r="D201" s="21">
        <f t="shared" si="58"/>
        <v>2.2675736961451243E-3</v>
      </c>
      <c r="E201" s="14">
        <f t="shared" si="59"/>
        <v>658.94890000000009</v>
      </c>
      <c r="F201" s="14">
        <f t="shared" si="60"/>
        <v>1.2223809523809523</v>
      </c>
      <c r="G201" s="14">
        <f t="shared" si="61"/>
        <v>18.884669909403193</v>
      </c>
      <c r="H201" s="14">
        <f t="shared" si="62"/>
        <v>86.940084027777772</v>
      </c>
      <c r="I201" s="14">
        <f t="shared" si="63"/>
        <v>46.040704438358489</v>
      </c>
      <c r="J201" s="5">
        <f t="shared" si="64"/>
        <v>72.25</v>
      </c>
      <c r="K201" s="14">
        <f t="shared" si="65"/>
        <v>0.26432918155811486</v>
      </c>
    </row>
    <row r="202" spans="1:12" ht="18.75" x14ac:dyDescent="0.3">
      <c r="A202" s="5">
        <v>22</v>
      </c>
      <c r="B202" s="14">
        <f t="shared" si="57"/>
        <v>4.5454545454545456E-2</v>
      </c>
      <c r="C202" s="5">
        <v>29.79</v>
      </c>
      <c r="D202" s="21">
        <f t="shared" si="58"/>
        <v>2.0661157024793389E-3</v>
      </c>
      <c r="E202" s="14">
        <f t="shared" si="59"/>
        <v>887.44409999999993</v>
      </c>
      <c r="F202" s="14">
        <f t="shared" si="60"/>
        <v>1.354090909090909</v>
      </c>
      <c r="G202" s="14">
        <f t="shared" si="61"/>
        <v>18.934758232104599</v>
      </c>
      <c r="H202" s="14">
        <f t="shared" si="62"/>
        <v>180.74561736111104</v>
      </c>
      <c r="I202" s="14">
        <f t="shared" si="63"/>
        <v>117.83627383946084</v>
      </c>
      <c r="J202" s="5">
        <f t="shared" si="64"/>
        <v>90.25</v>
      </c>
      <c r="K202" s="14">
        <f t="shared" si="65"/>
        <v>0.36439213722374625</v>
      </c>
    </row>
    <row r="203" spans="1:12" ht="18.75" x14ac:dyDescent="0.3">
      <c r="A203" s="5">
        <v>23</v>
      </c>
      <c r="B203" s="14">
        <f t="shared" si="57"/>
        <v>4.3478260869565216E-2</v>
      </c>
      <c r="C203" s="5">
        <v>28.56</v>
      </c>
      <c r="D203" s="21">
        <f t="shared" si="58"/>
        <v>1.8903591682419658E-3</v>
      </c>
      <c r="E203" s="14">
        <f t="shared" si="59"/>
        <v>815.67359999999996</v>
      </c>
      <c r="F203" s="14">
        <f t="shared" si="60"/>
        <v>1.2417391304347825</v>
      </c>
      <c r="G203" s="14">
        <f t="shared" si="61"/>
        <v>18.98049104848414</v>
      </c>
      <c r="H203" s="14">
        <f t="shared" si="62"/>
        <v>149.18586736111104</v>
      </c>
      <c r="I203" s="14">
        <f t="shared" si="63"/>
        <v>91.766991752172473</v>
      </c>
      <c r="J203" s="5">
        <f t="shared" si="64"/>
        <v>110.25</v>
      </c>
      <c r="K203" s="14">
        <f t="shared" si="65"/>
        <v>0.33541698009509313</v>
      </c>
    </row>
    <row r="204" spans="1:12" ht="18.75" x14ac:dyDescent="0.3">
      <c r="A204" s="5">
        <v>24</v>
      </c>
      <c r="B204" s="14">
        <f t="shared" si="57"/>
        <v>4.1666666666666664E-2</v>
      </c>
      <c r="C204" s="5">
        <v>29.03</v>
      </c>
      <c r="D204" s="21">
        <f t="shared" si="58"/>
        <v>1.736111111111111E-3</v>
      </c>
      <c r="E204" s="14">
        <f t="shared" si="59"/>
        <v>842.74090000000001</v>
      </c>
      <c r="F204" s="14">
        <f t="shared" si="60"/>
        <v>1.2095833333333332</v>
      </c>
      <c r="G204" s="14">
        <f t="shared" si="61"/>
        <v>19.022412796832057</v>
      </c>
      <c r="H204" s="14">
        <f t="shared" si="62"/>
        <v>160.88808402777775</v>
      </c>
      <c r="I204" s="14">
        <f t="shared" si="63"/>
        <v>100.15180162901079</v>
      </c>
      <c r="J204" s="5">
        <f t="shared" si="64"/>
        <v>132.25</v>
      </c>
      <c r="K204" s="14">
        <f t="shared" si="65"/>
        <v>0.34473259397753853</v>
      </c>
    </row>
    <row r="205" spans="1:12" ht="18.75" x14ac:dyDescent="0.3">
      <c r="A205" s="40">
        <f>SUM(A181:A204)</f>
        <v>300</v>
      </c>
      <c r="B205" s="41">
        <f t="shared" ref="B205:K205" si="66">SUM(B181:B204)</f>
        <v>3.7759581777535067</v>
      </c>
      <c r="C205" s="40">
        <f t="shared" si="66"/>
        <v>392.30000000000007</v>
      </c>
      <c r="D205" s="41">
        <f t="shared" si="66"/>
        <v>1.6041234035910008</v>
      </c>
      <c r="E205" s="41">
        <f t="shared" si="66"/>
        <v>7839.7969999999996</v>
      </c>
      <c r="F205" s="41">
        <f t="shared" si="66"/>
        <v>38.347907816624748</v>
      </c>
      <c r="G205" s="40">
        <f t="shared" si="66"/>
        <v>392.3</v>
      </c>
      <c r="H205" s="41">
        <f t="shared" si="66"/>
        <v>1427.3265833333332</v>
      </c>
      <c r="I205" s="41">
        <f t="shared" si="66"/>
        <v>886.45017695336583</v>
      </c>
      <c r="J205" s="40">
        <f t="shared" si="66"/>
        <v>1150</v>
      </c>
      <c r="K205" s="41">
        <f t="shared" si="66"/>
        <v>11.200972570878472</v>
      </c>
      <c r="L205" s="42" t="s">
        <v>43</v>
      </c>
    </row>
    <row r="206" spans="1:12" ht="18.75" x14ac:dyDescent="0.3">
      <c r="A206" s="43">
        <f>AVERAGE(A181:A204)</f>
        <v>12.5</v>
      </c>
      <c r="B206" s="44">
        <f t="shared" ref="B206:K206" si="67">AVERAGE(B181:B204)</f>
        <v>0.15733159073972944</v>
      </c>
      <c r="C206" s="44">
        <f t="shared" si="67"/>
        <v>16.345833333333335</v>
      </c>
      <c r="D206" s="44">
        <f t="shared" si="67"/>
        <v>6.6838475149625029E-2</v>
      </c>
      <c r="E206" s="44">
        <f t="shared" si="67"/>
        <v>326.65820833333333</v>
      </c>
      <c r="F206" s="44">
        <f t="shared" si="67"/>
        <v>1.5978294923593646</v>
      </c>
      <c r="G206" s="44">
        <f t="shared" si="67"/>
        <v>16.345833333333335</v>
      </c>
      <c r="H206" s="44">
        <f t="shared" si="67"/>
        <v>59.471940972222221</v>
      </c>
      <c r="I206" s="44">
        <f t="shared" si="67"/>
        <v>36.935424039723578</v>
      </c>
      <c r="J206" s="43">
        <f t="shared" si="67"/>
        <v>47.916666666666664</v>
      </c>
      <c r="K206" s="44">
        <f t="shared" si="67"/>
        <v>0.46670719045326964</v>
      </c>
      <c r="L206" s="46" t="s">
        <v>44</v>
      </c>
    </row>
    <row r="209" spans="1:13" ht="18.75" x14ac:dyDescent="0.3">
      <c r="A209" s="22" t="s">
        <v>39</v>
      </c>
      <c r="B209" s="23">
        <f>C206-(B210*B206)</f>
        <v>19.986613008834095</v>
      </c>
      <c r="F209" s="48" t="s">
        <v>47</v>
      </c>
      <c r="G209" s="48"/>
      <c r="H209" s="27">
        <f>K206</f>
        <v>0.46670719045326964</v>
      </c>
    </row>
    <row r="210" spans="1:13" ht="18.75" x14ac:dyDescent="0.3">
      <c r="A210" s="22" t="s">
        <v>38</v>
      </c>
      <c r="B210" s="23">
        <f>(F206-(B206*C206))/(D206-POWER(B206,2))</f>
        <v>-23.140805088048914</v>
      </c>
      <c r="F210" s="48"/>
      <c r="G210" s="48"/>
      <c r="H210" s="28">
        <f>1-(I206/H206)</f>
        <v>0.37894369284205565</v>
      </c>
    </row>
    <row r="211" spans="1:13" ht="18.75" x14ac:dyDescent="0.3">
      <c r="A211" s="23" t="s">
        <v>40</v>
      </c>
      <c r="B211" s="47">
        <v>2</v>
      </c>
      <c r="F211" s="48" t="s">
        <v>48</v>
      </c>
      <c r="G211" s="48" t="s">
        <v>48</v>
      </c>
      <c r="H211" s="27">
        <f>SQRT((H205-I205)/H205)</f>
        <v>0.61558402581780469</v>
      </c>
    </row>
    <row r="212" spans="1:13" ht="18.75" x14ac:dyDescent="0.3">
      <c r="A212" s="23" t="s">
        <v>41</v>
      </c>
      <c r="B212" s="47">
        <f>B213-B211-1</f>
        <v>21</v>
      </c>
    </row>
    <row r="213" spans="1:13" ht="18.75" x14ac:dyDescent="0.3">
      <c r="A213" s="26" t="s">
        <v>20</v>
      </c>
      <c r="B213" s="47">
        <v>24</v>
      </c>
    </row>
    <row r="217" spans="1:13" x14ac:dyDescent="0.25">
      <c r="A217" s="49" t="s">
        <v>68</v>
      </c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1:13" ht="36" customHeight="1" x14ac:dyDescent="0.25">
      <c r="A218" s="19" t="s">
        <v>0</v>
      </c>
      <c r="B218" s="19" t="s">
        <v>64</v>
      </c>
      <c r="C218" s="19" t="s">
        <v>1</v>
      </c>
      <c r="D218" s="19"/>
      <c r="E218" s="19"/>
      <c r="F218" s="19" t="s">
        <v>36</v>
      </c>
      <c r="G218" s="19" t="s">
        <v>37</v>
      </c>
      <c r="H218" s="19"/>
      <c r="I218" s="19"/>
      <c r="J218" s="19"/>
      <c r="K218" s="19"/>
    </row>
    <row r="219" spans="1:13" ht="18.75" x14ac:dyDescent="0.3">
      <c r="A219" s="5">
        <v>1</v>
      </c>
      <c r="B219" s="5">
        <f>LN(A219)</f>
        <v>0</v>
      </c>
      <c r="C219" s="5">
        <v>6.27</v>
      </c>
      <c r="D219" s="5">
        <f>B219^2</f>
        <v>0</v>
      </c>
      <c r="E219" s="14">
        <f>C219^2</f>
        <v>39.312899999999992</v>
      </c>
      <c r="F219" s="14">
        <f>B219*C219</f>
        <v>0</v>
      </c>
      <c r="G219" s="14">
        <f>B$248*B219+B$247</f>
        <v>-2.6076474122772275</v>
      </c>
      <c r="H219" s="14">
        <f>POWER(C219-C$244,2)</f>
        <v>101.52241736111115</v>
      </c>
      <c r="I219" s="14">
        <f>POWER(C219-G219,2)</f>
        <v>78.812623576712539</v>
      </c>
      <c r="J219" s="5">
        <f>POWER(A219-A$244,2)</f>
        <v>132.25</v>
      </c>
      <c r="K219" s="14">
        <f>ABS(C219-G219)/C219</f>
        <v>1.4158927292308179</v>
      </c>
    </row>
    <row r="220" spans="1:13" ht="18.75" x14ac:dyDescent="0.3">
      <c r="A220" s="5">
        <v>2</v>
      </c>
      <c r="B220" s="14">
        <f t="shared" ref="B220:B242" si="68">LN(A220)</f>
        <v>0.69314718055994529</v>
      </c>
      <c r="C220" s="5">
        <v>3.7399999999999998</v>
      </c>
      <c r="D220" s="14">
        <f t="shared" ref="D220:D242" si="69">B220^2</f>
        <v>0.48045301391820139</v>
      </c>
      <c r="E220" s="14">
        <f t="shared" ref="E220:E242" si="70">C220^2</f>
        <v>13.987599999999999</v>
      </c>
      <c r="F220" s="14">
        <f t="shared" ref="F220:F242" si="71">B220*C220</f>
        <v>2.5923704552941951</v>
      </c>
      <c r="G220" s="14">
        <f t="shared" ref="G220:G242" si="72">B$248*B220+B$247</f>
        <v>3.1476286516705523</v>
      </c>
      <c r="H220" s="14">
        <f t="shared" ref="H220:H242" si="73">POWER(C220-C$244,2)</f>
        <v>158.90703402777783</v>
      </c>
      <c r="I220" s="14">
        <f t="shared" ref="I220:I242" si="74">POWER(C220-G220,2)</f>
        <v>0.35090381432164763</v>
      </c>
      <c r="J220" s="5">
        <f t="shared" ref="J220:J242" si="75">POWER(A220-A$244,2)</f>
        <v>110.25</v>
      </c>
      <c r="K220" s="14">
        <f t="shared" ref="K220:K242" si="76">ABS(C220-G220)/C220</f>
        <v>0.15838806105065442</v>
      </c>
    </row>
    <row r="221" spans="1:13" ht="18.75" x14ac:dyDescent="0.3">
      <c r="A221" s="5">
        <v>3</v>
      </c>
      <c r="B221" s="14">
        <f t="shared" si="68"/>
        <v>1.0986122886681098</v>
      </c>
      <c r="C221" s="5">
        <v>5.51</v>
      </c>
      <c r="D221" s="14">
        <f t="shared" si="69"/>
        <v>1.2069489608125821</v>
      </c>
      <c r="E221" s="14">
        <f t="shared" si="70"/>
        <v>30.360099999999999</v>
      </c>
      <c r="F221" s="14">
        <f t="shared" si="71"/>
        <v>6.0533537105612849</v>
      </c>
      <c r="G221" s="14">
        <f t="shared" si="72"/>
        <v>6.5142493303780586</v>
      </c>
      <c r="H221" s="14">
        <f t="shared" si="73"/>
        <v>117.41528402777782</v>
      </c>
      <c r="I221" s="14">
        <f t="shared" si="74"/>
        <v>1.0085167175647796</v>
      </c>
      <c r="J221" s="5">
        <f t="shared" si="75"/>
        <v>90.25</v>
      </c>
      <c r="K221" s="14">
        <f t="shared" si="76"/>
        <v>0.18225940660218853</v>
      </c>
    </row>
    <row r="222" spans="1:13" ht="18.75" x14ac:dyDescent="0.3">
      <c r="A222" s="5">
        <v>4</v>
      </c>
      <c r="B222" s="14">
        <f t="shared" si="68"/>
        <v>1.3862943611198906</v>
      </c>
      <c r="C222" s="5">
        <v>9.629999999999999</v>
      </c>
      <c r="D222" s="14">
        <f t="shared" si="69"/>
        <v>1.9218120556728056</v>
      </c>
      <c r="E222" s="14">
        <f t="shared" si="70"/>
        <v>92.736899999999977</v>
      </c>
      <c r="F222" s="14">
        <f t="shared" si="71"/>
        <v>13.350014697584545</v>
      </c>
      <c r="G222" s="14">
        <f t="shared" si="72"/>
        <v>8.9029047156183321</v>
      </c>
      <c r="H222" s="14">
        <f t="shared" si="73"/>
        <v>45.102417361111144</v>
      </c>
      <c r="I222" s="14">
        <f t="shared" si="74"/>
        <v>0.52866755257005715</v>
      </c>
      <c r="J222" s="5">
        <f t="shared" si="75"/>
        <v>72.25</v>
      </c>
      <c r="K222" s="14">
        <f t="shared" si="76"/>
        <v>7.5503144795604049E-2</v>
      </c>
    </row>
    <row r="223" spans="1:13" ht="18.75" x14ac:dyDescent="0.3">
      <c r="A223" s="5">
        <v>5</v>
      </c>
      <c r="B223" s="14">
        <f t="shared" si="68"/>
        <v>1.6094379124341003</v>
      </c>
      <c r="C223" s="5">
        <v>7.1</v>
      </c>
      <c r="D223" s="14">
        <f t="shared" si="69"/>
        <v>2.5902903939802346</v>
      </c>
      <c r="E223" s="14">
        <f t="shared" si="70"/>
        <v>50.41</v>
      </c>
      <c r="F223" s="14">
        <f t="shared" si="71"/>
        <v>11.427009178282111</v>
      </c>
      <c r="G223" s="14">
        <f t="shared" si="72"/>
        <v>10.755689774435877</v>
      </c>
      <c r="H223" s="14">
        <f t="shared" si="73"/>
        <v>85.485434027777814</v>
      </c>
      <c r="I223" s="14">
        <f t="shared" si="74"/>
        <v>13.364067726915039</v>
      </c>
      <c r="J223" s="5">
        <f t="shared" si="75"/>
        <v>56.25</v>
      </c>
      <c r="K223" s="14">
        <f t="shared" si="76"/>
        <v>0.51488588372336308</v>
      </c>
    </row>
    <row r="224" spans="1:13" ht="18.75" x14ac:dyDescent="0.3">
      <c r="A224" s="5">
        <v>6</v>
      </c>
      <c r="B224" s="14">
        <f t="shared" si="68"/>
        <v>1.791759469228055</v>
      </c>
      <c r="C224" s="5">
        <v>8.870000000000001</v>
      </c>
      <c r="D224" s="14">
        <f t="shared" si="69"/>
        <v>3.2104019955684011</v>
      </c>
      <c r="E224" s="14">
        <f t="shared" si="70"/>
        <v>78.676900000000018</v>
      </c>
      <c r="F224" s="14">
        <f t="shared" si="71"/>
        <v>15.89290649205285</v>
      </c>
      <c r="G224" s="14">
        <f t="shared" si="72"/>
        <v>12.269525394325838</v>
      </c>
      <c r="H224" s="14">
        <f t="shared" si="73"/>
        <v>55.888084027777786</v>
      </c>
      <c r="I224" s="14">
        <f t="shared" si="74"/>
        <v>11.556772906666234</v>
      </c>
      <c r="J224" s="5">
        <f t="shared" si="75"/>
        <v>42.25</v>
      </c>
      <c r="K224" s="14">
        <f t="shared" si="76"/>
        <v>0.38326103656435584</v>
      </c>
    </row>
    <row r="225" spans="1:11" ht="18.75" x14ac:dyDescent="0.3">
      <c r="A225" s="5">
        <v>7</v>
      </c>
      <c r="B225" s="14">
        <f t="shared" si="68"/>
        <v>1.9459101490553132</v>
      </c>
      <c r="C225" s="5">
        <v>9.34</v>
      </c>
      <c r="D225" s="14">
        <f t="shared" si="69"/>
        <v>3.7865663081964716</v>
      </c>
      <c r="E225" s="14">
        <f t="shared" si="70"/>
        <v>87.235599999999991</v>
      </c>
      <c r="F225" s="14">
        <f t="shared" si="71"/>
        <v>18.174800792176626</v>
      </c>
      <c r="G225" s="14">
        <f t="shared" si="72"/>
        <v>13.549455173646884</v>
      </c>
      <c r="H225" s="14">
        <f t="shared" si="73"/>
        <v>49.081700694444471</v>
      </c>
      <c r="I225" s="14">
        <f t="shared" si="74"/>
        <v>17.719512858942515</v>
      </c>
      <c r="J225" s="5">
        <f t="shared" si="75"/>
        <v>30.25</v>
      </c>
      <c r="K225" s="14">
        <f t="shared" si="76"/>
        <v>0.45069113208210748</v>
      </c>
    </row>
    <row r="226" spans="1:11" ht="18.75" x14ac:dyDescent="0.3">
      <c r="A226" s="5">
        <v>8</v>
      </c>
      <c r="B226" s="14">
        <f t="shared" si="68"/>
        <v>2.0794415416798357</v>
      </c>
      <c r="C226" s="5">
        <v>14.11</v>
      </c>
      <c r="D226" s="14">
        <f t="shared" si="69"/>
        <v>4.3240771252638117</v>
      </c>
      <c r="E226" s="14">
        <f t="shared" si="70"/>
        <v>199.09209999999999</v>
      </c>
      <c r="F226" s="14">
        <f t="shared" si="71"/>
        <v>29.340920153102481</v>
      </c>
      <c r="G226" s="14">
        <f t="shared" si="72"/>
        <v>14.658180779566109</v>
      </c>
      <c r="H226" s="14">
        <f t="shared" si="73"/>
        <v>4.9989506944444546</v>
      </c>
      <c r="I226" s="14">
        <f t="shared" si="74"/>
        <v>0.30050216708570782</v>
      </c>
      <c r="J226" s="5">
        <f t="shared" si="75"/>
        <v>20.25</v>
      </c>
      <c r="K226" s="14">
        <f t="shared" si="76"/>
        <v>3.8850515915386942E-2</v>
      </c>
    </row>
    <row r="227" spans="1:11" ht="18.75" x14ac:dyDescent="0.3">
      <c r="A227" s="5">
        <v>9</v>
      </c>
      <c r="B227" s="14">
        <f t="shared" si="68"/>
        <v>2.1972245773362196</v>
      </c>
      <c r="C227" s="5">
        <v>12.230000000000002</v>
      </c>
      <c r="D227" s="14">
        <f t="shared" si="69"/>
        <v>4.8277958432503283</v>
      </c>
      <c r="E227" s="14">
        <f t="shared" si="70"/>
        <v>149.57290000000006</v>
      </c>
      <c r="F227" s="14">
        <f t="shared" si="71"/>
        <v>26.872056580821969</v>
      </c>
      <c r="G227" s="14">
        <f t="shared" si="72"/>
        <v>15.636146073033345</v>
      </c>
      <c r="H227" s="14">
        <f t="shared" si="73"/>
        <v>16.940084027777772</v>
      </c>
      <c r="I227" s="14">
        <f t="shared" si="74"/>
        <v>11.601831070840461</v>
      </c>
      <c r="J227" s="5">
        <f t="shared" si="75"/>
        <v>12.25</v>
      </c>
      <c r="K227" s="14">
        <f t="shared" si="76"/>
        <v>0.2785074466911972</v>
      </c>
    </row>
    <row r="228" spans="1:11" ht="18.75" x14ac:dyDescent="0.3">
      <c r="A228" s="5">
        <v>10</v>
      </c>
      <c r="B228" s="14">
        <f t="shared" si="68"/>
        <v>2.3025850929940459</v>
      </c>
      <c r="C228" s="5">
        <v>13.350000000000001</v>
      </c>
      <c r="D228" s="14">
        <f t="shared" si="69"/>
        <v>5.3018981104783993</v>
      </c>
      <c r="E228" s="14">
        <f t="shared" si="70"/>
        <v>178.22250000000003</v>
      </c>
      <c r="F228" s="14">
        <f t="shared" si="71"/>
        <v>30.739510991470517</v>
      </c>
      <c r="G228" s="14">
        <f t="shared" si="72"/>
        <v>16.510965838383658</v>
      </c>
      <c r="H228" s="14">
        <f t="shared" si="73"/>
        <v>8.9750173611111119</v>
      </c>
      <c r="I228" s="14">
        <f t="shared" si="74"/>
        <v>9.9917050314284932</v>
      </c>
      <c r="J228" s="5">
        <f t="shared" si="75"/>
        <v>6.25</v>
      </c>
      <c r="K228" s="14">
        <f t="shared" si="76"/>
        <v>0.2367764672946559</v>
      </c>
    </row>
    <row r="229" spans="1:11" ht="18.75" x14ac:dyDescent="0.3">
      <c r="A229" s="5">
        <v>11</v>
      </c>
      <c r="B229" s="14">
        <f t="shared" si="68"/>
        <v>2.3978952727983707</v>
      </c>
      <c r="C229" s="5">
        <v>11.47</v>
      </c>
      <c r="D229" s="14">
        <f t="shared" si="69"/>
        <v>5.7499017393087728</v>
      </c>
      <c r="E229" s="14">
        <f t="shared" si="70"/>
        <v>131.5609</v>
      </c>
      <c r="F229" s="14">
        <f t="shared" si="71"/>
        <v>27.503858778997312</v>
      </c>
      <c r="G229" s="14">
        <f t="shared" si="72"/>
        <v>17.302336577330134</v>
      </c>
      <c r="H229" s="14">
        <f t="shared" si="73"/>
        <v>23.773750694444455</v>
      </c>
      <c r="I229" s="14">
        <f t="shared" si="74"/>
        <v>34.016149951262982</v>
      </c>
      <c r="J229" s="5">
        <f t="shared" si="75"/>
        <v>2.25</v>
      </c>
      <c r="K229" s="14">
        <f t="shared" si="76"/>
        <v>0.50848618808458002</v>
      </c>
    </row>
    <row r="230" spans="1:11" ht="18.75" x14ac:dyDescent="0.3">
      <c r="A230" s="5">
        <v>12</v>
      </c>
      <c r="B230" s="14">
        <f t="shared" si="68"/>
        <v>2.4849066497880004</v>
      </c>
      <c r="C230" s="5">
        <v>14.94</v>
      </c>
      <c r="D230" s="14">
        <f t="shared" si="69"/>
        <v>6.174761058160624</v>
      </c>
      <c r="E230" s="14">
        <f t="shared" si="70"/>
        <v>223.20359999999999</v>
      </c>
      <c r="F230" s="14">
        <f t="shared" si="71"/>
        <v>37.124505347832724</v>
      </c>
      <c r="G230" s="14">
        <f t="shared" si="72"/>
        <v>18.024801458273618</v>
      </c>
      <c r="H230" s="14">
        <f t="shared" si="73"/>
        <v>1.9763673611111172</v>
      </c>
      <c r="I230" s="14">
        <f t="shared" si="74"/>
        <v>9.5160000369670446</v>
      </c>
      <c r="J230" s="5">
        <f t="shared" si="75"/>
        <v>0.25</v>
      </c>
      <c r="K230" s="14">
        <f t="shared" si="76"/>
        <v>0.20647934794334799</v>
      </c>
    </row>
    <row r="231" spans="1:11" ht="18.75" x14ac:dyDescent="0.3">
      <c r="A231" s="5">
        <v>13</v>
      </c>
      <c r="B231" s="14">
        <f t="shared" si="68"/>
        <v>2.5649493574615367</v>
      </c>
      <c r="C231" s="5">
        <v>16.71</v>
      </c>
      <c r="D231" s="14">
        <f t="shared" si="69"/>
        <v>6.5789652063423505</v>
      </c>
      <c r="E231" s="14">
        <f t="shared" si="70"/>
        <v>279.22410000000002</v>
      </c>
      <c r="F231" s="14">
        <f t="shared" si="71"/>
        <v>42.86030376318228</v>
      </c>
      <c r="G231" s="14">
        <f t="shared" si="72"/>
        <v>18.68940472362187</v>
      </c>
      <c r="H231" s="14">
        <f t="shared" si="73"/>
        <v>0.13261736111111053</v>
      </c>
      <c r="I231" s="14">
        <f t="shared" si="74"/>
        <v>3.9180430598965668</v>
      </c>
      <c r="J231" s="5">
        <f t="shared" si="75"/>
        <v>0.25</v>
      </c>
      <c r="K231" s="14">
        <f t="shared" si="76"/>
        <v>0.11845629704499513</v>
      </c>
    </row>
    <row r="232" spans="1:11" ht="18.75" x14ac:dyDescent="0.3">
      <c r="A232" s="5">
        <v>14</v>
      </c>
      <c r="B232" s="14">
        <f t="shared" si="68"/>
        <v>2.6390573296152584</v>
      </c>
      <c r="C232" s="5">
        <v>20.83</v>
      </c>
      <c r="D232" s="14">
        <f t="shared" si="69"/>
        <v>6.9646235889960186</v>
      </c>
      <c r="E232" s="14">
        <f t="shared" si="70"/>
        <v>433.88889999999992</v>
      </c>
      <c r="F232" s="14">
        <f t="shared" si="71"/>
        <v>54.971564175885831</v>
      </c>
      <c r="G232" s="14">
        <f t="shared" si="72"/>
        <v>19.304731237594662</v>
      </c>
      <c r="H232" s="14">
        <f t="shared" si="73"/>
        <v>20.107750694444416</v>
      </c>
      <c r="I232" s="14">
        <f t="shared" si="74"/>
        <v>2.3264447975695046</v>
      </c>
      <c r="J232" s="5">
        <f t="shared" si="75"/>
        <v>2.25</v>
      </c>
      <c r="K232" s="14">
        <f t="shared" si="76"/>
        <v>7.3224616534101575E-2</v>
      </c>
    </row>
    <row r="233" spans="1:11" ht="18.75" x14ac:dyDescent="0.3">
      <c r="A233" s="5">
        <v>15</v>
      </c>
      <c r="B233" s="14">
        <f t="shared" si="68"/>
        <v>2.7080502011022101</v>
      </c>
      <c r="C233" s="5">
        <v>21.95</v>
      </c>
      <c r="D233" s="14">
        <f t="shared" si="69"/>
        <v>7.3335358916897206</v>
      </c>
      <c r="E233" s="14">
        <f t="shared" si="70"/>
        <v>481.80249999999995</v>
      </c>
      <c r="F233" s="14">
        <f t="shared" si="71"/>
        <v>59.441701914193509</v>
      </c>
      <c r="G233" s="14">
        <f t="shared" si="72"/>
        <v>19.877586517091164</v>
      </c>
      <c r="H233" s="14">
        <f t="shared" si="73"/>
        <v>31.40668402777775</v>
      </c>
      <c r="I233" s="14">
        <f t="shared" si="74"/>
        <v>4.2948976441423312</v>
      </c>
      <c r="J233" s="5">
        <f t="shared" si="75"/>
        <v>6.25</v>
      </c>
      <c r="K233" s="14">
        <f t="shared" si="76"/>
        <v>9.4415192843227136E-2</v>
      </c>
    </row>
    <row r="234" spans="1:11" ht="18.75" x14ac:dyDescent="0.3">
      <c r="A234" s="5">
        <v>16</v>
      </c>
      <c r="B234" s="14">
        <f t="shared" si="68"/>
        <v>2.7725887222397811</v>
      </c>
      <c r="C234" s="5">
        <v>17.07</v>
      </c>
      <c r="D234" s="14">
        <f t="shared" si="69"/>
        <v>7.6872482226912222</v>
      </c>
      <c r="E234" s="14">
        <f t="shared" si="70"/>
        <v>291.38490000000002</v>
      </c>
      <c r="F234" s="14">
        <f t="shared" si="71"/>
        <v>47.328089488633061</v>
      </c>
      <c r="G234" s="14">
        <f t="shared" si="72"/>
        <v>20.413456843513892</v>
      </c>
      <c r="H234" s="14">
        <f t="shared" si="73"/>
        <v>0.52441736111110915</v>
      </c>
      <c r="I234" s="14">
        <f t="shared" si="74"/>
        <v>11.178703664439874</v>
      </c>
      <c r="J234" s="5">
        <f t="shared" si="75"/>
        <v>12.25</v>
      </c>
      <c r="K234" s="14">
        <f t="shared" si="76"/>
        <v>0.19586741906935509</v>
      </c>
    </row>
    <row r="235" spans="1:11" ht="18.75" x14ac:dyDescent="0.3">
      <c r="A235" s="5">
        <v>17</v>
      </c>
      <c r="B235" s="14">
        <f t="shared" si="68"/>
        <v>2.8332133440562162</v>
      </c>
      <c r="C235" s="5">
        <v>21.19</v>
      </c>
      <c r="D235" s="14">
        <f t="shared" si="69"/>
        <v>8.0270978529382067</v>
      </c>
      <c r="E235" s="14">
        <f t="shared" si="70"/>
        <v>449.01610000000005</v>
      </c>
      <c r="F235" s="14">
        <f t="shared" si="71"/>
        <v>60.035790760551222</v>
      </c>
      <c r="G235" s="14">
        <f t="shared" si="72"/>
        <v>20.916829640246835</v>
      </c>
      <c r="H235" s="14">
        <f t="shared" si="73"/>
        <v>23.465950694444441</v>
      </c>
      <c r="I235" s="14">
        <f t="shared" si="74"/>
        <v>7.4622045447674284E-2</v>
      </c>
      <c r="J235" s="5">
        <f t="shared" si="75"/>
        <v>20.25</v>
      </c>
      <c r="K235" s="14">
        <f t="shared" si="76"/>
        <v>1.2891475212513746E-2</v>
      </c>
    </row>
    <row r="236" spans="1:11" ht="18.75" x14ac:dyDescent="0.3">
      <c r="A236" s="5">
        <v>18</v>
      </c>
      <c r="B236" s="14">
        <f t="shared" si="68"/>
        <v>2.8903717578961645</v>
      </c>
      <c r="C236" s="5">
        <v>19.309999999999999</v>
      </c>
      <c r="D236" s="14">
        <f t="shared" si="69"/>
        <v>8.354248898843764</v>
      </c>
      <c r="E236" s="14">
        <f t="shared" si="70"/>
        <v>372.87609999999995</v>
      </c>
      <c r="F236" s="14">
        <f t="shared" si="71"/>
        <v>55.813078644974937</v>
      </c>
      <c r="G236" s="14">
        <f t="shared" si="72"/>
        <v>21.39142213698112</v>
      </c>
      <c r="H236" s="14">
        <f t="shared" si="73"/>
        <v>8.7862840277777607</v>
      </c>
      <c r="I236" s="14">
        <f t="shared" si="74"/>
        <v>4.3323181123150585</v>
      </c>
      <c r="J236" s="5">
        <f t="shared" si="75"/>
        <v>30.25</v>
      </c>
      <c r="K236" s="14">
        <f t="shared" si="76"/>
        <v>0.10778985691253866</v>
      </c>
    </row>
    <row r="237" spans="1:11" ht="18.75" x14ac:dyDescent="0.3">
      <c r="A237" s="5">
        <v>19</v>
      </c>
      <c r="B237" s="14">
        <f t="shared" si="68"/>
        <v>2.9444389791664403</v>
      </c>
      <c r="C237" s="5">
        <v>20.43</v>
      </c>
      <c r="D237" s="14">
        <f t="shared" si="69"/>
        <v>8.6697209020347081</v>
      </c>
      <c r="E237" s="14">
        <f t="shared" si="70"/>
        <v>417.38490000000002</v>
      </c>
      <c r="F237" s="14">
        <f t="shared" si="71"/>
        <v>60.154888344370377</v>
      </c>
      <c r="G237" s="14">
        <f t="shared" si="72"/>
        <v>21.840348127229849</v>
      </c>
      <c r="H237" s="14">
        <f t="shared" si="73"/>
        <v>16.680417361111097</v>
      </c>
      <c r="I237" s="14">
        <f t="shared" si="74"/>
        <v>1.9890818399807417</v>
      </c>
      <c r="J237" s="5">
        <f t="shared" si="75"/>
        <v>42.25</v>
      </c>
      <c r="K237" s="14">
        <f t="shared" si="76"/>
        <v>6.9033192718054276E-2</v>
      </c>
    </row>
    <row r="238" spans="1:11" ht="18.75" x14ac:dyDescent="0.3">
      <c r="A238" s="5">
        <v>20</v>
      </c>
      <c r="B238" s="14">
        <f t="shared" si="68"/>
        <v>2.9957322735539909</v>
      </c>
      <c r="C238" s="5">
        <v>25.2</v>
      </c>
      <c r="D238" s="14">
        <f t="shared" si="69"/>
        <v>8.9744118548129634</v>
      </c>
      <c r="E238" s="14">
        <f t="shared" si="70"/>
        <v>635.04</v>
      </c>
      <c r="F238" s="14">
        <f t="shared" si="71"/>
        <v>75.492453293560573</v>
      </c>
      <c r="G238" s="14">
        <f t="shared" si="72"/>
        <v>22.266241902331437</v>
      </c>
      <c r="H238" s="14">
        <f t="shared" si="73"/>
        <v>78.396267361111072</v>
      </c>
      <c r="I238" s="14">
        <f t="shared" si="74"/>
        <v>8.6069365756358618</v>
      </c>
      <c r="J238" s="5">
        <f t="shared" si="75"/>
        <v>56.25</v>
      </c>
      <c r="K238" s="14">
        <f t="shared" si="76"/>
        <v>0.11641897212970485</v>
      </c>
    </row>
    <row r="239" spans="1:11" ht="18.75" x14ac:dyDescent="0.3">
      <c r="A239" s="5">
        <v>21</v>
      </c>
      <c r="B239" s="14">
        <f t="shared" si="68"/>
        <v>3.044522437723423</v>
      </c>
      <c r="C239" s="5">
        <v>25.67</v>
      </c>
      <c r="D239" s="14">
        <f t="shared" si="69"/>
        <v>9.2691168738013747</v>
      </c>
      <c r="E239" s="14">
        <f t="shared" si="70"/>
        <v>658.94890000000009</v>
      </c>
      <c r="F239" s="14">
        <f t="shared" si="71"/>
        <v>78.152890976360268</v>
      </c>
      <c r="G239" s="14">
        <f t="shared" si="72"/>
        <v>22.671351916302172</v>
      </c>
      <c r="H239" s="14">
        <f t="shared" si="73"/>
        <v>86.940084027777772</v>
      </c>
      <c r="I239" s="14">
        <f t="shared" si="74"/>
        <v>8.9918903298646686</v>
      </c>
      <c r="J239" s="5">
        <f t="shared" si="75"/>
        <v>72.25</v>
      </c>
      <c r="K239" s="14">
        <f t="shared" si="76"/>
        <v>0.11681527400459019</v>
      </c>
    </row>
    <row r="240" spans="1:11" ht="18.75" x14ac:dyDescent="0.3">
      <c r="A240" s="5">
        <v>22</v>
      </c>
      <c r="B240" s="14">
        <f t="shared" si="68"/>
        <v>3.0910424533583161</v>
      </c>
      <c r="C240" s="5">
        <v>29.79</v>
      </c>
      <c r="D240" s="14">
        <f t="shared" si="69"/>
        <v>9.5545434484633969</v>
      </c>
      <c r="E240" s="14">
        <f t="shared" si="70"/>
        <v>887.44409999999993</v>
      </c>
      <c r="F240" s="14">
        <f t="shared" si="71"/>
        <v>92.082154685544239</v>
      </c>
      <c r="G240" s="14">
        <f t="shared" si="72"/>
        <v>23.057612641277913</v>
      </c>
      <c r="H240" s="14">
        <f t="shared" si="73"/>
        <v>180.74561736111104</v>
      </c>
      <c r="I240" s="14">
        <f t="shared" si="74"/>
        <v>45.325039547880948</v>
      </c>
      <c r="J240" s="5">
        <f t="shared" si="75"/>
        <v>90.25</v>
      </c>
      <c r="K240" s="14">
        <f t="shared" si="76"/>
        <v>0.2259948760900331</v>
      </c>
    </row>
    <row r="241" spans="1:12" ht="18.75" x14ac:dyDescent="0.3">
      <c r="A241" s="5">
        <v>23</v>
      </c>
      <c r="B241" s="14">
        <f t="shared" si="68"/>
        <v>3.1354942159291497</v>
      </c>
      <c r="C241" s="5">
        <v>28.56</v>
      </c>
      <c r="D241" s="14">
        <f t="shared" si="69"/>
        <v>9.8313239781251536</v>
      </c>
      <c r="E241" s="14">
        <f t="shared" si="70"/>
        <v>815.67359999999996</v>
      </c>
      <c r="F241" s="14">
        <f t="shared" si="71"/>
        <v>89.549714806936507</v>
      </c>
      <c r="G241" s="14">
        <f t="shared" si="72"/>
        <v>23.426700437202495</v>
      </c>
      <c r="H241" s="14">
        <f t="shared" si="73"/>
        <v>149.18586736111104</v>
      </c>
      <c r="I241" s="14">
        <f t="shared" si="74"/>
        <v>26.350764401417042</v>
      </c>
      <c r="J241" s="5">
        <f t="shared" si="75"/>
        <v>110.25</v>
      </c>
      <c r="K241" s="14">
        <f t="shared" si="76"/>
        <v>0.17973737964977254</v>
      </c>
    </row>
    <row r="242" spans="1:12" ht="18.75" x14ac:dyDescent="0.3">
      <c r="A242" s="5">
        <v>24</v>
      </c>
      <c r="B242" s="14">
        <f t="shared" si="68"/>
        <v>3.1780538303479458</v>
      </c>
      <c r="C242" s="5">
        <v>29.03</v>
      </c>
      <c r="D242" s="14">
        <f t="shared" si="69"/>
        <v>10.100026148589249</v>
      </c>
      <c r="E242" s="14">
        <f t="shared" si="70"/>
        <v>842.74090000000001</v>
      </c>
      <c r="F242" s="14">
        <f t="shared" si="71"/>
        <v>92.25890269500087</v>
      </c>
      <c r="G242" s="14">
        <f t="shared" si="72"/>
        <v>23.780077522221397</v>
      </c>
      <c r="H242" s="14">
        <f t="shared" si="73"/>
        <v>160.88808402777775</v>
      </c>
      <c r="I242" s="14">
        <f t="shared" si="74"/>
        <v>27.561686022685038</v>
      </c>
      <c r="J242" s="5">
        <f t="shared" si="75"/>
        <v>132.25</v>
      </c>
      <c r="K242" s="14">
        <f t="shared" si="76"/>
        <v>0.18084472882461605</v>
      </c>
    </row>
    <row r="243" spans="1:12" ht="18.75" x14ac:dyDescent="0.3">
      <c r="A243" s="40">
        <f>SUM(A219:A242)</f>
        <v>300</v>
      </c>
      <c r="B243" s="41">
        <f t="shared" ref="B243" si="77">SUM(B219:B242)</f>
        <v>54.784729398112326</v>
      </c>
      <c r="C243" s="40">
        <f t="shared" ref="C243" si="78">SUM(C219:C242)</f>
        <v>392.30000000000007</v>
      </c>
      <c r="D243" s="41">
        <f t="shared" ref="D243" si="79">SUM(D219:D242)</f>
        <v>140.91976947193876</v>
      </c>
      <c r="E243" s="41">
        <f t="shared" ref="E243" si="80">SUM(E219:E242)</f>
        <v>7839.7969999999996</v>
      </c>
      <c r="F243" s="41">
        <f t="shared" ref="F243" si="81">SUM(F219:F242)</f>
        <v>1027.2128407273703</v>
      </c>
      <c r="G243" s="41">
        <f t="shared" ref="G243" si="82">SUM(G219:G242)</f>
        <v>392.3</v>
      </c>
      <c r="H243" s="41">
        <f t="shared" ref="H243" si="83">SUM(H219:H242)</f>
        <v>1427.3265833333332</v>
      </c>
      <c r="I243" s="41">
        <f t="shared" ref="I243" si="84">SUM(I219:I242)</f>
        <v>333.71768145255282</v>
      </c>
      <c r="J243" s="40">
        <f t="shared" ref="J243" si="85">SUM(J219:J242)</f>
        <v>1150</v>
      </c>
      <c r="K243" s="41">
        <f t="shared" ref="K243" si="86">SUM(K219:K242)</f>
        <v>5.9414706410117617</v>
      </c>
      <c r="L243" s="42" t="s">
        <v>43</v>
      </c>
    </row>
    <row r="244" spans="1:12" ht="18.75" x14ac:dyDescent="0.3">
      <c r="A244" s="43">
        <f>AVERAGE(A219:A242)</f>
        <v>12.5</v>
      </c>
      <c r="B244" s="44">
        <f t="shared" ref="B244:K244" si="87">AVERAGE(B219:B242)</f>
        <v>2.2826970582546804</v>
      </c>
      <c r="C244" s="43">
        <f t="shared" si="87"/>
        <v>16.345833333333335</v>
      </c>
      <c r="D244" s="44">
        <f t="shared" si="87"/>
        <v>5.8716570613307821</v>
      </c>
      <c r="E244" s="44">
        <f t="shared" si="87"/>
        <v>326.65820833333333</v>
      </c>
      <c r="F244" s="44">
        <f t="shared" si="87"/>
        <v>42.800535030307095</v>
      </c>
      <c r="G244" s="44">
        <f t="shared" si="87"/>
        <v>16.345833333333335</v>
      </c>
      <c r="H244" s="44">
        <f t="shared" si="87"/>
        <v>59.471940972222221</v>
      </c>
      <c r="I244" s="44">
        <f t="shared" si="87"/>
        <v>13.904903393856367</v>
      </c>
      <c r="J244" s="44">
        <f t="shared" si="87"/>
        <v>47.916666666666664</v>
      </c>
      <c r="K244" s="44">
        <f t="shared" si="87"/>
        <v>0.24756127670882341</v>
      </c>
      <c r="L244" s="46" t="s">
        <v>44</v>
      </c>
    </row>
    <row r="247" spans="1:12" ht="19.5" customHeight="1" x14ac:dyDescent="0.3">
      <c r="A247" s="22" t="s">
        <v>39</v>
      </c>
      <c r="B247" s="23">
        <f>C244-(B248*B244)</f>
        <v>-2.6076474122772275</v>
      </c>
      <c r="F247" s="48" t="s">
        <v>47</v>
      </c>
      <c r="G247" s="48"/>
      <c r="H247" s="27">
        <f>K244</f>
        <v>0.24756127670882341</v>
      </c>
    </row>
    <row r="248" spans="1:12" ht="18.75" x14ac:dyDescent="0.3">
      <c r="A248" s="22" t="s">
        <v>38</v>
      </c>
      <c r="B248" s="23">
        <f>(F244-(B244*C244))/(D244-POWER(B244,2))</f>
        <v>8.3031082364044142</v>
      </c>
      <c r="F248" s="48"/>
      <c r="G248" s="48"/>
      <c r="H248" s="28">
        <f>1-(I244/H244)</f>
        <v>0.76619388628410534</v>
      </c>
    </row>
    <row r="249" spans="1:12" ht="18.75" x14ac:dyDescent="0.3">
      <c r="A249" s="23" t="s">
        <v>40</v>
      </c>
      <c r="B249" s="47">
        <v>2</v>
      </c>
      <c r="F249" s="48" t="s">
        <v>48</v>
      </c>
      <c r="G249" s="48" t="s">
        <v>48</v>
      </c>
      <c r="H249" s="27">
        <f>SQRT((H243-I243)/H243)</f>
        <v>0.87532501751298375</v>
      </c>
    </row>
    <row r="250" spans="1:12" ht="18.75" x14ac:dyDescent="0.3">
      <c r="A250" s="23" t="s">
        <v>41</v>
      </c>
      <c r="B250" s="47">
        <f>B251-B249-1</f>
        <v>21</v>
      </c>
    </row>
    <row r="251" spans="1:12" ht="18.75" x14ac:dyDescent="0.3">
      <c r="A251" s="26" t="s">
        <v>20</v>
      </c>
      <c r="B251" s="47">
        <v>24</v>
      </c>
    </row>
  </sheetData>
  <mergeCells count="27">
    <mergeCell ref="A1:H3"/>
    <mergeCell ref="A30:J30"/>
    <mergeCell ref="A65:M65"/>
    <mergeCell ref="F94:G94"/>
    <mergeCell ref="D59:E59"/>
    <mergeCell ref="D60:E60"/>
    <mergeCell ref="D61:E61"/>
    <mergeCell ref="A107:M107"/>
    <mergeCell ref="F137:G137"/>
    <mergeCell ref="F138:G138"/>
    <mergeCell ref="F139:G139"/>
    <mergeCell ref="F95:G95"/>
    <mergeCell ref="F96:G96"/>
    <mergeCell ref="F97:G97"/>
    <mergeCell ref="F98:G98"/>
    <mergeCell ref="A143:M143"/>
    <mergeCell ref="F173:G173"/>
    <mergeCell ref="F174:G174"/>
    <mergeCell ref="F175:G175"/>
    <mergeCell ref="A179:M179"/>
    <mergeCell ref="F248:G248"/>
    <mergeCell ref="F249:G249"/>
    <mergeCell ref="F209:G209"/>
    <mergeCell ref="F210:G210"/>
    <mergeCell ref="F211:G211"/>
    <mergeCell ref="A217:M217"/>
    <mergeCell ref="F247:G2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2022-04-18T18:23:47Z</dcterms:modified>
</cp:coreProperties>
</file>