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HW\ISiT\3_course\OptimizationMethods\KR3\"/>
    </mc:Choice>
  </mc:AlternateContent>
  <xr:revisionPtr revIDLastSave="0" documentId="13_ncr:1_{0C647ED7-05BC-4C2E-8C6B-E3959FBF6BBF}" xr6:coauthVersionLast="47" xr6:coauthVersionMax="47" xr10:uidLastSave="{00000000-0000-0000-0000-000000000000}"/>
  <bookViews>
    <workbookView xWindow="16065" yWindow="0" windowWidth="22335" windowHeight="21000" xr2:uid="{00000000-000D-0000-FFFF-FFFF00000000}"/>
  </bookViews>
  <sheets>
    <sheet name="Лист1" sheetId="1" r:id="rId1"/>
  </sheets>
  <definedNames>
    <definedName name="solver_adj" localSheetId="0" hidden="1">Лист1!$B$94:$B$96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Лист1!$C$94</definedName>
    <definedName name="solver_lhs2" localSheetId="0" hidden="1">Лист1!$C$95</definedName>
    <definedName name="solver_lhs3" localSheetId="0" hidden="1">Лист1!$C$96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Лист1!$C$94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Лист1!$D$94</definedName>
    <definedName name="solver_rhs2" localSheetId="0" hidden="1">Лист1!$D$95</definedName>
    <definedName name="solver_rhs3" localSheetId="0" hidden="1">Лист1!$D$96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D104" i="1"/>
  <c r="D103" i="1"/>
  <c r="D101" i="1"/>
  <c r="B102" i="1"/>
  <c r="B101" i="1"/>
  <c r="H98" i="1"/>
  <c r="H97" i="1"/>
  <c r="H96" i="1"/>
  <c r="H95" i="1"/>
  <c r="K92" i="1"/>
  <c r="M90" i="1"/>
  <c r="M67" i="1"/>
  <c r="M92" i="1"/>
  <c r="H94" i="1" s="1"/>
  <c r="D96" i="1" l="1"/>
  <c r="D95" i="1"/>
  <c r="D94" i="1"/>
  <c r="C95" i="1"/>
  <c r="C94" i="1"/>
  <c r="C96" i="1"/>
  <c r="I90" i="1"/>
  <c r="I89" i="1"/>
  <c r="M89" i="1" s="1"/>
  <c r="I88" i="1"/>
  <c r="K88" i="1" s="1"/>
  <c r="I87" i="1"/>
  <c r="K87" i="1" s="1"/>
  <c r="I86" i="1"/>
  <c r="M86" i="1" s="1"/>
  <c r="I85" i="1"/>
  <c r="M85" i="1" s="1"/>
  <c r="I84" i="1"/>
  <c r="K84" i="1" s="1"/>
  <c r="I83" i="1"/>
  <c r="M83" i="1" s="1"/>
  <c r="I82" i="1"/>
  <c r="M82" i="1" s="1"/>
  <c r="I81" i="1"/>
  <c r="M81" i="1" s="1"/>
  <c r="I80" i="1"/>
  <c r="M80" i="1" s="1"/>
  <c r="I79" i="1"/>
  <c r="M79" i="1" s="1"/>
  <c r="I78" i="1"/>
  <c r="M78" i="1" s="1"/>
  <c r="I77" i="1"/>
  <c r="M77" i="1" s="1"/>
  <c r="I76" i="1"/>
  <c r="K76" i="1" s="1"/>
  <c r="I75" i="1"/>
  <c r="M75" i="1" s="1"/>
  <c r="I74" i="1"/>
  <c r="M74" i="1" s="1"/>
  <c r="I73" i="1"/>
  <c r="K73" i="1" s="1"/>
  <c r="I72" i="1"/>
  <c r="M72" i="1" s="1"/>
  <c r="I71" i="1"/>
  <c r="M71" i="1" s="1"/>
  <c r="I70" i="1"/>
  <c r="K70" i="1" s="1"/>
  <c r="I69" i="1"/>
  <c r="K69" i="1" s="1"/>
  <c r="I68" i="1"/>
  <c r="I67" i="1"/>
  <c r="H67" i="1"/>
  <c r="B98" i="1"/>
  <c r="L91" i="1"/>
  <c r="L92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67" i="1"/>
  <c r="J91" i="1"/>
  <c r="J92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67" i="1"/>
  <c r="I92" i="1" l="1"/>
  <c r="M88" i="1"/>
  <c r="M87" i="1"/>
  <c r="K89" i="1"/>
  <c r="K67" i="1"/>
  <c r="K90" i="1"/>
  <c r="K72" i="1"/>
  <c r="K71" i="1"/>
  <c r="I91" i="1"/>
  <c r="K78" i="1"/>
  <c r="M76" i="1"/>
  <c r="K74" i="1"/>
  <c r="M73" i="1"/>
  <c r="K75" i="1"/>
  <c r="K77" i="1"/>
  <c r="K85" i="1"/>
  <c r="K82" i="1"/>
  <c r="M70" i="1"/>
  <c r="K86" i="1"/>
  <c r="K81" i="1"/>
  <c r="K80" i="1"/>
  <c r="M69" i="1"/>
  <c r="K68" i="1"/>
  <c r="K79" i="1"/>
  <c r="M84" i="1"/>
  <c r="M68" i="1"/>
  <c r="K83" i="1"/>
  <c r="H91" i="1"/>
  <c r="H92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G91" i="1"/>
  <c r="G92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67" i="1"/>
  <c r="F90" i="1"/>
  <c r="F91" i="1"/>
  <c r="F92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67" i="1"/>
  <c r="B92" i="1"/>
  <c r="A92" i="1"/>
  <c r="E91" i="1"/>
  <c r="D91" i="1"/>
  <c r="C91" i="1"/>
  <c r="B91" i="1"/>
  <c r="A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E92" i="1" s="1"/>
  <c r="D67" i="1"/>
  <c r="D92" i="1" s="1"/>
  <c r="C67" i="1"/>
  <c r="C92" i="1" s="1"/>
  <c r="J33" i="1"/>
  <c r="J34" i="1"/>
  <c r="J35" i="1"/>
  <c r="J36" i="1"/>
  <c r="J56" i="1" s="1"/>
  <c r="J37" i="1"/>
  <c r="J38" i="1"/>
  <c r="J39" i="1"/>
  <c r="J57" i="1" s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2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57" i="1" s="1"/>
  <c r="I39" i="1"/>
  <c r="I38" i="1"/>
  <c r="I37" i="1"/>
  <c r="I56" i="1" s="1"/>
  <c r="I36" i="1"/>
  <c r="I35" i="1"/>
  <c r="I34" i="1"/>
  <c r="I33" i="1"/>
  <c r="I32" i="1"/>
  <c r="H56" i="1"/>
  <c r="H57" i="1"/>
  <c r="G57" i="1"/>
  <c r="G5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2" i="1"/>
  <c r="B62" i="1"/>
  <c r="B57" i="1"/>
  <c r="A57" i="1"/>
  <c r="B56" i="1"/>
  <c r="A56" i="1"/>
  <c r="E33" i="1"/>
  <c r="E56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C28" i="1"/>
  <c r="C25" i="1"/>
  <c r="C21" i="1"/>
  <c r="C17" i="1"/>
  <c r="C14" i="1"/>
  <c r="C13" i="1"/>
  <c r="C10" i="1"/>
  <c r="C7" i="1"/>
  <c r="D34" i="1"/>
  <c r="D37" i="1"/>
  <c r="D40" i="1"/>
  <c r="D41" i="1"/>
  <c r="D44" i="1"/>
  <c r="D48" i="1"/>
  <c r="D52" i="1"/>
  <c r="D55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2" i="1"/>
  <c r="C57" i="1" s="1"/>
  <c r="D53" i="1"/>
  <c r="D47" i="1"/>
  <c r="D46" i="1"/>
  <c r="D39" i="1"/>
  <c r="D35" i="1"/>
  <c r="E32" i="1"/>
  <c r="E57" i="1" s="1"/>
  <c r="M91" i="1" l="1"/>
  <c r="K91" i="1"/>
  <c r="B59" i="1"/>
  <c r="C56" i="1"/>
  <c r="D45" i="1"/>
  <c r="D50" i="1"/>
  <c r="D32" i="1"/>
  <c r="D49" i="1"/>
  <c r="F33" i="1" l="1"/>
  <c r="H33" i="1" s="1"/>
  <c r="F49" i="1"/>
  <c r="H49" i="1" s="1"/>
  <c r="F54" i="1"/>
  <c r="H54" i="1" s="1"/>
  <c r="F40" i="1"/>
  <c r="H40" i="1" s="1"/>
  <c r="F44" i="1"/>
  <c r="H44" i="1" s="1"/>
  <c r="B60" i="1"/>
  <c r="F34" i="1" s="1"/>
  <c r="H34" i="1" s="1"/>
  <c r="D42" i="1"/>
  <c r="F39" i="1" l="1"/>
  <c r="H39" i="1" s="1"/>
  <c r="F52" i="1"/>
  <c r="H52" i="1" s="1"/>
  <c r="F51" i="1"/>
  <c r="H51" i="1" s="1"/>
  <c r="F46" i="1"/>
  <c r="H46" i="1" s="1"/>
  <c r="F35" i="1"/>
  <c r="H35" i="1" s="1"/>
  <c r="F37" i="1"/>
  <c r="H37" i="1" s="1"/>
  <c r="F55" i="1"/>
  <c r="H55" i="1" s="1"/>
  <c r="F36" i="1"/>
  <c r="H36" i="1" s="1"/>
  <c r="F38" i="1"/>
  <c r="H38" i="1" s="1"/>
  <c r="F53" i="1"/>
  <c r="H53" i="1" s="1"/>
  <c r="F45" i="1"/>
  <c r="H45" i="1" s="1"/>
  <c r="F43" i="1"/>
  <c r="H43" i="1" s="1"/>
  <c r="F47" i="1"/>
  <c r="H47" i="1" s="1"/>
  <c r="F50" i="1"/>
  <c r="H50" i="1" s="1"/>
  <c r="F48" i="1"/>
  <c r="H48" i="1" s="1"/>
  <c r="F42" i="1"/>
  <c r="H42" i="1" s="1"/>
  <c r="F41" i="1"/>
  <c r="H41" i="1" s="1"/>
  <c r="F32" i="1"/>
  <c r="D33" i="1"/>
  <c r="D51" i="1"/>
  <c r="D36" i="1"/>
  <c r="D54" i="1"/>
  <c r="D43" i="1"/>
  <c r="D38" i="1"/>
  <c r="D57" i="1" l="1"/>
  <c r="D56" i="1"/>
  <c r="F57" i="1"/>
  <c r="F56" i="1"/>
  <c r="H32" i="1"/>
  <c r="F9" i="1" l="1"/>
  <c r="F5" i="1"/>
  <c r="F8" i="1" s="1"/>
  <c r="F6" i="1"/>
  <c r="F4" i="1"/>
  <c r="F7" i="1" s="1"/>
  <c r="C15" i="1" l="1"/>
  <c r="C22" i="1"/>
  <c r="C20" i="1"/>
  <c r="C18" i="1"/>
  <c r="C23" i="1"/>
  <c r="C12" i="1"/>
  <c r="C26" i="1"/>
  <c r="C5" i="1"/>
  <c r="F11" i="1" s="1"/>
  <c r="C8" i="1"/>
  <c r="C19" i="1"/>
  <c r="C6" i="1"/>
  <c r="C27" i="1"/>
  <c r="C11" i="1"/>
  <c r="C24" i="1"/>
  <c r="C9" i="1"/>
  <c r="C16" i="1"/>
  <c r="F15" i="1"/>
  <c r="F14" i="1"/>
  <c r="F10" i="1"/>
</calcChain>
</file>

<file path=xl/sharedStrings.xml><?xml version="1.0" encoding="utf-8"?>
<sst xmlns="http://schemas.openxmlformats.org/spreadsheetml/2006/main" count="76" uniqueCount="58">
  <si>
    <t>t</t>
  </si>
  <si>
    <t>y</t>
  </si>
  <si>
    <t>3,27+р1</t>
  </si>
  <si>
    <t>4,39-р2</t>
  </si>
  <si>
    <t>6,63+р1</t>
  </si>
  <si>
    <t>7,75-р2</t>
  </si>
  <si>
    <t>9,99-р2</t>
  </si>
  <si>
    <t>11,11+р1</t>
  </si>
  <si>
    <t>14,47-р1</t>
  </si>
  <si>
    <t>15,59-р2</t>
  </si>
  <si>
    <t>17,83+р1</t>
  </si>
  <si>
    <t>18,95+р1</t>
  </si>
  <si>
    <t>20,07-р1</t>
  </si>
  <si>
    <t>22,31-р1</t>
  </si>
  <si>
    <t>23,43-р1</t>
  </si>
  <si>
    <t>24,55+р2</t>
  </si>
  <si>
    <t>26,79+р1</t>
  </si>
  <si>
    <t>27,91+р2</t>
  </si>
  <si>
    <t xml:space="preserve">1. Проверить ряд на наличие тенденции. 2. С помощью метода аналитического выравнивания выбрать наилучшую модель. 3. Проверить выбранную модель на адекватность. 4 Построить по выбранной модели точечный и интервальный прогноз на следующие два периода. (в таблице р1 - это число букв в полном имени*0,15, р2 - число букв в фамилии*0,13). </t>
  </si>
  <si>
    <t>Число</t>
  </si>
  <si>
    <t>n</t>
  </si>
  <si>
    <t>m</t>
  </si>
  <si>
    <t>Median</t>
  </si>
  <si>
    <t>v(n)</t>
  </si>
  <si>
    <t>t(n)</t>
  </si>
  <si>
    <t>v(n)табл</t>
  </si>
  <si>
    <t>t(n)табл</t>
  </si>
  <si>
    <t>Имя</t>
  </si>
  <si>
    <t>Фамилия</t>
  </si>
  <si>
    <t>Отчество</t>
  </si>
  <si>
    <t xml:space="preserve">p1 </t>
  </si>
  <si>
    <t>p2</t>
  </si>
  <si>
    <t>Эдмон</t>
  </si>
  <si>
    <t>Тунян</t>
  </si>
  <si>
    <t>Гарникович</t>
  </si>
  <si>
    <t>Линейная</t>
  </si>
  <si>
    <t>t * y</t>
  </si>
  <si>
    <t>y(t)</t>
  </si>
  <si>
    <t>b</t>
  </si>
  <si>
    <t>a</t>
  </si>
  <si>
    <t>m(k1)</t>
  </si>
  <si>
    <t>k2</t>
  </si>
  <si>
    <t>n(степень свободы)</t>
  </si>
  <si>
    <t>Сумма</t>
  </si>
  <si>
    <t>Среднее</t>
  </si>
  <si>
    <t>Параболическая</t>
  </si>
  <si>
    <t>c</t>
  </si>
  <si>
    <t>Ошибка аппроксимации</t>
  </si>
  <si>
    <t>Эмпирическая корреляция</t>
  </si>
  <si>
    <t>F</t>
  </si>
  <si>
    <t>Fтабл</t>
  </si>
  <si>
    <t>Sy</t>
  </si>
  <si>
    <t>x1</t>
  </si>
  <si>
    <t>x2</t>
  </si>
  <si>
    <t>tтабл</t>
  </si>
  <si>
    <t>k1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</si>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</sst>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Times New Roman"/>
      <family val="1"/>
      <charset val="204"/>
    </font>
    <font>
      <sz val="13.5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30</xdr:row>
      <xdr:rowOff>147637</xdr:rowOff>
    </xdr:from>
    <xdr:ext cx="15850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F65AAD-D606-4212-9A14-93FC46881128}"/>
                </a:ext>
              </a:extLst>
            </xdr:cNvPr>
            <xdr:cNvSpPr txBox="1"/>
          </xdr:nvSpPr>
          <xdr:spPr>
            <a:xfrm>
              <a:off x="2057400" y="7700962"/>
              <a:ext cx="15850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F65AAD-D606-4212-9A14-93FC46881128}"/>
                </a:ext>
              </a:extLst>
            </xdr:cNvPr>
            <xdr:cNvSpPr txBox="1"/>
          </xdr:nvSpPr>
          <xdr:spPr>
            <a:xfrm>
              <a:off x="2057400" y="7700962"/>
              <a:ext cx="15850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3</xdr:col>
      <xdr:colOff>390525</xdr:colOff>
      <xdr:row>30</xdr:row>
      <xdr:rowOff>138112</xdr:rowOff>
    </xdr:from>
    <xdr:ext cx="18364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7459486-67B6-4FBA-B574-073D7FAEF870}"/>
                </a:ext>
              </a:extLst>
            </xdr:cNvPr>
            <xdr:cNvSpPr txBox="1"/>
          </xdr:nvSpPr>
          <xdr:spPr>
            <a:xfrm>
              <a:off x="2867025" y="7691437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7459486-67B6-4FBA-B574-073D7FAEF870}"/>
                </a:ext>
              </a:extLst>
            </xdr:cNvPr>
            <xdr:cNvSpPr txBox="1"/>
          </xdr:nvSpPr>
          <xdr:spPr>
            <a:xfrm>
              <a:off x="2867025" y="7691437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6</xdr:col>
      <xdr:colOff>257175</xdr:colOff>
      <xdr:row>30</xdr:row>
      <xdr:rowOff>90487</xdr:rowOff>
    </xdr:from>
    <xdr:ext cx="715324" cy="234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78DF24E-0961-4664-BB3A-382665C4A02A}"/>
                </a:ext>
              </a:extLst>
            </xdr:cNvPr>
            <xdr:cNvSpPr txBox="1"/>
          </xdr:nvSpPr>
          <xdr:spPr>
            <a:xfrm>
              <a:off x="5143500" y="7643812"/>
              <a:ext cx="715324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ср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78DF24E-0961-4664-BB3A-382665C4A02A}"/>
                </a:ext>
              </a:extLst>
            </xdr:cNvPr>
            <xdr:cNvSpPr txBox="1"/>
          </xdr:nvSpPr>
          <xdr:spPr>
            <a:xfrm>
              <a:off x="5143500" y="7643812"/>
              <a:ext cx="715324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𝒊−𝒚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ср )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7</xdr:col>
      <xdr:colOff>66675</xdr:colOff>
      <xdr:row>30</xdr:row>
      <xdr:rowOff>128587</xdr:rowOff>
    </xdr:from>
    <xdr:ext cx="77348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213FA4B-CCF7-4C2C-8949-F0F40ABD619C}"/>
                </a:ext>
              </a:extLst>
            </xdr:cNvPr>
            <xdr:cNvSpPr txBox="1"/>
          </xdr:nvSpPr>
          <xdr:spPr>
            <a:xfrm>
              <a:off x="6038850" y="7681912"/>
              <a:ext cx="77348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213FA4B-CCF7-4C2C-8949-F0F40ABD619C}"/>
                </a:ext>
              </a:extLst>
            </xdr:cNvPr>
            <xdr:cNvSpPr txBox="1"/>
          </xdr:nvSpPr>
          <xdr:spPr>
            <a:xfrm>
              <a:off x="6038850" y="7681912"/>
              <a:ext cx="77348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𝒊−</a:t>
              </a:r>
              <a:r>
                <a:rPr lang="en-US" sz="1100" b="1" i="0">
                  <a:latin typeface="Cambria Math" panose="02040503050406030204" pitchFamily="18" charset="0"/>
                </a:rPr>
                <a:t>𝒚(𝒕)</a:t>
              </a:r>
              <a:r>
                <a:rPr lang="ru-RU" sz="1100" b="1" i="0">
                  <a:latin typeface="Cambria Math" panose="02040503050406030204" pitchFamily="18" charset="0"/>
                </a:rPr>
                <a:t>)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8</xdr:col>
      <xdr:colOff>28575</xdr:colOff>
      <xdr:row>30</xdr:row>
      <xdr:rowOff>109537</xdr:rowOff>
    </xdr:from>
    <xdr:ext cx="690189" cy="234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DE35DE5-D7DB-45FF-83AC-1CC041B84BD7}"/>
                </a:ext>
              </a:extLst>
            </xdr:cNvPr>
            <xdr:cNvSpPr txBox="1"/>
          </xdr:nvSpPr>
          <xdr:spPr>
            <a:xfrm>
              <a:off x="6886575" y="7662862"/>
              <a:ext cx="690189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ср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DE35DE5-D7DB-45FF-83AC-1CC041B84BD7}"/>
                </a:ext>
              </a:extLst>
            </xdr:cNvPr>
            <xdr:cNvSpPr txBox="1"/>
          </xdr:nvSpPr>
          <xdr:spPr>
            <a:xfrm>
              <a:off x="6886575" y="7662862"/>
              <a:ext cx="690189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_𝒊−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_ср )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9</xdr:col>
      <xdr:colOff>0</xdr:colOff>
      <xdr:row>30</xdr:row>
      <xdr:rowOff>61912</xdr:rowOff>
    </xdr:from>
    <xdr:ext cx="678198" cy="357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69E717F-0D74-4671-9749-5C048F6436E0}"/>
                </a:ext>
              </a:extLst>
            </xdr:cNvPr>
            <xdr:cNvSpPr txBox="1"/>
          </xdr:nvSpPr>
          <xdr:spPr>
            <a:xfrm>
              <a:off x="7581900" y="7615237"/>
              <a:ext cx="678198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  <m:d>
                              <m:d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</m:num>
                      <m:den>
                        <m:sSub>
                          <m:sSub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  <m:sub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69E717F-0D74-4671-9749-5C048F6436E0}"/>
                </a:ext>
              </a:extLst>
            </xdr:cNvPr>
            <xdr:cNvSpPr txBox="1"/>
          </xdr:nvSpPr>
          <xdr:spPr>
            <a:xfrm>
              <a:off x="7581900" y="7615237"/>
              <a:ext cx="678198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𝒊−𝒚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𝒕)|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 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2</xdr:col>
      <xdr:colOff>400050</xdr:colOff>
      <xdr:row>65</xdr:row>
      <xdr:rowOff>147637</xdr:rowOff>
    </xdr:from>
    <xdr:ext cx="15850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4F64B09-682C-4257-B3A5-86428186A48F}"/>
                </a:ext>
              </a:extLst>
            </xdr:cNvPr>
            <xdr:cNvSpPr txBox="1"/>
          </xdr:nvSpPr>
          <xdr:spPr>
            <a:xfrm>
              <a:off x="2057400" y="16311562"/>
              <a:ext cx="15850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4F64B09-682C-4257-B3A5-86428186A48F}"/>
                </a:ext>
              </a:extLst>
            </xdr:cNvPr>
            <xdr:cNvSpPr txBox="1"/>
          </xdr:nvSpPr>
          <xdr:spPr>
            <a:xfrm>
              <a:off x="2057400" y="16311562"/>
              <a:ext cx="15850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3</xdr:col>
      <xdr:colOff>390525</xdr:colOff>
      <xdr:row>65</xdr:row>
      <xdr:rowOff>138112</xdr:rowOff>
    </xdr:from>
    <xdr:ext cx="18364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2483FED-09A4-4FE7-B7E8-5067C99BD032}"/>
                </a:ext>
              </a:extLst>
            </xdr:cNvPr>
            <xdr:cNvSpPr txBox="1"/>
          </xdr:nvSpPr>
          <xdr:spPr>
            <a:xfrm>
              <a:off x="2867025" y="7691437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2483FED-09A4-4FE7-B7E8-5067C99BD032}"/>
                </a:ext>
              </a:extLst>
            </xdr:cNvPr>
            <xdr:cNvSpPr txBox="1"/>
          </xdr:nvSpPr>
          <xdr:spPr>
            <a:xfrm>
              <a:off x="2867025" y="7691437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9</xdr:col>
      <xdr:colOff>219075</xdr:colOff>
      <xdr:row>65</xdr:row>
      <xdr:rowOff>100012</xdr:rowOff>
    </xdr:from>
    <xdr:ext cx="715324" cy="234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455646B-AEB3-4151-848F-C9DFBA4CF410}"/>
                </a:ext>
              </a:extLst>
            </xdr:cNvPr>
            <xdr:cNvSpPr txBox="1"/>
          </xdr:nvSpPr>
          <xdr:spPr>
            <a:xfrm>
              <a:off x="7800975" y="16263937"/>
              <a:ext cx="715324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ср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455646B-AEB3-4151-848F-C9DFBA4CF410}"/>
                </a:ext>
              </a:extLst>
            </xdr:cNvPr>
            <xdr:cNvSpPr txBox="1"/>
          </xdr:nvSpPr>
          <xdr:spPr>
            <a:xfrm>
              <a:off x="7800975" y="16263937"/>
              <a:ext cx="715324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𝒊−𝒚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ср )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10</xdr:col>
      <xdr:colOff>57150</xdr:colOff>
      <xdr:row>65</xdr:row>
      <xdr:rowOff>147637</xdr:rowOff>
    </xdr:from>
    <xdr:ext cx="77348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837A9EE-63A2-4D32-82D9-D3B5978F6028}"/>
                </a:ext>
              </a:extLst>
            </xdr:cNvPr>
            <xdr:cNvSpPr txBox="1"/>
          </xdr:nvSpPr>
          <xdr:spPr>
            <a:xfrm>
              <a:off x="8610600" y="16311562"/>
              <a:ext cx="77348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837A9EE-63A2-4D32-82D9-D3B5978F6028}"/>
                </a:ext>
              </a:extLst>
            </xdr:cNvPr>
            <xdr:cNvSpPr txBox="1"/>
          </xdr:nvSpPr>
          <xdr:spPr>
            <a:xfrm>
              <a:off x="8610600" y="16311562"/>
              <a:ext cx="77348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𝒊−</a:t>
              </a:r>
              <a:r>
                <a:rPr lang="en-US" sz="1100" b="1" i="0">
                  <a:latin typeface="Cambria Math" panose="02040503050406030204" pitchFamily="18" charset="0"/>
                </a:rPr>
                <a:t>𝒚(𝒕))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11</xdr:col>
      <xdr:colOff>95250</xdr:colOff>
      <xdr:row>65</xdr:row>
      <xdr:rowOff>109537</xdr:rowOff>
    </xdr:from>
    <xdr:ext cx="690189" cy="234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2B26851-94C1-491E-8C03-EA47E3EF5C55}"/>
                </a:ext>
              </a:extLst>
            </xdr:cNvPr>
            <xdr:cNvSpPr txBox="1"/>
          </xdr:nvSpPr>
          <xdr:spPr>
            <a:xfrm>
              <a:off x="9534525" y="16273462"/>
              <a:ext cx="690189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ru-RU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ср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2B26851-94C1-491E-8C03-EA47E3EF5C55}"/>
                </a:ext>
              </a:extLst>
            </xdr:cNvPr>
            <xdr:cNvSpPr txBox="1"/>
          </xdr:nvSpPr>
          <xdr:spPr>
            <a:xfrm>
              <a:off x="9534525" y="16273462"/>
              <a:ext cx="690189" cy="234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_𝒊−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_ср )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12</xdr:col>
      <xdr:colOff>0</xdr:colOff>
      <xdr:row>65</xdr:row>
      <xdr:rowOff>61912</xdr:rowOff>
    </xdr:from>
    <xdr:ext cx="678198" cy="357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E099C1E-9AB5-4A48-B1C5-9DB46A6FE772}"/>
                </a:ext>
              </a:extLst>
            </xdr:cNvPr>
            <xdr:cNvSpPr txBox="1"/>
          </xdr:nvSpPr>
          <xdr:spPr>
            <a:xfrm>
              <a:off x="7581900" y="7615237"/>
              <a:ext cx="678198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  <m:d>
                              <m:dPr>
                                <m:ctrlPr>
                                  <a:rPr lang="ru-RU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</m:num>
                      <m:den>
                        <m:sSub>
                          <m:sSub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  <m:sub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E099C1E-9AB5-4A48-B1C5-9DB46A6FE772}"/>
                </a:ext>
              </a:extLst>
            </xdr:cNvPr>
            <xdr:cNvSpPr txBox="1"/>
          </xdr:nvSpPr>
          <xdr:spPr>
            <a:xfrm>
              <a:off x="7581900" y="7615237"/>
              <a:ext cx="678198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𝒊−𝒚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𝒕)|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b="1" i="0">
                  <a:latin typeface="Cambria Math" panose="02040503050406030204" pitchFamily="18" charset="0"/>
                </a:rPr>
                <a:t>𝒚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1" i="0">
                  <a:latin typeface="Cambria Math" panose="02040503050406030204" pitchFamily="18" charset="0"/>
                </a:rPr>
                <a:t>𝒊 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5</xdr:col>
      <xdr:colOff>304800</xdr:colOff>
      <xdr:row>65</xdr:row>
      <xdr:rowOff>176212</xdr:rowOff>
    </xdr:from>
    <xdr:ext cx="15850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8DC93891-6882-4B68-A889-30710B9644BA}"/>
                </a:ext>
              </a:extLst>
            </xdr:cNvPr>
            <xdr:cNvSpPr txBox="1"/>
          </xdr:nvSpPr>
          <xdr:spPr>
            <a:xfrm>
              <a:off x="4381500" y="16340137"/>
              <a:ext cx="15850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p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8DC93891-6882-4B68-A889-30710B9644BA}"/>
                </a:ext>
              </a:extLst>
            </xdr:cNvPr>
            <xdr:cNvSpPr txBox="1"/>
          </xdr:nvSpPr>
          <xdr:spPr>
            <a:xfrm>
              <a:off x="4381500" y="16340137"/>
              <a:ext cx="15850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𝟑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6</xdr:col>
      <xdr:colOff>457200</xdr:colOff>
      <xdr:row>65</xdr:row>
      <xdr:rowOff>147637</xdr:rowOff>
    </xdr:from>
    <xdr:ext cx="158505" cy="179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E0F6A0D-A460-4FC0-BFE6-24A5FDCF5424}"/>
                </a:ext>
              </a:extLst>
            </xdr:cNvPr>
            <xdr:cNvSpPr txBox="1"/>
          </xdr:nvSpPr>
          <xdr:spPr>
            <a:xfrm>
              <a:off x="5343525" y="16311562"/>
              <a:ext cx="158505" cy="179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E0F6A0D-A460-4FC0-BFE6-24A5FDCF5424}"/>
                </a:ext>
              </a:extLst>
            </xdr:cNvPr>
            <xdr:cNvSpPr txBox="1"/>
          </xdr:nvSpPr>
          <xdr:spPr>
            <a:xfrm>
              <a:off x="5343525" y="16311562"/>
              <a:ext cx="158505" cy="179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1" i="0">
                  <a:latin typeface="Cambria Math" panose="02040503050406030204" pitchFamily="18" charset="0"/>
                </a:rPr>
                <a:t>𝟒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7</xdr:col>
      <xdr:colOff>276225</xdr:colOff>
      <xdr:row>65</xdr:row>
      <xdr:rowOff>147637</xdr:rowOff>
    </xdr:from>
    <xdr:ext cx="37362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0DB2D46-E197-44CD-9EBC-4426DF37277F}"/>
                </a:ext>
              </a:extLst>
            </xdr:cNvPr>
            <xdr:cNvSpPr txBox="1"/>
          </xdr:nvSpPr>
          <xdr:spPr>
            <a:xfrm>
              <a:off x="6248400" y="16311562"/>
              <a:ext cx="37362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0DB2D46-E197-44CD-9EBC-4426DF37277F}"/>
                </a:ext>
              </a:extLst>
            </xdr:cNvPr>
            <xdr:cNvSpPr txBox="1"/>
          </xdr:nvSpPr>
          <xdr:spPr>
            <a:xfrm>
              <a:off x="6248400" y="16311562"/>
              <a:ext cx="37362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1" i="0">
                  <a:latin typeface="Cambria Math" panose="02040503050406030204" pitchFamily="18" charset="0"/>
                </a:rPr>
                <a:t>𝒕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 i="0">
                  <a:latin typeface="Cambria Math" panose="02040503050406030204" pitchFamily="18" charset="0"/>
                </a:rPr>
                <a:t>∗𝒚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6</xdr:col>
      <xdr:colOff>80962</xdr:colOff>
      <xdr:row>94</xdr:row>
      <xdr:rowOff>52387</xdr:rowOff>
    </xdr:from>
    <xdr:ext cx="19127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FAF3E51-F4A6-4F3C-B0CC-D1C2073E44B9}"/>
                </a:ext>
              </a:extLst>
            </xdr:cNvPr>
            <xdr:cNvSpPr txBox="1"/>
          </xdr:nvSpPr>
          <xdr:spPr>
            <a:xfrm>
              <a:off x="5062537" y="23293387"/>
              <a:ext cx="191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FAF3E51-F4A6-4F3C-B0CC-D1C2073E44B9}"/>
                </a:ext>
              </a:extLst>
            </xdr:cNvPr>
            <xdr:cNvSpPr txBox="1"/>
          </xdr:nvSpPr>
          <xdr:spPr>
            <a:xfrm>
              <a:off x="5062537" y="23293387"/>
              <a:ext cx="191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𝑅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328612</xdr:colOff>
      <xdr:row>100</xdr:row>
      <xdr:rowOff>14287</xdr:rowOff>
    </xdr:from>
    <xdr:ext cx="26052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44D50CA-CE6B-42C5-9D2F-AD068039EC76}"/>
                </a:ext>
              </a:extLst>
            </xdr:cNvPr>
            <xdr:cNvSpPr txBox="1"/>
          </xdr:nvSpPr>
          <xdr:spPr>
            <a:xfrm>
              <a:off x="328612" y="24874537"/>
              <a:ext cx="2605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𝑆</m:t>
                    </m:r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44D50CA-CE6B-42C5-9D2F-AD068039EC76}"/>
                </a:ext>
              </a:extLst>
            </xdr:cNvPr>
            <xdr:cNvSpPr txBox="1"/>
          </xdr:nvSpPr>
          <xdr:spPr>
            <a:xfrm>
              <a:off x="328612" y="24874537"/>
              <a:ext cx="2605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𝑆𝑦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64" workbookViewId="0">
      <selection activeCell="F104" sqref="F104"/>
    </sheetView>
  </sheetViews>
  <sheetFormatPr defaultRowHeight="15" x14ac:dyDescent="0.25"/>
  <cols>
    <col min="1" max="2" width="13.140625" customWidth="1"/>
    <col min="3" max="3" width="12.28515625" customWidth="1"/>
    <col min="4" max="4" width="12.28515625" bestFit="1" customWidth="1"/>
    <col min="5" max="5" width="11.7109375" customWidth="1"/>
    <col min="6" max="6" width="12.140625" customWidth="1"/>
    <col min="7" max="7" width="16.28515625" customWidth="1"/>
    <col min="8" max="8" width="13.28515625" customWidth="1"/>
    <col min="9" max="9" width="10.85546875" bestFit="1" customWidth="1"/>
    <col min="10" max="10" width="14.5703125" customWidth="1"/>
    <col min="11" max="11" width="13.28515625" customWidth="1"/>
    <col min="12" max="12" width="12.140625" customWidth="1"/>
    <col min="13" max="13" width="11" customWidth="1"/>
    <col min="14" max="14" width="13" customWidth="1"/>
  </cols>
  <sheetData>
    <row r="1" spans="1:14" ht="15" customHeight="1" x14ac:dyDescent="0.25">
      <c r="A1" s="24" t="s">
        <v>18</v>
      </c>
      <c r="B1" s="25"/>
      <c r="C1" s="25"/>
      <c r="D1" s="25"/>
      <c r="E1" s="25"/>
      <c r="F1" s="25"/>
      <c r="G1" s="25"/>
      <c r="H1" s="25"/>
    </row>
    <row r="2" spans="1:14" ht="18.75" customHeight="1" x14ac:dyDescent="0.25">
      <c r="A2" s="25"/>
      <c r="B2" s="25"/>
      <c r="C2" s="25"/>
      <c r="D2" s="25"/>
      <c r="E2" s="25"/>
      <c r="F2" s="25"/>
      <c r="G2" s="25"/>
      <c r="H2" s="25"/>
    </row>
    <row r="3" spans="1:14" ht="60.75" customHeight="1" x14ac:dyDescent="0.25">
      <c r="A3" s="25"/>
      <c r="B3" s="25"/>
      <c r="C3" s="25"/>
      <c r="D3" s="25"/>
      <c r="E3" s="25"/>
      <c r="F3" s="25"/>
      <c r="G3" s="25"/>
      <c r="H3" s="25"/>
    </row>
    <row r="4" spans="1:14" ht="18.75" x14ac:dyDescent="0.3">
      <c r="A4" s="5" t="s">
        <v>0</v>
      </c>
      <c r="B4" s="5" t="s">
        <v>1</v>
      </c>
      <c r="C4" s="5" t="s">
        <v>1</v>
      </c>
      <c r="D4" s="6" t="s">
        <v>19</v>
      </c>
      <c r="E4" s="2" t="s">
        <v>27</v>
      </c>
      <c r="F4" s="10">
        <f>LEN(G4)</f>
        <v>5</v>
      </c>
      <c r="G4" s="10" t="s">
        <v>32</v>
      </c>
    </row>
    <row r="5" spans="1:14" ht="18.75" x14ac:dyDescent="0.3">
      <c r="A5" s="5">
        <v>1</v>
      </c>
      <c r="B5" s="5" t="s">
        <v>2</v>
      </c>
      <c r="C5" s="5">
        <f>3.27+$F$7</f>
        <v>6.27</v>
      </c>
      <c r="D5" s="7">
        <v>0</v>
      </c>
      <c r="E5" s="2" t="s">
        <v>28</v>
      </c>
      <c r="F5" s="10">
        <f t="shared" ref="F5:F6" si="0">LEN(G5)</f>
        <v>5</v>
      </c>
      <c r="G5" s="10" t="s">
        <v>33</v>
      </c>
      <c r="L5" s="1"/>
      <c r="N5" s="1"/>
    </row>
    <row r="6" spans="1:14" ht="18.75" x14ac:dyDescent="0.3">
      <c r="A6" s="5">
        <v>2</v>
      </c>
      <c r="B6" s="5" t="s">
        <v>3</v>
      </c>
      <c r="C6" s="5">
        <f>4.39-$F$8</f>
        <v>3.7399999999999998</v>
      </c>
      <c r="D6" s="7">
        <v>0</v>
      </c>
      <c r="E6" s="2" t="s">
        <v>29</v>
      </c>
      <c r="F6" s="10">
        <f t="shared" si="0"/>
        <v>10</v>
      </c>
      <c r="G6" s="10" t="s">
        <v>34</v>
      </c>
    </row>
    <row r="7" spans="1:14" ht="18.75" x14ac:dyDescent="0.3">
      <c r="A7" s="5">
        <v>3</v>
      </c>
      <c r="B7" s="5">
        <v>5.51</v>
      </c>
      <c r="C7" s="5">
        <f>$B$7</f>
        <v>5.51</v>
      </c>
      <c r="D7" s="7">
        <v>0</v>
      </c>
      <c r="E7" s="3" t="s">
        <v>30</v>
      </c>
      <c r="F7" s="4">
        <f>SUM(F4:F6)*0.15</f>
        <v>3</v>
      </c>
    </row>
    <row r="8" spans="1:14" ht="18.75" x14ac:dyDescent="0.3">
      <c r="A8" s="5">
        <v>4</v>
      </c>
      <c r="B8" s="5" t="s">
        <v>4</v>
      </c>
      <c r="C8" s="5">
        <f>6.63+$F$7</f>
        <v>9.629999999999999</v>
      </c>
      <c r="D8" s="7">
        <v>0</v>
      </c>
      <c r="E8" s="3" t="s">
        <v>31</v>
      </c>
      <c r="F8" s="4">
        <f>F5*0.13</f>
        <v>0.65</v>
      </c>
    </row>
    <row r="9" spans="1:14" ht="18.75" x14ac:dyDescent="0.3">
      <c r="A9" s="5">
        <v>5</v>
      </c>
      <c r="B9" s="5" t="s">
        <v>5</v>
      </c>
      <c r="C9" s="5">
        <f>7.75-$F$8</f>
        <v>7.1</v>
      </c>
      <c r="D9" s="8">
        <v>0</v>
      </c>
      <c r="E9" s="9" t="s">
        <v>20</v>
      </c>
      <c r="F9" s="11">
        <f>COUNT(A5:A28)</f>
        <v>24</v>
      </c>
    </row>
    <row r="10" spans="1:14" ht="18.75" x14ac:dyDescent="0.3">
      <c r="A10" s="5">
        <v>6</v>
      </c>
      <c r="B10" s="5">
        <v>8.870000000000001</v>
      </c>
      <c r="C10" s="5">
        <f>$B$10</f>
        <v>8.870000000000001</v>
      </c>
      <c r="D10" s="8">
        <v>0</v>
      </c>
      <c r="E10" s="9" t="s">
        <v>21</v>
      </c>
      <c r="F10" s="11">
        <f>F9/2</f>
        <v>12</v>
      </c>
    </row>
    <row r="11" spans="1:14" ht="18.75" x14ac:dyDescent="0.3">
      <c r="A11" s="5">
        <v>7</v>
      </c>
      <c r="B11" s="5" t="s">
        <v>6</v>
      </c>
      <c r="C11" s="5">
        <f>9.99-$F$8</f>
        <v>9.34</v>
      </c>
      <c r="D11" s="8">
        <v>0</v>
      </c>
      <c r="E11" s="9" t="s">
        <v>22</v>
      </c>
      <c r="F11" s="12">
        <f>MEDIAN(C5:C28)</f>
        <v>15.824999999999999</v>
      </c>
    </row>
    <row r="12" spans="1:14" ht="18.75" x14ac:dyDescent="0.3">
      <c r="A12" s="5">
        <v>8</v>
      </c>
      <c r="B12" s="5" t="s">
        <v>7</v>
      </c>
      <c r="C12" s="5">
        <f>11.11+$F$7</f>
        <v>14.11</v>
      </c>
      <c r="D12" s="8">
        <v>0</v>
      </c>
      <c r="E12" s="9" t="s">
        <v>23</v>
      </c>
      <c r="F12" s="11">
        <v>2</v>
      </c>
    </row>
    <row r="13" spans="1:14" ht="18.75" x14ac:dyDescent="0.3">
      <c r="A13" s="5">
        <v>9</v>
      </c>
      <c r="B13" s="5">
        <v>12.230000000000002</v>
      </c>
      <c r="C13" s="5">
        <f>$B$13</f>
        <v>12.230000000000002</v>
      </c>
      <c r="D13" s="8">
        <v>0</v>
      </c>
      <c r="E13" s="9" t="s">
        <v>24</v>
      </c>
      <c r="F13" s="11">
        <v>12</v>
      </c>
    </row>
    <row r="14" spans="1:14" ht="18.75" x14ac:dyDescent="0.3">
      <c r="A14" s="5">
        <v>10</v>
      </c>
      <c r="B14" s="5">
        <v>13.350000000000001</v>
      </c>
      <c r="C14" s="5">
        <f>$B$14</f>
        <v>13.350000000000001</v>
      </c>
      <c r="D14" s="8">
        <v>0</v>
      </c>
      <c r="E14" s="9" t="s">
        <v>25</v>
      </c>
      <c r="F14" s="11">
        <f>INT(0.5*(F9+1-1.96*SQRT(F9-1)))</f>
        <v>7</v>
      </c>
    </row>
    <row r="15" spans="1:14" ht="18.75" x14ac:dyDescent="0.3">
      <c r="A15" s="5">
        <v>11</v>
      </c>
      <c r="B15" s="5" t="s">
        <v>8</v>
      </c>
      <c r="C15" s="5">
        <f>14.47-$F$7</f>
        <v>11.47</v>
      </c>
      <c r="D15" s="8">
        <v>0</v>
      </c>
      <c r="E15" s="9" t="s">
        <v>26</v>
      </c>
      <c r="F15" s="11">
        <f>INT(3.3*(LOG10(F9)+1))</f>
        <v>7</v>
      </c>
    </row>
    <row r="16" spans="1:14" ht="18.75" x14ac:dyDescent="0.3">
      <c r="A16" s="5">
        <v>12</v>
      </c>
      <c r="B16" s="5" t="s">
        <v>9</v>
      </c>
      <c r="C16" s="5">
        <f>15.59-$F$8</f>
        <v>14.94</v>
      </c>
      <c r="D16" s="8">
        <v>0</v>
      </c>
    </row>
    <row r="17" spans="1:10" ht="18.75" x14ac:dyDescent="0.3">
      <c r="A17" s="5">
        <v>13</v>
      </c>
      <c r="B17" s="5">
        <v>16.71</v>
      </c>
      <c r="C17" s="5">
        <f>$B$17</f>
        <v>16.71</v>
      </c>
      <c r="D17" s="8">
        <v>1</v>
      </c>
    </row>
    <row r="18" spans="1:10" ht="18.75" x14ac:dyDescent="0.3">
      <c r="A18" s="5">
        <v>14</v>
      </c>
      <c r="B18" s="5" t="s">
        <v>10</v>
      </c>
      <c r="C18" s="5">
        <f>17.83+$F$7</f>
        <v>20.83</v>
      </c>
      <c r="D18" s="8">
        <v>1</v>
      </c>
    </row>
    <row r="19" spans="1:10" ht="18.75" x14ac:dyDescent="0.3">
      <c r="A19" s="5">
        <v>15</v>
      </c>
      <c r="B19" s="5" t="s">
        <v>11</v>
      </c>
      <c r="C19" s="5">
        <f>18.95+$F$7</f>
        <v>21.95</v>
      </c>
      <c r="D19" s="8">
        <v>1</v>
      </c>
    </row>
    <row r="20" spans="1:10" ht="18.75" x14ac:dyDescent="0.3">
      <c r="A20" s="5">
        <v>16</v>
      </c>
      <c r="B20" s="5" t="s">
        <v>12</v>
      </c>
      <c r="C20" s="5">
        <f>20.07-$F$7</f>
        <v>17.07</v>
      </c>
      <c r="D20" s="8">
        <v>1</v>
      </c>
    </row>
    <row r="21" spans="1:10" ht="18.75" x14ac:dyDescent="0.3">
      <c r="A21" s="5">
        <v>17</v>
      </c>
      <c r="B21" s="5">
        <v>21.19</v>
      </c>
      <c r="C21" s="5">
        <f>$B$21</f>
        <v>21.19</v>
      </c>
      <c r="D21" s="8">
        <v>1</v>
      </c>
    </row>
    <row r="22" spans="1:10" ht="18.75" x14ac:dyDescent="0.3">
      <c r="A22" s="5">
        <v>18</v>
      </c>
      <c r="B22" s="5" t="s">
        <v>13</v>
      </c>
      <c r="C22" s="5">
        <f>22.31-$F$7</f>
        <v>19.309999999999999</v>
      </c>
      <c r="D22" s="8">
        <v>1</v>
      </c>
    </row>
    <row r="23" spans="1:10" ht="18.75" x14ac:dyDescent="0.3">
      <c r="A23" s="5">
        <v>19</v>
      </c>
      <c r="B23" s="5" t="s">
        <v>14</v>
      </c>
      <c r="C23" s="5">
        <f>23.43-$F$7</f>
        <v>20.43</v>
      </c>
      <c r="D23" s="8">
        <v>1</v>
      </c>
    </row>
    <row r="24" spans="1:10" ht="18.75" x14ac:dyDescent="0.3">
      <c r="A24" s="5">
        <v>20</v>
      </c>
      <c r="B24" s="5" t="s">
        <v>15</v>
      </c>
      <c r="C24" s="5">
        <f>24.55+$F$8</f>
        <v>25.2</v>
      </c>
      <c r="D24" s="8">
        <v>1</v>
      </c>
    </row>
    <row r="25" spans="1:10" ht="18.75" x14ac:dyDescent="0.3">
      <c r="A25" s="5">
        <v>21</v>
      </c>
      <c r="B25" s="5">
        <v>25.67</v>
      </c>
      <c r="C25" s="5">
        <f>$B$25</f>
        <v>25.67</v>
      </c>
      <c r="D25" s="8">
        <v>1</v>
      </c>
    </row>
    <row r="26" spans="1:10" ht="18.75" x14ac:dyDescent="0.3">
      <c r="A26" s="5">
        <v>22</v>
      </c>
      <c r="B26" s="5" t="s">
        <v>16</v>
      </c>
      <c r="C26" s="5">
        <f>26.79+$F$7</f>
        <v>29.79</v>
      </c>
      <c r="D26" s="8">
        <v>1</v>
      </c>
    </row>
    <row r="27" spans="1:10" ht="18.75" x14ac:dyDescent="0.3">
      <c r="A27" s="5">
        <v>23</v>
      </c>
      <c r="B27" s="5" t="s">
        <v>17</v>
      </c>
      <c r="C27" s="5">
        <f>27.91+$F$8</f>
        <v>28.56</v>
      </c>
      <c r="D27" s="8">
        <v>1</v>
      </c>
    </row>
    <row r="28" spans="1:10" ht="18.75" x14ac:dyDescent="0.3">
      <c r="A28" s="5">
        <v>24</v>
      </c>
      <c r="B28" s="5">
        <v>29.03</v>
      </c>
      <c r="C28" s="5">
        <f>$B$28</f>
        <v>29.03</v>
      </c>
      <c r="D28" s="8">
        <v>1</v>
      </c>
    </row>
    <row r="29" spans="1:10" ht="15.75" thickBot="1" x14ac:dyDescent="0.3"/>
    <row r="30" spans="1:10" ht="15.75" thickBot="1" x14ac:dyDescent="0.3">
      <c r="A30" s="26" t="s">
        <v>35</v>
      </c>
      <c r="B30" s="27"/>
      <c r="C30" s="27"/>
      <c r="D30" s="27"/>
      <c r="E30" s="27"/>
      <c r="F30" s="27"/>
      <c r="G30" s="27"/>
      <c r="H30" s="27"/>
      <c r="I30" s="27"/>
      <c r="J30" s="28"/>
    </row>
    <row r="31" spans="1:10" ht="36" customHeight="1" x14ac:dyDescent="0.3">
      <c r="A31" s="19" t="s">
        <v>0</v>
      </c>
      <c r="B31" s="19" t="s">
        <v>1</v>
      </c>
      <c r="C31" s="20"/>
      <c r="D31" s="19"/>
      <c r="E31" s="19" t="s">
        <v>36</v>
      </c>
      <c r="F31" s="19" t="s">
        <v>37</v>
      </c>
      <c r="G31" s="13"/>
      <c r="H31" s="13"/>
      <c r="I31" s="13"/>
      <c r="J31" s="13"/>
    </row>
    <row r="32" spans="1:10" ht="18.75" x14ac:dyDescent="0.3">
      <c r="A32" s="5">
        <v>1</v>
      </c>
      <c r="B32" s="14">
        <v>6.27</v>
      </c>
      <c r="C32" s="5">
        <f>A32^2</f>
        <v>1</v>
      </c>
      <c r="D32" s="14">
        <f>B32^2</f>
        <v>39.312899999999992</v>
      </c>
      <c r="E32" s="14">
        <f>A32*B32</f>
        <v>6.27</v>
      </c>
      <c r="F32" s="14">
        <f>A32+$B$59+$B$60</f>
        <v>4.942833333333331</v>
      </c>
      <c r="G32" s="14">
        <f>(B32-$B$57)^2</f>
        <v>101.52241736111115</v>
      </c>
      <c r="H32" s="14">
        <f t="shared" ref="H32:H55" si="1">(B32-F32)^2</f>
        <v>1.7613713611111164</v>
      </c>
      <c r="I32" s="5">
        <f>(A32-$A$57)^2</f>
        <v>132.25</v>
      </c>
      <c r="J32" s="5">
        <f>ABS(B32-F32)/B32</f>
        <v>0.2116693248272199</v>
      </c>
    </row>
    <row r="33" spans="1:10" ht="18.75" x14ac:dyDescent="0.3">
      <c r="A33" s="5">
        <v>2</v>
      </c>
      <c r="B33" s="14">
        <v>3.7399999999999998</v>
      </c>
      <c r="C33" s="5">
        <f t="shared" ref="C33:C55" si="2">A33^2</f>
        <v>4</v>
      </c>
      <c r="D33" s="14">
        <f t="shared" ref="D33:D55" si="3">B33^2</f>
        <v>13.987599999999999</v>
      </c>
      <c r="E33" s="14">
        <f t="shared" ref="E33:E55" si="4">A33*B33</f>
        <v>7.4799999999999995</v>
      </c>
      <c r="F33" s="14">
        <f t="shared" ref="F33:F55" si="5">A33+$B$59+$B$60</f>
        <v>5.942833333333331</v>
      </c>
      <c r="G33" s="14">
        <f t="shared" ref="G33:G55" si="6">(B33-$B$57)^2</f>
        <v>158.90703402777783</v>
      </c>
      <c r="H33" s="14">
        <f t="shared" si="1"/>
        <v>4.8524746944444352</v>
      </c>
      <c r="I33" s="5">
        <f t="shared" ref="I33:I55" si="7">(A33-$A$57)^2</f>
        <v>110.25</v>
      </c>
      <c r="J33" s="5">
        <f t="shared" ref="J33:J55" si="8">ABS(B33-F33)/B33</f>
        <v>0.58899286987522226</v>
      </c>
    </row>
    <row r="34" spans="1:10" ht="18.75" x14ac:dyDescent="0.3">
      <c r="A34" s="5">
        <v>3</v>
      </c>
      <c r="B34" s="14">
        <v>5.51</v>
      </c>
      <c r="C34" s="5">
        <f t="shared" si="2"/>
        <v>9</v>
      </c>
      <c r="D34" s="14">
        <f t="shared" si="3"/>
        <v>30.360099999999999</v>
      </c>
      <c r="E34" s="14">
        <f t="shared" si="4"/>
        <v>16.53</v>
      </c>
      <c r="F34" s="14">
        <f t="shared" si="5"/>
        <v>6.942833333333331</v>
      </c>
      <c r="G34" s="14">
        <f t="shared" si="6"/>
        <v>117.41528402777782</v>
      </c>
      <c r="H34" s="14">
        <f t="shared" si="1"/>
        <v>2.0530113611111052</v>
      </c>
      <c r="I34" s="5">
        <f t="shared" si="7"/>
        <v>90.25</v>
      </c>
      <c r="J34" s="5">
        <f t="shared" si="8"/>
        <v>0.26004234724742853</v>
      </c>
    </row>
    <row r="35" spans="1:10" ht="18.75" x14ac:dyDescent="0.3">
      <c r="A35" s="5">
        <v>4</v>
      </c>
      <c r="B35" s="14">
        <v>9.629999999999999</v>
      </c>
      <c r="C35" s="5">
        <f t="shared" si="2"/>
        <v>16</v>
      </c>
      <c r="D35" s="14">
        <f t="shared" si="3"/>
        <v>92.736899999999977</v>
      </c>
      <c r="E35" s="14">
        <f t="shared" si="4"/>
        <v>38.519999999999996</v>
      </c>
      <c r="F35" s="14">
        <f t="shared" si="5"/>
        <v>7.942833333333331</v>
      </c>
      <c r="G35" s="14">
        <f t="shared" si="6"/>
        <v>45.102417361111144</v>
      </c>
      <c r="H35" s="14">
        <f t="shared" si="1"/>
        <v>2.8465313611111158</v>
      </c>
      <c r="I35" s="5">
        <f t="shared" si="7"/>
        <v>72.25</v>
      </c>
      <c r="J35" s="5">
        <f t="shared" si="8"/>
        <v>0.17519903080650759</v>
      </c>
    </row>
    <row r="36" spans="1:10" ht="18.75" x14ac:dyDescent="0.3">
      <c r="A36" s="5">
        <v>5</v>
      </c>
      <c r="B36" s="14">
        <v>7.1</v>
      </c>
      <c r="C36" s="5">
        <f t="shared" si="2"/>
        <v>25</v>
      </c>
      <c r="D36" s="14">
        <f t="shared" si="3"/>
        <v>50.41</v>
      </c>
      <c r="E36" s="14">
        <f t="shared" si="4"/>
        <v>35.5</v>
      </c>
      <c r="F36" s="14">
        <f t="shared" si="5"/>
        <v>8.942833333333331</v>
      </c>
      <c r="G36" s="14">
        <f t="shared" si="6"/>
        <v>85.485434027777814</v>
      </c>
      <c r="H36" s="14">
        <f t="shared" si="1"/>
        <v>3.3960346944444368</v>
      </c>
      <c r="I36" s="5">
        <f t="shared" si="7"/>
        <v>56.25</v>
      </c>
      <c r="J36" s="5">
        <f t="shared" si="8"/>
        <v>0.25955399061032836</v>
      </c>
    </row>
    <row r="37" spans="1:10" ht="18.75" x14ac:dyDescent="0.3">
      <c r="A37" s="5">
        <v>6</v>
      </c>
      <c r="B37" s="14">
        <v>8.870000000000001</v>
      </c>
      <c r="C37" s="5">
        <f t="shared" si="2"/>
        <v>36</v>
      </c>
      <c r="D37" s="14">
        <f t="shared" si="3"/>
        <v>78.676900000000018</v>
      </c>
      <c r="E37" s="14">
        <f t="shared" si="4"/>
        <v>53.220000000000006</v>
      </c>
      <c r="F37" s="14">
        <f t="shared" si="5"/>
        <v>9.942833333333331</v>
      </c>
      <c r="G37" s="14">
        <f t="shared" si="6"/>
        <v>55.888084027777786</v>
      </c>
      <c r="H37" s="14">
        <f t="shared" si="1"/>
        <v>1.1509713611111039</v>
      </c>
      <c r="I37" s="5">
        <f t="shared" si="7"/>
        <v>42.25</v>
      </c>
      <c r="J37" s="5">
        <f t="shared" si="8"/>
        <v>0.12095077038707214</v>
      </c>
    </row>
    <row r="38" spans="1:10" ht="18.75" x14ac:dyDescent="0.3">
      <c r="A38" s="5">
        <v>7</v>
      </c>
      <c r="B38" s="14">
        <v>9.34</v>
      </c>
      <c r="C38" s="5">
        <f t="shared" si="2"/>
        <v>49</v>
      </c>
      <c r="D38" s="14">
        <f t="shared" si="3"/>
        <v>87.235599999999991</v>
      </c>
      <c r="E38" s="14">
        <f t="shared" si="4"/>
        <v>65.38</v>
      </c>
      <c r="F38" s="14">
        <f t="shared" si="5"/>
        <v>10.942833333333331</v>
      </c>
      <c r="G38" s="14">
        <f t="shared" si="6"/>
        <v>49.081700694444471</v>
      </c>
      <c r="H38" s="14">
        <f t="shared" si="1"/>
        <v>2.5690746944444371</v>
      </c>
      <c r="I38" s="5">
        <f t="shared" si="7"/>
        <v>30.25</v>
      </c>
      <c r="J38" s="5">
        <f t="shared" si="8"/>
        <v>0.17160956459671639</v>
      </c>
    </row>
    <row r="39" spans="1:10" ht="18.75" x14ac:dyDescent="0.3">
      <c r="A39" s="5">
        <v>8</v>
      </c>
      <c r="B39" s="14">
        <v>14.11</v>
      </c>
      <c r="C39" s="5">
        <f t="shared" si="2"/>
        <v>64</v>
      </c>
      <c r="D39" s="14">
        <f t="shared" si="3"/>
        <v>199.09209999999999</v>
      </c>
      <c r="E39" s="14">
        <f t="shared" si="4"/>
        <v>112.88</v>
      </c>
      <c r="F39" s="14">
        <f t="shared" si="5"/>
        <v>11.942833333333331</v>
      </c>
      <c r="G39" s="14">
        <f t="shared" si="6"/>
        <v>4.9989506944444546</v>
      </c>
      <c r="H39" s="14">
        <f t="shared" si="1"/>
        <v>4.6966113611111187</v>
      </c>
      <c r="I39" s="5">
        <f t="shared" si="7"/>
        <v>20.25</v>
      </c>
      <c r="J39" s="5">
        <f t="shared" si="8"/>
        <v>0.15359083392393116</v>
      </c>
    </row>
    <row r="40" spans="1:10" ht="18.75" x14ac:dyDescent="0.3">
      <c r="A40" s="5">
        <v>9</v>
      </c>
      <c r="B40" s="14">
        <v>12.230000000000002</v>
      </c>
      <c r="C40" s="5">
        <f t="shared" si="2"/>
        <v>81</v>
      </c>
      <c r="D40" s="14">
        <f t="shared" si="3"/>
        <v>149.57290000000006</v>
      </c>
      <c r="E40" s="14">
        <f t="shared" si="4"/>
        <v>110.07000000000002</v>
      </c>
      <c r="F40" s="14">
        <f t="shared" si="5"/>
        <v>12.942833333333331</v>
      </c>
      <c r="G40" s="14">
        <f t="shared" si="6"/>
        <v>16.940084027777772</v>
      </c>
      <c r="H40" s="14">
        <f t="shared" si="1"/>
        <v>0.50813136111110457</v>
      </c>
      <c r="I40" s="5">
        <f t="shared" si="7"/>
        <v>12.25</v>
      </c>
      <c r="J40" s="5">
        <f t="shared" si="8"/>
        <v>5.8285636413191219E-2</v>
      </c>
    </row>
    <row r="41" spans="1:10" ht="18.75" x14ac:dyDescent="0.3">
      <c r="A41" s="5">
        <v>10</v>
      </c>
      <c r="B41" s="14">
        <v>13.350000000000001</v>
      </c>
      <c r="C41" s="5">
        <f t="shared" si="2"/>
        <v>100</v>
      </c>
      <c r="D41" s="14">
        <f t="shared" si="3"/>
        <v>178.22250000000003</v>
      </c>
      <c r="E41" s="14">
        <f t="shared" si="4"/>
        <v>133.5</v>
      </c>
      <c r="F41" s="14">
        <f t="shared" si="5"/>
        <v>13.942833333333331</v>
      </c>
      <c r="G41" s="14">
        <f t="shared" si="6"/>
        <v>8.9750173611111119</v>
      </c>
      <c r="H41" s="14">
        <f t="shared" si="1"/>
        <v>0.35145136111110664</v>
      </c>
      <c r="I41" s="5">
        <f t="shared" si="7"/>
        <v>6.25</v>
      </c>
      <c r="J41" s="5">
        <f t="shared" si="8"/>
        <v>4.440699126092356E-2</v>
      </c>
    </row>
    <row r="42" spans="1:10" ht="18.75" x14ac:dyDescent="0.3">
      <c r="A42" s="5">
        <v>11</v>
      </c>
      <c r="B42" s="14">
        <v>11.47</v>
      </c>
      <c r="C42" s="5">
        <f t="shared" si="2"/>
        <v>121</v>
      </c>
      <c r="D42" s="14">
        <f t="shared" si="3"/>
        <v>131.5609</v>
      </c>
      <c r="E42" s="14">
        <f t="shared" si="4"/>
        <v>126.17</v>
      </c>
      <c r="F42" s="14">
        <f t="shared" si="5"/>
        <v>14.942833333333331</v>
      </c>
      <c r="G42" s="14">
        <f t="shared" si="6"/>
        <v>23.773750694444455</v>
      </c>
      <c r="H42" s="14">
        <f t="shared" si="1"/>
        <v>12.060571361111091</v>
      </c>
      <c r="I42" s="5">
        <f t="shared" si="7"/>
        <v>2.25</v>
      </c>
      <c r="J42" s="5">
        <f t="shared" si="8"/>
        <v>0.30277535600116218</v>
      </c>
    </row>
    <row r="43" spans="1:10" ht="18.75" x14ac:dyDescent="0.3">
      <c r="A43" s="5">
        <v>12</v>
      </c>
      <c r="B43" s="14">
        <v>14.94</v>
      </c>
      <c r="C43" s="5">
        <f t="shared" si="2"/>
        <v>144</v>
      </c>
      <c r="D43" s="14">
        <f t="shared" si="3"/>
        <v>223.20359999999999</v>
      </c>
      <c r="E43" s="14">
        <f t="shared" si="4"/>
        <v>179.28</v>
      </c>
      <c r="F43" s="14">
        <f t="shared" si="5"/>
        <v>15.942833333333331</v>
      </c>
      <c r="G43" s="14">
        <f t="shared" si="6"/>
        <v>1.9763673611111172</v>
      </c>
      <c r="H43" s="14">
        <f t="shared" si="1"/>
        <v>1.0056746944444408</v>
      </c>
      <c r="I43" s="5">
        <f t="shared" si="7"/>
        <v>0.25</v>
      </c>
      <c r="J43" s="5">
        <f t="shared" si="8"/>
        <v>6.7124051762605857E-2</v>
      </c>
    </row>
    <row r="44" spans="1:10" ht="18.75" x14ac:dyDescent="0.3">
      <c r="A44" s="5">
        <v>13</v>
      </c>
      <c r="B44" s="14">
        <v>16.71</v>
      </c>
      <c r="C44" s="5">
        <f t="shared" si="2"/>
        <v>169</v>
      </c>
      <c r="D44" s="14">
        <f t="shared" si="3"/>
        <v>279.22410000000002</v>
      </c>
      <c r="E44" s="14">
        <f t="shared" si="4"/>
        <v>217.23000000000002</v>
      </c>
      <c r="F44" s="14">
        <f t="shared" si="5"/>
        <v>16.942833333333333</v>
      </c>
      <c r="G44" s="14">
        <f t="shared" si="6"/>
        <v>0.13261736111111053</v>
      </c>
      <c r="H44" s="14">
        <f t="shared" si="1"/>
        <v>5.421136111111044E-2</v>
      </c>
      <c r="I44" s="5">
        <f t="shared" si="7"/>
        <v>0.25</v>
      </c>
      <c r="J44" s="5">
        <f t="shared" si="8"/>
        <v>1.3933772192299933E-2</v>
      </c>
    </row>
    <row r="45" spans="1:10" ht="18.75" x14ac:dyDescent="0.3">
      <c r="A45" s="5">
        <v>14</v>
      </c>
      <c r="B45" s="14">
        <v>20.83</v>
      </c>
      <c r="C45" s="5">
        <f t="shared" si="2"/>
        <v>196</v>
      </c>
      <c r="D45" s="14">
        <f t="shared" si="3"/>
        <v>433.88889999999992</v>
      </c>
      <c r="E45" s="14">
        <f t="shared" si="4"/>
        <v>291.62</v>
      </c>
      <c r="F45" s="14">
        <f t="shared" si="5"/>
        <v>17.942833333333333</v>
      </c>
      <c r="G45" s="14">
        <f t="shared" si="6"/>
        <v>20.107750694444416</v>
      </c>
      <c r="H45" s="14">
        <f t="shared" si="1"/>
        <v>8.3357313611111046</v>
      </c>
      <c r="I45" s="5">
        <f t="shared" si="7"/>
        <v>2.25</v>
      </c>
      <c r="J45" s="5">
        <f t="shared" si="8"/>
        <v>0.13860617698831809</v>
      </c>
    </row>
    <row r="46" spans="1:10" ht="18.75" x14ac:dyDescent="0.3">
      <c r="A46" s="5">
        <v>15</v>
      </c>
      <c r="B46" s="14">
        <v>21.95</v>
      </c>
      <c r="C46" s="5">
        <f t="shared" si="2"/>
        <v>225</v>
      </c>
      <c r="D46" s="14">
        <f t="shared" si="3"/>
        <v>481.80249999999995</v>
      </c>
      <c r="E46" s="14">
        <f t="shared" si="4"/>
        <v>329.25</v>
      </c>
      <c r="F46" s="14">
        <f t="shared" si="5"/>
        <v>18.942833333333329</v>
      </c>
      <c r="G46" s="14">
        <f t="shared" si="6"/>
        <v>31.40668402777775</v>
      </c>
      <c r="H46" s="14">
        <f t="shared" si="1"/>
        <v>9.0430513611111323</v>
      </c>
      <c r="I46" s="5">
        <f t="shared" si="7"/>
        <v>6.25</v>
      </c>
      <c r="J46" s="5">
        <f t="shared" si="8"/>
        <v>0.13700075930144284</v>
      </c>
    </row>
    <row r="47" spans="1:10" ht="18.75" x14ac:dyDescent="0.3">
      <c r="A47" s="5">
        <v>16</v>
      </c>
      <c r="B47" s="14">
        <v>17.07</v>
      </c>
      <c r="C47" s="5">
        <f t="shared" si="2"/>
        <v>256</v>
      </c>
      <c r="D47" s="14">
        <f t="shared" si="3"/>
        <v>291.38490000000002</v>
      </c>
      <c r="E47" s="14">
        <f t="shared" si="4"/>
        <v>273.12</v>
      </c>
      <c r="F47" s="14">
        <f t="shared" si="5"/>
        <v>19.942833333333329</v>
      </c>
      <c r="G47" s="14">
        <f t="shared" si="6"/>
        <v>0.52441736111110915</v>
      </c>
      <c r="H47" s="14">
        <f t="shared" si="1"/>
        <v>8.253171361111086</v>
      </c>
      <c r="I47" s="5">
        <f t="shared" si="7"/>
        <v>12.25</v>
      </c>
      <c r="J47" s="5">
        <f t="shared" si="8"/>
        <v>0.16829720757664493</v>
      </c>
    </row>
    <row r="48" spans="1:10" ht="18.75" x14ac:dyDescent="0.3">
      <c r="A48" s="5">
        <v>17</v>
      </c>
      <c r="B48" s="14">
        <v>21.19</v>
      </c>
      <c r="C48" s="5">
        <f t="shared" si="2"/>
        <v>289</v>
      </c>
      <c r="D48" s="14">
        <f t="shared" si="3"/>
        <v>449.01610000000005</v>
      </c>
      <c r="E48" s="14">
        <f t="shared" si="4"/>
        <v>360.23</v>
      </c>
      <c r="F48" s="14">
        <f t="shared" si="5"/>
        <v>20.942833333333329</v>
      </c>
      <c r="G48" s="14">
        <f t="shared" si="6"/>
        <v>23.465950694444441</v>
      </c>
      <c r="H48" s="14">
        <f t="shared" si="1"/>
        <v>6.1091361111113789E-2</v>
      </c>
      <c r="I48" s="5">
        <f t="shared" si="7"/>
        <v>20.25</v>
      </c>
      <c r="J48" s="5">
        <f t="shared" si="8"/>
        <v>1.1664307063080324E-2</v>
      </c>
    </row>
    <row r="49" spans="1:11" ht="18.75" x14ac:dyDescent="0.3">
      <c r="A49" s="5">
        <v>18</v>
      </c>
      <c r="B49" s="14">
        <v>19.309999999999999</v>
      </c>
      <c r="C49" s="5">
        <f t="shared" si="2"/>
        <v>324</v>
      </c>
      <c r="D49" s="14">
        <f t="shared" si="3"/>
        <v>372.87609999999995</v>
      </c>
      <c r="E49" s="14">
        <f t="shared" si="4"/>
        <v>347.58</v>
      </c>
      <c r="F49" s="14">
        <f t="shared" si="5"/>
        <v>21.942833333333329</v>
      </c>
      <c r="G49" s="14">
        <f t="shared" si="6"/>
        <v>8.7862840277777607</v>
      </c>
      <c r="H49" s="14">
        <f t="shared" si="1"/>
        <v>6.9318113611110963</v>
      </c>
      <c r="I49" s="5">
        <f t="shared" si="7"/>
        <v>30.25</v>
      </c>
      <c r="J49" s="5">
        <f t="shared" si="8"/>
        <v>0.13634558950457434</v>
      </c>
    </row>
    <row r="50" spans="1:11" ht="18.75" x14ac:dyDescent="0.3">
      <c r="A50" s="5">
        <v>19</v>
      </c>
      <c r="B50" s="14">
        <v>20.43</v>
      </c>
      <c r="C50" s="5">
        <f t="shared" si="2"/>
        <v>361</v>
      </c>
      <c r="D50" s="14">
        <f t="shared" si="3"/>
        <v>417.38490000000002</v>
      </c>
      <c r="E50" s="14">
        <f t="shared" si="4"/>
        <v>388.17</v>
      </c>
      <c r="F50" s="14">
        <f t="shared" si="5"/>
        <v>22.942833333333329</v>
      </c>
      <c r="G50" s="14">
        <f t="shared" si="6"/>
        <v>16.680417361111097</v>
      </c>
      <c r="H50" s="14">
        <f t="shared" si="1"/>
        <v>6.3143313611110914</v>
      </c>
      <c r="I50" s="5">
        <f t="shared" si="7"/>
        <v>42.25</v>
      </c>
      <c r="J50" s="5">
        <f t="shared" si="8"/>
        <v>0.12299722630119087</v>
      </c>
    </row>
    <row r="51" spans="1:11" ht="18.75" x14ac:dyDescent="0.3">
      <c r="A51" s="5">
        <v>20</v>
      </c>
      <c r="B51" s="14">
        <v>25.2</v>
      </c>
      <c r="C51" s="5">
        <f t="shared" si="2"/>
        <v>400</v>
      </c>
      <c r="D51" s="14">
        <f t="shared" si="3"/>
        <v>635.04</v>
      </c>
      <c r="E51" s="14">
        <f t="shared" si="4"/>
        <v>504</v>
      </c>
      <c r="F51" s="14">
        <f t="shared" si="5"/>
        <v>23.942833333333329</v>
      </c>
      <c r="G51" s="14">
        <f t="shared" si="6"/>
        <v>78.396267361111072</v>
      </c>
      <c r="H51" s="14">
        <f t="shared" si="1"/>
        <v>1.5804680277777865</v>
      </c>
      <c r="I51" s="5">
        <f t="shared" si="7"/>
        <v>56.25</v>
      </c>
      <c r="J51" s="5">
        <f t="shared" si="8"/>
        <v>4.9887566137566272E-2</v>
      </c>
    </row>
    <row r="52" spans="1:11" ht="18.75" x14ac:dyDescent="0.3">
      <c r="A52" s="5">
        <v>21</v>
      </c>
      <c r="B52" s="14">
        <v>25.67</v>
      </c>
      <c r="C52" s="5">
        <f t="shared" si="2"/>
        <v>441</v>
      </c>
      <c r="D52" s="14">
        <f t="shared" si="3"/>
        <v>658.94890000000009</v>
      </c>
      <c r="E52" s="14">
        <f t="shared" si="4"/>
        <v>539.07000000000005</v>
      </c>
      <c r="F52" s="14">
        <f t="shared" si="5"/>
        <v>24.942833333333329</v>
      </c>
      <c r="G52" s="14">
        <f t="shared" si="6"/>
        <v>86.940084027777772</v>
      </c>
      <c r="H52" s="14">
        <f t="shared" si="1"/>
        <v>0.52877136111111966</v>
      </c>
      <c r="I52" s="5">
        <f t="shared" si="7"/>
        <v>72.25</v>
      </c>
      <c r="J52" s="5">
        <f t="shared" si="8"/>
        <v>2.8327489936372127E-2</v>
      </c>
    </row>
    <row r="53" spans="1:11" ht="18.75" x14ac:dyDescent="0.3">
      <c r="A53" s="5">
        <v>22</v>
      </c>
      <c r="B53" s="14">
        <v>29.79</v>
      </c>
      <c r="C53" s="5">
        <f t="shared" si="2"/>
        <v>484</v>
      </c>
      <c r="D53" s="14">
        <f t="shared" si="3"/>
        <v>887.44409999999993</v>
      </c>
      <c r="E53" s="14">
        <f t="shared" si="4"/>
        <v>655.38</v>
      </c>
      <c r="F53" s="14">
        <f t="shared" si="5"/>
        <v>25.942833333333329</v>
      </c>
      <c r="G53" s="14">
        <f t="shared" si="6"/>
        <v>180.74561736111104</v>
      </c>
      <c r="H53" s="14">
        <f t="shared" si="1"/>
        <v>14.800691361111136</v>
      </c>
      <c r="I53" s="5">
        <f t="shared" si="7"/>
        <v>90.25</v>
      </c>
      <c r="J53" s="5">
        <f t="shared" si="8"/>
        <v>0.12914288911267774</v>
      </c>
    </row>
    <row r="54" spans="1:11" ht="18.75" x14ac:dyDescent="0.3">
      <c r="A54" s="5">
        <v>23</v>
      </c>
      <c r="B54" s="14">
        <v>28.56</v>
      </c>
      <c r="C54" s="5">
        <f t="shared" si="2"/>
        <v>529</v>
      </c>
      <c r="D54" s="14">
        <f t="shared" si="3"/>
        <v>815.67359999999996</v>
      </c>
      <c r="E54" s="14">
        <f t="shared" si="4"/>
        <v>656.88</v>
      </c>
      <c r="F54" s="14">
        <f t="shared" si="5"/>
        <v>26.942833333333329</v>
      </c>
      <c r="G54" s="14">
        <f t="shared" si="6"/>
        <v>149.18586736111104</v>
      </c>
      <c r="H54" s="14">
        <f t="shared" si="1"/>
        <v>2.6152280277777868</v>
      </c>
      <c r="I54" s="5">
        <f t="shared" si="7"/>
        <v>110.25</v>
      </c>
      <c r="J54" s="5">
        <f t="shared" si="8"/>
        <v>5.6623482726424007E-2</v>
      </c>
    </row>
    <row r="55" spans="1:11" ht="18.75" x14ac:dyDescent="0.3">
      <c r="A55" s="5">
        <v>24</v>
      </c>
      <c r="B55" s="14">
        <v>29.03</v>
      </c>
      <c r="C55" s="5">
        <f t="shared" si="2"/>
        <v>576</v>
      </c>
      <c r="D55" s="14">
        <f t="shared" si="3"/>
        <v>842.74090000000001</v>
      </c>
      <c r="E55" s="14">
        <f t="shared" si="4"/>
        <v>696.72</v>
      </c>
      <c r="F55" s="14">
        <f t="shared" si="5"/>
        <v>27.942833333333329</v>
      </c>
      <c r="G55" s="14">
        <f t="shared" si="6"/>
        <v>160.88808402777775</v>
      </c>
      <c r="H55" s="14">
        <f t="shared" si="1"/>
        <v>1.1819313611111226</v>
      </c>
      <c r="I55" s="5">
        <f t="shared" si="7"/>
        <v>132.25</v>
      </c>
      <c r="J55" s="5">
        <f t="shared" si="8"/>
        <v>3.7449764611321802E-2</v>
      </c>
    </row>
    <row r="56" spans="1:11" ht="18.75" x14ac:dyDescent="0.3">
      <c r="A56" s="5">
        <f>SUM(A32:A55)</f>
        <v>300</v>
      </c>
      <c r="B56" s="5">
        <f t="shared" ref="B56:E56" si="9">SUM(B32:B55)</f>
        <v>392.30000000000007</v>
      </c>
      <c r="C56" s="5">
        <f t="shared" si="9"/>
        <v>4900</v>
      </c>
      <c r="D56" s="5">
        <f t="shared" si="9"/>
        <v>7839.7969999999996</v>
      </c>
      <c r="E56" s="5">
        <f t="shared" si="9"/>
        <v>6144.05</v>
      </c>
      <c r="F56" s="14">
        <f>SUM(F32:F55)</f>
        <v>394.62799999999999</v>
      </c>
      <c r="G56" s="14">
        <f>SUM(G32:G55)</f>
        <v>1427.3265833333332</v>
      </c>
      <c r="H56" s="14">
        <f t="shared" ref="H56:J56" si="10">SUM(H32:H55)</f>
        <v>96.952399333333304</v>
      </c>
      <c r="I56" s="14">
        <f t="shared" si="10"/>
        <v>1150</v>
      </c>
      <c r="J56" s="14">
        <f t="shared" si="10"/>
        <v>3.4444769991642223</v>
      </c>
      <c r="K56" s="5" t="s">
        <v>43</v>
      </c>
    </row>
    <row r="57" spans="1:11" ht="18.75" x14ac:dyDescent="0.3">
      <c r="A57" s="5">
        <f>AVERAGE(A32:A55)</f>
        <v>12.5</v>
      </c>
      <c r="B57" s="14">
        <f t="shared" ref="B57:E57" si="11">AVERAGE(B32:B55)</f>
        <v>16.345833333333335</v>
      </c>
      <c r="C57" s="14">
        <f t="shared" si="11"/>
        <v>204.16666666666666</v>
      </c>
      <c r="D57" s="14">
        <f t="shared" si="11"/>
        <v>326.65820833333333</v>
      </c>
      <c r="E57" s="14">
        <f t="shared" si="11"/>
        <v>256.00208333333336</v>
      </c>
      <c r="F57" s="14">
        <f t="shared" ref="F57" si="12">AVERAGE(F32:F55)</f>
        <v>16.442833333333333</v>
      </c>
      <c r="G57" s="14">
        <f>AVERAGE(G32:G55)</f>
        <v>59.471940972222221</v>
      </c>
      <c r="H57" s="14">
        <f t="shared" ref="H57:J57" si="13">AVERAGE(H32:H55)</f>
        <v>4.0396833055555543</v>
      </c>
      <c r="I57" s="14">
        <f>AVERAGE(I32:I55)</f>
        <v>47.916666666666664</v>
      </c>
      <c r="J57" s="14">
        <f t="shared" si="13"/>
        <v>0.14351987496517593</v>
      </c>
      <c r="K57" s="5" t="s">
        <v>44</v>
      </c>
    </row>
    <row r="59" spans="1:11" x14ac:dyDescent="0.25">
      <c r="A59" s="15" t="s">
        <v>38</v>
      </c>
      <c r="B59" s="16">
        <f>(E57-(A57*B57))/(C57-POWER(A57,2))</f>
        <v>1.0785217391304351</v>
      </c>
    </row>
    <row r="60" spans="1:11" x14ac:dyDescent="0.25">
      <c r="A60" s="15" t="s">
        <v>39</v>
      </c>
      <c r="B60" s="16">
        <f>B57-(B59*A57)</f>
        <v>2.8643115942028956</v>
      </c>
    </row>
    <row r="61" spans="1:11" ht="33" customHeight="1" x14ac:dyDescent="0.25">
      <c r="A61" s="17" t="s">
        <v>40</v>
      </c>
      <c r="B61" s="17">
        <v>2</v>
      </c>
    </row>
    <row r="62" spans="1:11" x14ac:dyDescent="0.25">
      <c r="A62" s="17" t="s">
        <v>41</v>
      </c>
      <c r="B62" s="17">
        <f>B63-B61-1</f>
        <v>21</v>
      </c>
    </row>
    <row r="63" spans="1:11" ht="30" x14ac:dyDescent="0.25">
      <c r="A63" s="18" t="s">
        <v>42</v>
      </c>
      <c r="B63" s="17">
        <v>24</v>
      </c>
    </row>
    <row r="65" spans="1:13" x14ac:dyDescent="0.25">
      <c r="A65" s="31" t="s">
        <v>45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  <row r="66" spans="1:13" ht="37.5" customHeight="1" x14ac:dyDescent="0.3">
      <c r="A66" s="19" t="s">
        <v>0</v>
      </c>
      <c r="B66" s="19" t="s">
        <v>1</v>
      </c>
      <c r="C66" s="20"/>
      <c r="D66" s="19"/>
      <c r="E66" s="19" t="s">
        <v>36</v>
      </c>
      <c r="F66" s="19"/>
      <c r="G66" s="13"/>
      <c r="H66" s="19"/>
      <c r="I66" s="19" t="s">
        <v>37</v>
      </c>
      <c r="J66" s="19"/>
      <c r="K66" s="13"/>
      <c r="L66" s="13"/>
      <c r="M66" s="13"/>
    </row>
    <row r="67" spans="1:13" ht="18.75" x14ac:dyDescent="0.3">
      <c r="A67" s="5">
        <v>1</v>
      </c>
      <c r="B67" s="14">
        <v>6.27</v>
      </c>
      <c r="C67" s="5">
        <f>A67^2</f>
        <v>1</v>
      </c>
      <c r="D67" s="14">
        <f>B67^2</f>
        <v>39.312899999999992</v>
      </c>
      <c r="E67" s="14">
        <f>A67*B67</f>
        <v>6.27</v>
      </c>
      <c r="F67" s="14">
        <f>A67^3</f>
        <v>1</v>
      </c>
      <c r="G67" s="14">
        <f>A67^4</f>
        <v>1</v>
      </c>
      <c r="H67" s="14">
        <f>C67*B67</f>
        <v>6.27</v>
      </c>
      <c r="I67" s="14">
        <f>$B$96*POWER(A67,2)+A67*$B$95+$B$94</f>
        <v>3.4228591872319702</v>
      </c>
      <c r="J67" s="14">
        <f>POWER(B67-B$92,2)</f>
        <v>101.52241736111115</v>
      </c>
      <c r="K67" s="14">
        <f>(B67-I67)^2</f>
        <v>8.1062108077293953</v>
      </c>
      <c r="L67" s="5">
        <f>(A67-$A$92)^2</f>
        <v>132.25</v>
      </c>
      <c r="M67" s="21">
        <f>ABS(B67-I67)/B67</f>
        <v>0.45408944382265226</v>
      </c>
    </row>
    <row r="68" spans="1:13" ht="18.75" x14ac:dyDescent="0.3">
      <c r="A68" s="5">
        <v>2</v>
      </c>
      <c r="B68" s="14">
        <v>3.7399999999999998</v>
      </c>
      <c r="C68" s="5">
        <f t="shared" ref="C68:C90" si="14">A68^2</f>
        <v>4</v>
      </c>
      <c r="D68" s="14">
        <f t="shared" ref="D68:D90" si="15">B68^2</f>
        <v>13.987599999999999</v>
      </c>
      <c r="E68" s="14">
        <f t="shared" ref="E68:E90" si="16">A68*B68</f>
        <v>7.4799999999999995</v>
      </c>
      <c r="F68" s="14">
        <f t="shared" ref="F68:F89" si="17">A68^3</f>
        <v>8</v>
      </c>
      <c r="G68" s="14">
        <f t="shared" ref="G68:G90" si="18">A68^4</f>
        <v>16</v>
      </c>
      <c r="H68" s="14">
        <f t="shared" ref="H68:H90" si="19">C68*B68</f>
        <v>14.959999999999999</v>
      </c>
      <c r="I68" s="14">
        <f t="shared" ref="I68:I91" si="20">$B$96*POWER(A68,2)+A68*$B$95+$B$94</f>
        <v>4.5141412014926319</v>
      </c>
      <c r="J68" s="14">
        <f t="shared" ref="J68:J90" si="21">POWER(B68-B$92,2)</f>
        <v>158.90703402777783</v>
      </c>
      <c r="K68" s="14">
        <f t="shared" ref="K68:K90" si="22">(B68-I68)^2</f>
        <v>0.59929459984845601</v>
      </c>
      <c r="L68" s="5">
        <f t="shared" ref="L68:L90" si="23">(A68-$A$92)^2</f>
        <v>110.25</v>
      </c>
      <c r="M68" s="21">
        <f t="shared" ref="M68:M90" si="24">ABS(B68-I68)/B68</f>
        <v>0.2069896260675487</v>
      </c>
    </row>
    <row r="69" spans="1:13" ht="18.75" x14ac:dyDescent="0.3">
      <c r="A69" s="5">
        <v>3</v>
      </c>
      <c r="B69" s="14">
        <v>5.51</v>
      </c>
      <c r="C69" s="5">
        <f t="shared" si="14"/>
        <v>9</v>
      </c>
      <c r="D69" s="14">
        <f t="shared" si="15"/>
        <v>30.360099999999999</v>
      </c>
      <c r="E69" s="14">
        <f t="shared" si="16"/>
        <v>16.53</v>
      </c>
      <c r="F69" s="14">
        <f t="shared" si="17"/>
        <v>27</v>
      </c>
      <c r="G69" s="14">
        <f t="shared" si="18"/>
        <v>81</v>
      </c>
      <c r="H69" s="14">
        <f t="shared" si="19"/>
        <v>49.589999999999996</v>
      </c>
      <c r="I69" s="14">
        <f t="shared" si="20"/>
        <v>5.6079869832956222</v>
      </c>
      <c r="J69" s="14">
        <f t="shared" si="21"/>
        <v>117.41528402777782</v>
      </c>
      <c r="K69" s="14">
        <f t="shared" si="22"/>
        <v>9.6014488953765804E-3</v>
      </c>
      <c r="L69" s="5">
        <f t="shared" si="23"/>
        <v>90.25</v>
      </c>
      <c r="M69" s="21">
        <f t="shared" si="24"/>
        <v>1.7783481541855245E-2</v>
      </c>
    </row>
    <row r="70" spans="1:13" ht="18.75" x14ac:dyDescent="0.3">
      <c r="A70" s="5">
        <v>4</v>
      </c>
      <c r="B70" s="14">
        <v>9.629999999999999</v>
      </c>
      <c r="C70" s="5">
        <f t="shared" si="14"/>
        <v>16</v>
      </c>
      <c r="D70" s="14">
        <f t="shared" si="15"/>
        <v>92.736899999999977</v>
      </c>
      <c r="E70" s="14">
        <f t="shared" si="16"/>
        <v>38.519999999999996</v>
      </c>
      <c r="F70" s="14">
        <f t="shared" si="17"/>
        <v>64</v>
      </c>
      <c r="G70" s="14">
        <f t="shared" si="18"/>
        <v>256</v>
      </c>
      <c r="H70" s="14">
        <f t="shared" si="19"/>
        <v>154.07999999999998</v>
      </c>
      <c r="I70" s="14">
        <f t="shared" si="20"/>
        <v>6.7043965326409403</v>
      </c>
      <c r="J70" s="14">
        <f t="shared" si="21"/>
        <v>45.102417361111144</v>
      </c>
      <c r="K70" s="14">
        <f t="shared" si="22"/>
        <v>8.5591556482233475</v>
      </c>
      <c r="L70" s="5">
        <f t="shared" si="23"/>
        <v>72.25</v>
      </c>
      <c r="M70" s="21">
        <f t="shared" si="24"/>
        <v>0.30380098311101339</v>
      </c>
    </row>
    <row r="71" spans="1:13" ht="18.75" x14ac:dyDescent="0.3">
      <c r="A71" s="5">
        <v>5</v>
      </c>
      <c r="B71" s="14">
        <v>7.1</v>
      </c>
      <c r="C71" s="5">
        <f t="shared" si="14"/>
        <v>25</v>
      </c>
      <c r="D71" s="14">
        <f t="shared" si="15"/>
        <v>50.41</v>
      </c>
      <c r="E71" s="14">
        <f t="shared" si="16"/>
        <v>35.5</v>
      </c>
      <c r="F71" s="14">
        <f t="shared" si="17"/>
        <v>125</v>
      </c>
      <c r="G71" s="14">
        <f t="shared" si="18"/>
        <v>625</v>
      </c>
      <c r="H71" s="14">
        <f t="shared" si="19"/>
        <v>177.5</v>
      </c>
      <c r="I71" s="14">
        <f t="shared" si="20"/>
        <v>7.803369849528587</v>
      </c>
      <c r="J71" s="14">
        <f t="shared" si="21"/>
        <v>85.485434027777814</v>
      </c>
      <c r="K71" s="14">
        <f t="shared" si="22"/>
        <v>0.49472914522586764</v>
      </c>
      <c r="L71" s="5">
        <f t="shared" si="23"/>
        <v>56.25</v>
      </c>
      <c r="M71" s="21">
        <f t="shared" si="24"/>
        <v>9.9066175989941885E-2</v>
      </c>
    </row>
    <row r="72" spans="1:13" ht="18.75" x14ac:dyDescent="0.3">
      <c r="A72" s="5">
        <v>6</v>
      </c>
      <c r="B72" s="14">
        <v>8.870000000000001</v>
      </c>
      <c r="C72" s="5">
        <f t="shared" si="14"/>
        <v>36</v>
      </c>
      <c r="D72" s="14">
        <f t="shared" si="15"/>
        <v>78.676900000000018</v>
      </c>
      <c r="E72" s="14">
        <f t="shared" si="16"/>
        <v>53.220000000000006</v>
      </c>
      <c r="F72" s="14">
        <f t="shared" si="17"/>
        <v>216</v>
      </c>
      <c r="G72" s="14">
        <f t="shared" si="18"/>
        <v>1296</v>
      </c>
      <c r="H72" s="14">
        <f t="shared" si="19"/>
        <v>319.32000000000005</v>
      </c>
      <c r="I72" s="14">
        <f t="shared" si="20"/>
        <v>8.9049069339585643</v>
      </c>
      <c r="J72" s="14">
        <f t="shared" si="21"/>
        <v>55.888084027777786</v>
      </c>
      <c r="K72" s="14">
        <f t="shared" si="22"/>
        <v>1.2184940383874968E-3</v>
      </c>
      <c r="L72" s="5">
        <f t="shared" si="23"/>
        <v>42.25</v>
      </c>
      <c r="M72" s="21">
        <f t="shared" si="24"/>
        <v>3.9353927799958572E-3</v>
      </c>
    </row>
    <row r="73" spans="1:13" ht="18.75" x14ac:dyDescent="0.3">
      <c r="A73" s="5">
        <v>7</v>
      </c>
      <c r="B73" s="14">
        <v>9.34</v>
      </c>
      <c r="C73" s="5">
        <f t="shared" si="14"/>
        <v>49</v>
      </c>
      <c r="D73" s="14">
        <f t="shared" si="15"/>
        <v>87.235599999999991</v>
      </c>
      <c r="E73" s="14">
        <f t="shared" si="16"/>
        <v>65.38</v>
      </c>
      <c r="F73" s="14">
        <f t="shared" si="17"/>
        <v>343</v>
      </c>
      <c r="G73" s="14">
        <f t="shared" si="18"/>
        <v>2401</v>
      </c>
      <c r="H73" s="14">
        <f t="shared" si="19"/>
        <v>457.65999999999997</v>
      </c>
      <c r="I73" s="14">
        <f t="shared" si="20"/>
        <v>10.009007785930867</v>
      </c>
      <c r="J73" s="14">
        <f t="shared" si="21"/>
        <v>49.081700694444471</v>
      </c>
      <c r="K73" s="14">
        <f t="shared" si="22"/>
        <v>0.44757141763612163</v>
      </c>
      <c r="L73" s="5">
        <f t="shared" si="23"/>
        <v>30.25</v>
      </c>
      <c r="M73" s="21">
        <f t="shared" si="24"/>
        <v>7.1628242605017947E-2</v>
      </c>
    </row>
    <row r="74" spans="1:13" ht="18.75" x14ac:dyDescent="0.3">
      <c r="A74" s="5">
        <v>8</v>
      </c>
      <c r="B74" s="14">
        <v>14.11</v>
      </c>
      <c r="C74" s="5">
        <f t="shared" si="14"/>
        <v>64</v>
      </c>
      <c r="D74" s="14">
        <f t="shared" si="15"/>
        <v>199.09209999999999</v>
      </c>
      <c r="E74" s="14">
        <f t="shared" si="16"/>
        <v>112.88</v>
      </c>
      <c r="F74" s="14">
        <f t="shared" si="17"/>
        <v>512</v>
      </c>
      <c r="G74" s="14">
        <f t="shared" si="18"/>
        <v>4096</v>
      </c>
      <c r="H74" s="14">
        <f t="shared" si="19"/>
        <v>903.04</v>
      </c>
      <c r="I74" s="14">
        <f t="shared" si="20"/>
        <v>11.115672405445501</v>
      </c>
      <c r="J74" s="14">
        <f t="shared" si="21"/>
        <v>4.9989506944444546</v>
      </c>
      <c r="K74" s="14">
        <f t="shared" si="22"/>
        <v>8.9659977435105276</v>
      </c>
      <c r="L74" s="5">
        <f t="shared" si="23"/>
        <v>20.25</v>
      </c>
      <c r="M74" s="21">
        <f t="shared" si="24"/>
        <v>0.21221315340570507</v>
      </c>
    </row>
    <row r="75" spans="1:13" ht="18.75" x14ac:dyDescent="0.3">
      <c r="A75" s="5">
        <v>9</v>
      </c>
      <c r="B75" s="14">
        <v>12.230000000000002</v>
      </c>
      <c r="C75" s="5">
        <f t="shared" si="14"/>
        <v>81</v>
      </c>
      <c r="D75" s="14">
        <f t="shared" si="15"/>
        <v>149.57290000000006</v>
      </c>
      <c r="E75" s="14">
        <f t="shared" si="16"/>
        <v>110.07000000000002</v>
      </c>
      <c r="F75" s="14">
        <f t="shared" si="17"/>
        <v>729</v>
      </c>
      <c r="G75" s="14">
        <f t="shared" si="18"/>
        <v>6561</v>
      </c>
      <c r="H75" s="14">
        <f t="shared" si="19"/>
        <v>990.63000000000022</v>
      </c>
      <c r="I75" s="14">
        <f t="shared" si="20"/>
        <v>12.22490079250246</v>
      </c>
      <c r="J75" s="14">
        <f t="shared" si="21"/>
        <v>16.940084027777772</v>
      </c>
      <c r="K75" s="14">
        <f t="shared" si="22"/>
        <v>2.6001917102990833E-5</v>
      </c>
      <c r="L75" s="5">
        <f t="shared" si="23"/>
        <v>12.25</v>
      </c>
      <c r="M75" s="21">
        <f t="shared" si="24"/>
        <v>4.1694255907949495E-4</v>
      </c>
    </row>
    <row r="76" spans="1:13" ht="18.75" x14ac:dyDescent="0.3">
      <c r="A76" s="5">
        <v>10</v>
      </c>
      <c r="B76" s="14">
        <v>13.350000000000001</v>
      </c>
      <c r="C76" s="5">
        <f t="shared" si="14"/>
        <v>100</v>
      </c>
      <c r="D76" s="14">
        <f t="shared" si="15"/>
        <v>178.22250000000003</v>
      </c>
      <c r="E76" s="14">
        <f t="shared" si="16"/>
        <v>133.5</v>
      </c>
      <c r="F76" s="14">
        <f t="shared" si="17"/>
        <v>1000</v>
      </c>
      <c r="G76" s="14">
        <f t="shared" si="18"/>
        <v>10000</v>
      </c>
      <c r="H76" s="14">
        <f t="shared" si="19"/>
        <v>1335.0000000000002</v>
      </c>
      <c r="I76" s="14">
        <f t="shared" si="20"/>
        <v>13.336692947101749</v>
      </c>
      <c r="J76" s="14">
        <f t="shared" si="21"/>
        <v>8.9750173611111119</v>
      </c>
      <c r="K76" s="14">
        <f t="shared" si="22"/>
        <v>1.7707765683688177E-4</v>
      </c>
      <c r="L76" s="5">
        <f t="shared" si="23"/>
        <v>6.25</v>
      </c>
      <c r="M76" s="21">
        <f t="shared" si="24"/>
        <v>9.9678298863312208E-4</v>
      </c>
    </row>
    <row r="77" spans="1:13" ht="18.75" x14ac:dyDescent="0.3">
      <c r="A77" s="5">
        <v>11</v>
      </c>
      <c r="B77" s="14">
        <v>11.47</v>
      </c>
      <c r="C77" s="5">
        <f t="shared" si="14"/>
        <v>121</v>
      </c>
      <c r="D77" s="14">
        <f t="shared" si="15"/>
        <v>131.5609</v>
      </c>
      <c r="E77" s="14">
        <f t="shared" si="16"/>
        <v>126.17</v>
      </c>
      <c r="F77" s="14">
        <f t="shared" si="17"/>
        <v>1331</v>
      </c>
      <c r="G77" s="14">
        <f t="shared" si="18"/>
        <v>14641</v>
      </c>
      <c r="H77" s="14">
        <f t="shared" si="19"/>
        <v>1387.8700000000001</v>
      </c>
      <c r="I77" s="14">
        <f t="shared" si="20"/>
        <v>14.451048869243369</v>
      </c>
      <c r="J77" s="14">
        <f t="shared" si="21"/>
        <v>23.773750694444455</v>
      </c>
      <c r="K77" s="14">
        <f t="shared" si="22"/>
        <v>8.8866523608171644</v>
      </c>
      <c r="L77" s="5">
        <f t="shared" si="23"/>
        <v>2.25</v>
      </c>
      <c r="M77" s="21">
        <f t="shared" si="24"/>
        <v>0.25989963986428666</v>
      </c>
    </row>
    <row r="78" spans="1:13" ht="18.75" x14ac:dyDescent="0.3">
      <c r="A78" s="5">
        <v>12</v>
      </c>
      <c r="B78" s="14">
        <v>14.94</v>
      </c>
      <c r="C78" s="5">
        <f t="shared" si="14"/>
        <v>144</v>
      </c>
      <c r="D78" s="14">
        <f t="shared" si="15"/>
        <v>223.20359999999999</v>
      </c>
      <c r="E78" s="14">
        <f t="shared" si="16"/>
        <v>179.28</v>
      </c>
      <c r="F78" s="14">
        <f t="shared" si="17"/>
        <v>1728</v>
      </c>
      <c r="G78" s="14">
        <f t="shared" si="18"/>
        <v>20736</v>
      </c>
      <c r="H78" s="14">
        <f t="shared" si="19"/>
        <v>2151.36</v>
      </c>
      <c r="I78" s="14">
        <f t="shared" si="20"/>
        <v>15.567968558927316</v>
      </c>
      <c r="J78" s="14">
        <f t="shared" si="21"/>
        <v>1.9763673611111172</v>
      </c>
      <c r="K78" s="14">
        <f t="shared" si="22"/>
        <v>0.39434451100125001</v>
      </c>
      <c r="L78" s="5">
        <f t="shared" si="23"/>
        <v>0.25</v>
      </c>
      <c r="M78" s="21">
        <f t="shared" si="24"/>
        <v>4.2032701400757433E-2</v>
      </c>
    </row>
    <row r="79" spans="1:13" ht="18.75" x14ac:dyDescent="0.3">
      <c r="A79" s="5">
        <v>13</v>
      </c>
      <c r="B79" s="14">
        <v>16.71</v>
      </c>
      <c r="C79" s="5">
        <f t="shared" si="14"/>
        <v>169</v>
      </c>
      <c r="D79" s="14">
        <f t="shared" si="15"/>
        <v>279.22410000000002</v>
      </c>
      <c r="E79" s="14">
        <f t="shared" si="16"/>
        <v>217.23000000000002</v>
      </c>
      <c r="F79" s="14">
        <f t="shared" si="17"/>
        <v>2197</v>
      </c>
      <c r="G79" s="14">
        <f t="shared" si="18"/>
        <v>28561</v>
      </c>
      <c r="H79" s="14">
        <f t="shared" si="19"/>
        <v>2823.9900000000002</v>
      </c>
      <c r="I79" s="14">
        <f t="shared" si="20"/>
        <v>16.687452016153589</v>
      </c>
      <c r="J79" s="14">
        <f t="shared" si="21"/>
        <v>0.13261736111111053</v>
      </c>
      <c r="K79" s="14">
        <f t="shared" si="22"/>
        <v>5.08411575538046E-4</v>
      </c>
      <c r="L79" s="5">
        <f t="shared" si="23"/>
        <v>0.25</v>
      </c>
      <c r="M79" s="21">
        <f t="shared" si="24"/>
        <v>1.3493706670503749E-3</v>
      </c>
    </row>
    <row r="80" spans="1:13" ht="18.75" x14ac:dyDescent="0.3">
      <c r="A80" s="5">
        <v>14</v>
      </c>
      <c r="B80" s="14">
        <v>20.83</v>
      </c>
      <c r="C80" s="5">
        <f t="shared" si="14"/>
        <v>196</v>
      </c>
      <c r="D80" s="14">
        <f t="shared" si="15"/>
        <v>433.88889999999992</v>
      </c>
      <c r="E80" s="14">
        <f t="shared" si="16"/>
        <v>291.62</v>
      </c>
      <c r="F80" s="14">
        <f t="shared" si="17"/>
        <v>2744</v>
      </c>
      <c r="G80" s="14">
        <f t="shared" si="18"/>
        <v>38416</v>
      </c>
      <c r="H80" s="14">
        <f t="shared" si="19"/>
        <v>4082.68</v>
      </c>
      <c r="I80" s="14">
        <f t="shared" si="20"/>
        <v>17.809499240922193</v>
      </c>
      <c r="J80" s="14">
        <f t="shared" si="21"/>
        <v>20.107750694444416</v>
      </c>
      <c r="K80" s="14">
        <f t="shared" si="22"/>
        <v>9.1234248355895975</v>
      </c>
      <c r="L80" s="5">
        <f t="shared" si="23"/>
        <v>2.25</v>
      </c>
      <c r="M80" s="21">
        <f t="shared" si="24"/>
        <v>0.14500723759374967</v>
      </c>
    </row>
    <row r="81" spans="1:14" ht="18.75" x14ac:dyDescent="0.3">
      <c r="A81" s="5">
        <v>15</v>
      </c>
      <c r="B81" s="14">
        <v>21.95</v>
      </c>
      <c r="C81" s="5">
        <f t="shared" si="14"/>
        <v>225</v>
      </c>
      <c r="D81" s="14">
        <f t="shared" si="15"/>
        <v>481.80249999999995</v>
      </c>
      <c r="E81" s="14">
        <f t="shared" si="16"/>
        <v>329.25</v>
      </c>
      <c r="F81" s="14">
        <f t="shared" si="17"/>
        <v>3375</v>
      </c>
      <c r="G81" s="14">
        <f t="shared" si="18"/>
        <v>50625</v>
      </c>
      <c r="H81" s="14">
        <f t="shared" si="19"/>
        <v>4938.75</v>
      </c>
      <c r="I81" s="14">
        <f t="shared" si="20"/>
        <v>18.934110233233127</v>
      </c>
      <c r="J81" s="14">
        <f t="shared" si="21"/>
        <v>31.40668402777775</v>
      </c>
      <c r="K81" s="14">
        <f t="shared" si="22"/>
        <v>9.0955910852891364</v>
      </c>
      <c r="L81" s="5">
        <f t="shared" si="23"/>
        <v>6.25</v>
      </c>
      <c r="M81" s="21">
        <f t="shared" si="24"/>
        <v>0.13739816705088254</v>
      </c>
    </row>
    <row r="82" spans="1:14" ht="18.75" x14ac:dyDescent="0.3">
      <c r="A82" s="5">
        <v>16</v>
      </c>
      <c r="B82" s="14">
        <v>17.07</v>
      </c>
      <c r="C82" s="5">
        <f t="shared" si="14"/>
        <v>256</v>
      </c>
      <c r="D82" s="14">
        <f t="shared" si="15"/>
        <v>291.38490000000002</v>
      </c>
      <c r="E82" s="14">
        <f t="shared" si="16"/>
        <v>273.12</v>
      </c>
      <c r="F82" s="14">
        <f t="shared" si="17"/>
        <v>4096</v>
      </c>
      <c r="G82" s="14">
        <f t="shared" si="18"/>
        <v>65536</v>
      </c>
      <c r="H82" s="14">
        <f t="shared" si="19"/>
        <v>4369.92</v>
      </c>
      <c r="I82" s="14">
        <f t="shared" si="20"/>
        <v>20.061284993086385</v>
      </c>
      <c r="J82" s="14">
        <f t="shared" si="21"/>
        <v>0.52441736111110915</v>
      </c>
      <c r="K82" s="14">
        <f t="shared" si="22"/>
        <v>8.9477859098638142</v>
      </c>
      <c r="L82" s="5">
        <f t="shared" si="23"/>
        <v>12.25</v>
      </c>
      <c r="M82" s="21">
        <f t="shared" si="24"/>
        <v>0.17523637920834123</v>
      </c>
    </row>
    <row r="83" spans="1:14" ht="18.75" x14ac:dyDescent="0.3">
      <c r="A83" s="5">
        <v>17</v>
      </c>
      <c r="B83" s="14">
        <v>21.19</v>
      </c>
      <c r="C83" s="5">
        <f t="shared" si="14"/>
        <v>289</v>
      </c>
      <c r="D83" s="14">
        <f t="shared" si="15"/>
        <v>449.01610000000005</v>
      </c>
      <c r="E83" s="14">
        <f t="shared" si="16"/>
        <v>360.23</v>
      </c>
      <c r="F83" s="14">
        <f t="shared" si="17"/>
        <v>4913</v>
      </c>
      <c r="G83" s="14">
        <f t="shared" si="18"/>
        <v>83521</v>
      </c>
      <c r="H83" s="14">
        <f t="shared" si="19"/>
        <v>6123.9100000000008</v>
      </c>
      <c r="I83" s="14">
        <f t="shared" si="20"/>
        <v>21.191023520481977</v>
      </c>
      <c r="J83" s="14">
        <f t="shared" si="21"/>
        <v>23.465950694444441</v>
      </c>
      <c r="K83" s="14">
        <f t="shared" si="22"/>
        <v>1.0475941770238451E-6</v>
      </c>
      <c r="L83" s="5">
        <f t="shared" si="23"/>
        <v>20.25</v>
      </c>
      <c r="M83" s="21">
        <f t="shared" si="24"/>
        <v>4.8302052004518028E-5</v>
      </c>
    </row>
    <row r="84" spans="1:14" ht="18.75" x14ac:dyDescent="0.3">
      <c r="A84" s="5">
        <v>18</v>
      </c>
      <c r="B84" s="14">
        <v>19.309999999999999</v>
      </c>
      <c r="C84" s="5">
        <f t="shared" si="14"/>
        <v>324</v>
      </c>
      <c r="D84" s="14">
        <f t="shared" si="15"/>
        <v>372.87609999999995</v>
      </c>
      <c r="E84" s="14">
        <f t="shared" si="16"/>
        <v>347.58</v>
      </c>
      <c r="F84" s="14">
        <f t="shared" si="17"/>
        <v>5832</v>
      </c>
      <c r="G84" s="14">
        <f t="shared" si="18"/>
        <v>104976</v>
      </c>
      <c r="H84" s="14">
        <f t="shared" si="19"/>
        <v>6256.44</v>
      </c>
      <c r="I84" s="14">
        <f t="shared" si="20"/>
        <v>22.323325815419896</v>
      </c>
      <c r="J84" s="14">
        <f t="shared" si="21"/>
        <v>8.7862840277777607</v>
      </c>
      <c r="K84" s="14">
        <f t="shared" si="22"/>
        <v>9.0801324698759878</v>
      </c>
      <c r="L84" s="5">
        <f t="shared" si="23"/>
        <v>30.25</v>
      </c>
      <c r="M84" s="21">
        <f t="shared" si="24"/>
        <v>0.15605001633453636</v>
      </c>
    </row>
    <row r="85" spans="1:14" ht="18.75" x14ac:dyDescent="0.3">
      <c r="A85" s="5">
        <v>19</v>
      </c>
      <c r="B85" s="14">
        <v>20.43</v>
      </c>
      <c r="C85" s="5">
        <f t="shared" si="14"/>
        <v>361</v>
      </c>
      <c r="D85" s="14">
        <f t="shared" si="15"/>
        <v>417.38490000000002</v>
      </c>
      <c r="E85" s="14">
        <f t="shared" si="16"/>
        <v>388.17</v>
      </c>
      <c r="F85" s="14">
        <f t="shared" si="17"/>
        <v>6859</v>
      </c>
      <c r="G85" s="14">
        <f t="shared" si="18"/>
        <v>130321</v>
      </c>
      <c r="H85" s="14">
        <f t="shared" si="19"/>
        <v>7375.23</v>
      </c>
      <c r="I85" s="14">
        <f t="shared" si="20"/>
        <v>23.458191877900138</v>
      </c>
      <c r="J85" s="14">
        <f t="shared" si="21"/>
        <v>16.680417361111097</v>
      </c>
      <c r="K85" s="14">
        <f t="shared" si="22"/>
        <v>9.1699460493803642</v>
      </c>
      <c r="L85" s="5">
        <f t="shared" si="23"/>
        <v>42.25</v>
      </c>
      <c r="M85" s="21">
        <f t="shared" si="24"/>
        <v>0.14822280361723633</v>
      </c>
    </row>
    <row r="86" spans="1:14" ht="18.75" x14ac:dyDescent="0.3">
      <c r="A86" s="5">
        <v>20</v>
      </c>
      <c r="B86" s="14">
        <v>25.2</v>
      </c>
      <c r="C86" s="5">
        <f t="shared" si="14"/>
        <v>400</v>
      </c>
      <c r="D86" s="14">
        <f t="shared" si="15"/>
        <v>635.04</v>
      </c>
      <c r="E86" s="14">
        <f t="shared" si="16"/>
        <v>504</v>
      </c>
      <c r="F86" s="14">
        <f t="shared" si="17"/>
        <v>8000</v>
      </c>
      <c r="G86" s="14">
        <f t="shared" si="18"/>
        <v>160000</v>
      </c>
      <c r="H86" s="14">
        <f t="shared" si="19"/>
        <v>10080</v>
      </c>
      <c r="I86" s="14">
        <f t="shared" si="20"/>
        <v>24.595621707922714</v>
      </c>
      <c r="J86" s="14">
        <f t="shared" si="21"/>
        <v>78.396267361111072</v>
      </c>
      <c r="K86" s="14">
        <f t="shared" si="22"/>
        <v>0.36527311993425671</v>
      </c>
      <c r="L86" s="5">
        <f t="shared" si="23"/>
        <v>56.25</v>
      </c>
      <c r="M86" s="21">
        <f t="shared" si="24"/>
        <v>2.3983265558622444E-2</v>
      </c>
    </row>
    <row r="87" spans="1:14" ht="18.75" x14ac:dyDescent="0.3">
      <c r="A87" s="5">
        <v>21</v>
      </c>
      <c r="B87" s="14">
        <v>25.67</v>
      </c>
      <c r="C87" s="5">
        <f t="shared" si="14"/>
        <v>441</v>
      </c>
      <c r="D87" s="14">
        <f t="shared" si="15"/>
        <v>658.94890000000009</v>
      </c>
      <c r="E87" s="14">
        <f t="shared" si="16"/>
        <v>539.07000000000005</v>
      </c>
      <c r="F87" s="14">
        <f t="shared" si="17"/>
        <v>9261</v>
      </c>
      <c r="G87" s="14">
        <f t="shared" si="18"/>
        <v>194481</v>
      </c>
      <c r="H87" s="14">
        <f t="shared" si="19"/>
        <v>11320.470000000001</v>
      </c>
      <c r="I87" s="14">
        <f t="shared" si="20"/>
        <v>25.735615305487617</v>
      </c>
      <c r="J87" s="14">
        <f t="shared" si="21"/>
        <v>86.940084027777772</v>
      </c>
      <c r="K87" s="14">
        <f t="shared" si="22"/>
        <v>4.3053683142330341E-3</v>
      </c>
      <c r="L87" s="5">
        <f t="shared" si="23"/>
        <v>72.25</v>
      </c>
      <c r="M87" s="21">
        <f t="shared" si="24"/>
        <v>2.5561085113991024E-3</v>
      </c>
    </row>
    <row r="88" spans="1:14" ht="18.75" x14ac:dyDescent="0.3">
      <c r="A88" s="5">
        <v>22</v>
      </c>
      <c r="B88" s="14">
        <v>29.79</v>
      </c>
      <c r="C88" s="5">
        <f t="shared" si="14"/>
        <v>484</v>
      </c>
      <c r="D88" s="14">
        <f t="shared" si="15"/>
        <v>887.44409999999993</v>
      </c>
      <c r="E88" s="14">
        <f t="shared" si="16"/>
        <v>655.38</v>
      </c>
      <c r="F88" s="14">
        <f t="shared" si="17"/>
        <v>10648</v>
      </c>
      <c r="G88" s="14">
        <f t="shared" si="18"/>
        <v>234256</v>
      </c>
      <c r="H88" s="14">
        <f t="shared" si="19"/>
        <v>14418.359999999999</v>
      </c>
      <c r="I88" s="14">
        <f t="shared" si="20"/>
        <v>26.87817267059485</v>
      </c>
      <c r="J88" s="14">
        <f t="shared" si="21"/>
        <v>180.74561736111104</v>
      </c>
      <c r="K88" s="14">
        <f t="shared" si="22"/>
        <v>8.4787383962707228</v>
      </c>
      <c r="L88" s="5">
        <f t="shared" si="23"/>
        <v>90.25</v>
      </c>
      <c r="M88" s="21">
        <f t="shared" si="24"/>
        <v>9.7745126868249391E-2</v>
      </c>
    </row>
    <row r="89" spans="1:14" ht="18.75" x14ac:dyDescent="0.3">
      <c r="A89" s="5">
        <v>23</v>
      </c>
      <c r="B89" s="14">
        <v>28.56</v>
      </c>
      <c r="C89" s="5">
        <f t="shared" si="14"/>
        <v>529</v>
      </c>
      <c r="D89" s="14">
        <f t="shared" si="15"/>
        <v>815.67359999999996</v>
      </c>
      <c r="E89" s="14">
        <f t="shared" si="16"/>
        <v>656.88</v>
      </c>
      <c r="F89" s="14">
        <f t="shared" si="17"/>
        <v>12167</v>
      </c>
      <c r="G89" s="14">
        <f t="shared" si="18"/>
        <v>279841</v>
      </c>
      <c r="H89" s="14">
        <f t="shared" si="19"/>
        <v>15108.24</v>
      </c>
      <c r="I89" s="14">
        <f t="shared" si="20"/>
        <v>28.02329380324441</v>
      </c>
      <c r="J89" s="14">
        <f t="shared" si="21"/>
        <v>149.18586736111104</v>
      </c>
      <c r="K89" s="14">
        <f t="shared" si="22"/>
        <v>0.28805354163584834</v>
      </c>
      <c r="L89" s="5">
        <f t="shared" si="23"/>
        <v>110.25</v>
      </c>
      <c r="M89" s="21">
        <f t="shared" si="24"/>
        <v>1.8792233779957576E-2</v>
      </c>
    </row>
    <row r="90" spans="1:14" ht="18.75" x14ac:dyDescent="0.3">
      <c r="A90" s="5">
        <v>24</v>
      </c>
      <c r="B90" s="14">
        <v>29.03</v>
      </c>
      <c r="C90" s="5">
        <f t="shared" si="14"/>
        <v>576</v>
      </c>
      <c r="D90" s="14">
        <f t="shared" si="15"/>
        <v>842.74090000000001</v>
      </c>
      <c r="E90" s="14">
        <f t="shared" si="16"/>
        <v>696.72</v>
      </c>
      <c r="F90" s="14">
        <f>A90^3</f>
        <v>13824</v>
      </c>
      <c r="G90" s="14">
        <f t="shared" si="18"/>
        <v>331776</v>
      </c>
      <c r="H90" s="14">
        <f t="shared" si="19"/>
        <v>16721.28</v>
      </c>
      <c r="I90" s="14">
        <f t="shared" si="20"/>
        <v>29.170978703436298</v>
      </c>
      <c r="J90" s="14">
        <f t="shared" si="21"/>
        <v>160.88808402777775</v>
      </c>
      <c r="K90" s="14">
        <f t="shared" si="22"/>
        <v>1.9874994822579203E-2</v>
      </c>
      <c r="L90" s="5">
        <f t="shared" si="23"/>
        <v>132.25</v>
      </c>
      <c r="M90" s="21">
        <f>ABS(B90-I90)/B90</f>
        <v>4.8563108314259853E-3</v>
      </c>
    </row>
    <row r="91" spans="1:14" ht="18.75" x14ac:dyDescent="0.3">
      <c r="A91" s="5">
        <f>SUM(A67:A90)</f>
        <v>300</v>
      </c>
      <c r="B91" s="5">
        <f t="shared" ref="B91:E91" si="25">SUM(B67:B90)</f>
        <v>392.30000000000007</v>
      </c>
      <c r="C91" s="5">
        <f t="shared" si="25"/>
        <v>4900</v>
      </c>
      <c r="D91" s="5">
        <f t="shared" si="25"/>
        <v>7839.7969999999996</v>
      </c>
      <c r="E91" s="5">
        <f t="shared" si="25"/>
        <v>6144.05</v>
      </c>
      <c r="F91" s="14">
        <f t="shared" ref="F91:M91" si="26">SUM(F67:F90)</f>
        <v>90000</v>
      </c>
      <c r="G91" s="14">
        <f t="shared" si="26"/>
        <v>1763020</v>
      </c>
      <c r="H91" s="14">
        <f t="shared" si="26"/>
        <v>111566.55</v>
      </c>
      <c r="I91" s="14">
        <f t="shared" si="26"/>
        <v>388.53152193518275</v>
      </c>
      <c r="J91" s="14">
        <f t="shared" si="26"/>
        <v>1427.3265833333332</v>
      </c>
      <c r="K91" s="14">
        <f t="shared" si="26"/>
        <v>91.038614486646068</v>
      </c>
      <c r="L91" s="14">
        <f t="shared" si="26"/>
        <v>1150</v>
      </c>
      <c r="M91" s="14">
        <f t="shared" si="26"/>
        <v>2.5840978882099428</v>
      </c>
      <c r="N91" s="5" t="s">
        <v>43</v>
      </c>
    </row>
    <row r="92" spans="1:14" ht="18.75" x14ac:dyDescent="0.3">
      <c r="A92" s="5">
        <f>AVERAGE(A67:A90)</f>
        <v>12.5</v>
      </c>
      <c r="B92" s="14">
        <f t="shared" ref="B92:E92" si="27">AVERAGE(B67:B90)</f>
        <v>16.345833333333335</v>
      </c>
      <c r="C92" s="14">
        <f t="shared" si="27"/>
        <v>204.16666666666666</v>
      </c>
      <c r="D92" s="14">
        <f t="shared" si="27"/>
        <v>326.65820833333333</v>
      </c>
      <c r="E92" s="14">
        <f t="shared" si="27"/>
        <v>256.00208333333336</v>
      </c>
      <c r="F92" s="14">
        <f t="shared" ref="F92" si="28">AVERAGE(F67:F90)</f>
        <v>3750</v>
      </c>
      <c r="G92" s="14">
        <f t="shared" ref="G92:H92" si="29">AVERAGE(G67:G90)</f>
        <v>73459.166666666672</v>
      </c>
      <c r="H92" s="14">
        <f t="shared" si="29"/>
        <v>4648.6062499999998</v>
      </c>
      <c r="I92" s="14">
        <f t="shared" ref="I92" si="30">AVERAGE(I67:I90)</f>
        <v>16.188813413965949</v>
      </c>
      <c r="J92" s="14">
        <f t="shared" ref="I92:J92" si="31">AVERAGE(J67:J90)</f>
        <v>59.471940972222221</v>
      </c>
      <c r="K92" s="14">
        <f>AVERAGE(K67:K90)</f>
        <v>3.7932756036102528</v>
      </c>
      <c r="L92" s="14">
        <f t="shared" ref="K92:L92" si="32">AVERAGE(L67:L90)</f>
        <v>47.916666666666664</v>
      </c>
      <c r="M92" s="14">
        <f>AVERAGE(M67:M90)</f>
        <v>0.10767074534208095</v>
      </c>
      <c r="N92" s="5" t="s">
        <v>44</v>
      </c>
    </row>
    <row r="94" spans="1:14" ht="18.75" x14ac:dyDescent="0.3">
      <c r="A94" s="22" t="s">
        <v>39</v>
      </c>
      <c r="B94" s="23">
        <v>2.3341409405136373</v>
      </c>
      <c r="C94" s="29">
        <f>B94*B99+B95*A91+B96*D91</f>
        <v>392.30000000000013</v>
      </c>
      <c r="D94" s="29">
        <f>B91</f>
        <v>392.30000000000007</v>
      </c>
      <c r="F94" s="34" t="s">
        <v>47</v>
      </c>
      <c r="G94" s="34"/>
      <c r="H94" s="35">
        <f>M92</f>
        <v>0.10767074534208095</v>
      </c>
    </row>
    <row r="95" spans="1:14" ht="18.75" x14ac:dyDescent="0.3">
      <c r="A95" s="22" t="s">
        <v>38</v>
      </c>
      <c r="B95" s="23">
        <v>1.0874363629471688</v>
      </c>
      <c r="C95" s="29">
        <f>B94*A91+B95*C91+B96*F91</f>
        <v>6144.0500000000011</v>
      </c>
      <c r="D95" s="29">
        <f>E91</f>
        <v>6144.05</v>
      </c>
      <c r="F95" s="34"/>
      <c r="G95" s="34"/>
      <c r="H95" s="36">
        <f>1-(K92/J92)</f>
        <v>0.93621739022471129</v>
      </c>
    </row>
    <row r="96" spans="1:14" ht="18.75" x14ac:dyDescent="0.3">
      <c r="A96" s="22" t="s">
        <v>46</v>
      </c>
      <c r="B96" s="23">
        <v>1.2818837711642481E-3</v>
      </c>
      <c r="C96" s="29">
        <f>B94*C91+B95*F91+B96*G91</f>
        <v>111566.55000000002</v>
      </c>
      <c r="D96" s="29">
        <f>H91</f>
        <v>111566.55</v>
      </c>
      <c r="F96" s="34" t="s">
        <v>48</v>
      </c>
      <c r="G96" s="34" t="s">
        <v>48</v>
      </c>
      <c r="H96" s="35">
        <f>SQRT((J91-K91)/J91)</f>
        <v>0.96758327301825098</v>
      </c>
    </row>
    <row r="97" spans="1:8" ht="18.75" x14ac:dyDescent="0.3">
      <c r="A97" s="23" t="s">
        <v>40</v>
      </c>
      <c r="B97" s="23">
        <v>2</v>
      </c>
      <c r="F97" s="34" t="s">
        <v>49</v>
      </c>
      <c r="G97" s="34" t="s">
        <v>49</v>
      </c>
      <c r="H97" s="37">
        <f>(H96/(1-H96))*(B98/B97)</f>
        <v>313.40685234544549</v>
      </c>
    </row>
    <row r="98" spans="1:8" ht="18.75" x14ac:dyDescent="0.3">
      <c r="A98" s="23" t="s">
        <v>41</v>
      </c>
      <c r="B98" s="23">
        <f>B99-B97-1</f>
        <v>21</v>
      </c>
      <c r="F98" s="34" t="s">
        <v>50</v>
      </c>
      <c r="G98" s="34" t="s">
        <v>50</v>
      </c>
      <c r="H98" s="37">
        <f>FINV(0.05,B97,B98)</f>
        <v>3.4668001115424172</v>
      </c>
    </row>
    <row r="99" spans="1:8" ht="37.5" x14ac:dyDescent="0.3">
      <c r="A99" s="33" t="s">
        <v>42</v>
      </c>
      <c r="B99" s="23">
        <v>24</v>
      </c>
      <c r="F99" s="30"/>
      <c r="G99" s="30"/>
    </row>
    <row r="101" spans="1:8" x14ac:dyDescent="0.25">
      <c r="A101" s="38"/>
      <c r="B101" s="40">
        <f>K91/B98</f>
        <v>4.3351721184117178</v>
      </c>
      <c r="C101" s="39" t="s">
        <v>54</v>
      </c>
      <c r="D101" s="40">
        <f>TINV(0.025,B98)</f>
        <v>2.4138450165989993</v>
      </c>
    </row>
    <row r="102" spans="1:8" x14ac:dyDescent="0.25">
      <c r="A102" s="39" t="s">
        <v>51</v>
      </c>
      <c r="B102" s="40">
        <f>SQRT(B101)</f>
        <v>2.0821076145126884</v>
      </c>
      <c r="C102" s="38"/>
      <c r="D102" s="38"/>
    </row>
    <row r="103" spans="1:8" x14ac:dyDescent="0.25">
      <c r="A103" s="39" t="s">
        <v>52</v>
      </c>
      <c r="B103" s="39">
        <v>25</v>
      </c>
      <c r="C103" s="39" t="s">
        <v>55</v>
      </c>
      <c r="D103" s="41">
        <f>D$101*B$102*SQRT(1+1/B$99+(3*POWER(B$99+2-1,2))/($B$99*(B$99*B$99-1)))</f>
        <v>5.4538061109904152</v>
      </c>
      <c r="E103" s="39" t="s">
        <v>56</v>
      </c>
      <c r="F103" s="40">
        <f>B96*POWER(B103,2)+B103*B95+B94</f>
        <v>30.321227371170512</v>
      </c>
    </row>
    <row r="104" spans="1:8" x14ac:dyDescent="0.25">
      <c r="A104" s="39" t="s">
        <v>53</v>
      </c>
      <c r="B104" s="39">
        <v>26</v>
      </c>
      <c r="C104" s="39" t="s">
        <v>41</v>
      </c>
      <c r="D104" s="41">
        <f>D$101*B$102*SQRT(1+1/B$99+(3*POWER(B$99+4-1,2))/($B$99*(B$99*B$99-1)))</f>
        <v>5.5059137222921413</v>
      </c>
      <c r="E104" s="39" t="s">
        <v>57</v>
      </c>
      <c r="F104" s="40">
        <f>B96*POWER(B104,2)+B104*B95+B94</f>
        <v>31.47403980644706</v>
      </c>
    </row>
  </sheetData>
  <mergeCells count="8">
    <mergeCell ref="F95:G95"/>
    <mergeCell ref="F96:G96"/>
    <mergeCell ref="F97:G97"/>
    <mergeCell ref="F98:G98"/>
    <mergeCell ref="A1:H3"/>
    <mergeCell ref="A30:J30"/>
    <mergeCell ref="A65:M65"/>
    <mergeCell ref="F94:G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2022-03-12T15:40:43Z</dcterms:modified>
</cp:coreProperties>
</file>