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E:\HW\ISiT\3_course\OptimizationMethods\KR1\"/>
    </mc:Choice>
  </mc:AlternateContent>
  <xr:revisionPtr revIDLastSave="0" documentId="13_ncr:1_{41A982E4-E303-43B7-8C10-B25BA6AB4419}" xr6:coauthVersionLast="47" xr6:coauthVersionMax="47" xr10:uidLastSave="{00000000-0000-0000-0000-000000000000}"/>
  <bookViews>
    <workbookView xWindow="38280" yWindow="3150" windowWidth="19440" windowHeight="150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6" i="1" l="1"/>
  <c r="I59" i="1"/>
  <c r="A93" i="1" l="1"/>
  <c r="A90" i="1"/>
  <c r="J86" i="1"/>
  <c r="G86" i="1"/>
  <c r="H86" i="1" s="1"/>
  <c r="L81" i="1"/>
  <c r="E86" i="1"/>
  <c r="D86" i="1"/>
  <c r="B87" i="1"/>
  <c r="B86" i="1"/>
  <c r="K86" i="1"/>
  <c r="L80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64" i="1"/>
  <c r="K80" i="1"/>
  <c r="K81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64" i="1"/>
  <c r="J80" i="1"/>
  <c r="J81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64" i="1"/>
  <c r="I80" i="1"/>
  <c r="I81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64" i="1"/>
  <c r="G59" i="1"/>
  <c r="H59" i="1"/>
  <c r="H14" i="1"/>
  <c r="D59" i="1"/>
  <c r="F59" i="1" s="1"/>
  <c r="H80" i="1"/>
  <c r="H81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64" i="1"/>
  <c r="G80" i="1"/>
  <c r="G81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64" i="1"/>
  <c r="F80" i="1"/>
  <c r="F81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64" i="1"/>
  <c r="E80" i="1"/>
  <c r="E81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64" i="1"/>
  <c r="D80" i="1"/>
  <c r="D81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64" i="1"/>
  <c r="C80" i="1"/>
  <c r="C81" i="1"/>
  <c r="B81" i="1"/>
  <c r="B80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A78" i="1"/>
  <c r="A79" i="1"/>
  <c r="A76" i="1"/>
  <c r="A77" i="1"/>
  <c r="A65" i="1"/>
  <c r="A66" i="1"/>
  <c r="A67" i="1"/>
  <c r="A68" i="1"/>
  <c r="A69" i="1"/>
  <c r="A70" i="1"/>
  <c r="A71" i="1"/>
  <c r="A72" i="1"/>
  <c r="A73" i="1"/>
  <c r="A74" i="1"/>
  <c r="A75" i="1"/>
  <c r="C64" i="1"/>
  <c r="B64" i="1"/>
  <c r="A64" i="1"/>
  <c r="B61" i="1"/>
  <c r="B60" i="1"/>
  <c r="B59" i="1"/>
  <c r="B58" i="1"/>
  <c r="B57" i="1"/>
  <c r="B56" i="1"/>
  <c r="A53" i="1"/>
  <c r="A50" i="1"/>
  <c r="J46" i="1"/>
  <c r="K46" i="1" s="1"/>
  <c r="H46" i="1"/>
  <c r="G46" i="1"/>
  <c r="E46" i="1"/>
  <c r="D46" i="1"/>
  <c r="B47" i="1"/>
  <c r="I14" i="1"/>
  <c r="G14" i="1" l="1"/>
  <c r="E14" i="1"/>
  <c r="D14" i="1" s="1"/>
  <c r="H21" i="1"/>
  <c r="G22" i="1"/>
  <c r="G37" i="1" s="1"/>
  <c r="G23" i="1"/>
  <c r="G24" i="1"/>
  <c r="G25" i="1"/>
  <c r="G26" i="1"/>
  <c r="G27" i="1"/>
  <c r="G28" i="1"/>
  <c r="G38" i="1" s="1"/>
  <c r="G29" i="1"/>
  <c r="G30" i="1"/>
  <c r="G31" i="1"/>
  <c r="G32" i="1"/>
  <c r="G33" i="1"/>
  <c r="G34" i="1"/>
  <c r="G35" i="1"/>
  <c r="G36" i="1"/>
  <c r="G21" i="1"/>
  <c r="J21" i="1" s="1"/>
  <c r="I21" i="1" l="1"/>
  <c r="H22" i="1" l="1"/>
  <c r="I35" i="1"/>
  <c r="J34" i="1"/>
  <c r="I32" i="1"/>
  <c r="I31" i="1"/>
  <c r="J30" i="1"/>
  <c r="J29" i="1"/>
  <c r="J28" i="1"/>
  <c r="I27" i="1"/>
  <c r="J26" i="1"/>
  <c r="I25" i="1"/>
  <c r="I24" i="1"/>
  <c r="I23" i="1"/>
  <c r="J22" i="1"/>
  <c r="J33" i="1"/>
  <c r="J36" i="1"/>
  <c r="J24" i="1"/>
  <c r="J25" i="1"/>
  <c r="H38" i="1"/>
  <c r="H37" i="1"/>
  <c r="I28" i="1"/>
  <c r="I29" i="1"/>
  <c r="I30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J27" i="1" l="1"/>
  <c r="I26" i="1"/>
  <c r="J32" i="1"/>
  <c r="I33" i="1"/>
  <c r="J35" i="1"/>
  <c r="J31" i="1"/>
  <c r="I22" i="1"/>
  <c r="I36" i="1"/>
  <c r="J23" i="1"/>
  <c r="I34" i="1"/>
  <c r="I38" i="1" l="1"/>
  <c r="J38" i="1"/>
  <c r="I37" i="1"/>
  <c r="J37" i="1"/>
  <c r="D37" i="1" l="1"/>
  <c r="C37" i="1"/>
  <c r="E37" i="1"/>
  <c r="F37" i="1"/>
  <c r="C38" i="1"/>
  <c r="D38" i="1"/>
  <c r="E38" i="1"/>
  <c r="F38" i="1"/>
  <c r="B38" i="1"/>
  <c r="B37" i="1"/>
  <c r="F22" i="1" l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C21" i="1"/>
  <c r="B21" i="1"/>
</calcChain>
</file>

<file path=xl/sharedStrings.xml><?xml version="1.0" encoding="utf-8"?>
<sst xmlns="http://schemas.openxmlformats.org/spreadsheetml/2006/main" count="106" uniqueCount="59">
  <si>
    <t>Вариант 15</t>
  </si>
  <si>
    <t>Инвестициии в основной капитал на душу населения, тыс.руб., х</t>
  </si>
  <si>
    <t>Среднемесячная заработная плата, тыс.руб., у</t>
  </si>
  <si>
    <t>1. Рассчитайте параметры уравнений линейной, степенной парной регрессий.                       2. Оцените тесноту связи с помощью показателей корреляци и детерминации. 3. Оцените качество уравнений с помощью среднй ошибки аппроксимации. 4. С помощью критерия Фишера определите статистическую надежность результатов, выберите лучшее уравнение и дайте обоснование. 6. Рассчитайте прогнозное значение результата по линейному уравнению регрессии, если прогнозируется увеличение значения фактора на 10% от его среднего значения. Определите доверительный интервал прогноза для уровня значимости 0,05.</t>
  </si>
  <si>
    <t>i</t>
  </si>
  <si>
    <t>y(x)</t>
  </si>
  <si>
    <t>Сумма</t>
  </si>
  <si>
    <t>Среднее</t>
  </si>
  <si>
    <t>b</t>
  </si>
  <si>
    <t>a</t>
  </si>
  <si>
    <t>k2</t>
  </si>
  <si>
    <t>n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</si>
  <si>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</si>
  <si>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</si>
  <si>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</si>
  <si>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</si>
  <si>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</si>
  <si>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</si>
  <si>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</si>
  <si>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</si>
  <si>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</si>
  <si>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</si>
  <si>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</si>
  <si>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</si>
  <si>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</si>
  <si>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</si>
  <si>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</si>
  <si>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</si>
  <si>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</si>
  <si>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</si>
  <si>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</si>
  <si>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</si>
  <si>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</si>
  <si>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</si>
  <si>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</si>
  <si>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</si>
  <si>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</si>
  <si>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Качество модели оценивается как хорошее, так как 𝐴̅= 5,75 не
превышает 8 − 10%</t>
  </si>
  <si>
    <t>m(k1)</t>
  </si>
  <si>
    <t>Уравнение имеет вид:</t>
  </si>
  <si>
    <t>Y = b*x*+a = 0,12*x+8,52</t>
  </si>
  <si>
    <t>Кол-во независ. пер.</t>
  </si>
  <si>
    <t>k2(степени свободы)</t>
  </si>
  <si>
    <t>n(количество измерен.)</t>
  </si>
  <si>
    <t>Среднеквадратичное отклонение</t>
  </si>
  <si>
    <t>x</t>
  </si>
  <si>
    <t>y</t>
  </si>
  <si>
    <t>Коэф. Корреляции</t>
  </si>
  <si>
    <t>Коэф. Детерминации (R-квадрат)</t>
  </si>
  <si>
    <t>Ср. ошибка аппроксимации</t>
  </si>
  <si>
    <t>Факт. значения критерия Фишера</t>
  </si>
  <si>
    <t>Табл. значение критерия Фишера</t>
  </si>
  <si>
    <t>Прогнозные значения</t>
  </si>
  <si>
    <t>Нижняя граница</t>
  </si>
  <si>
    <t>Верхняя граница</t>
  </si>
  <si>
    <r>
      <t>t</t>
    </r>
    <r>
      <rPr>
        <sz val="10"/>
        <color theme="1"/>
        <rFont val="Calibri"/>
        <family val="2"/>
        <charset val="204"/>
        <scheme val="minor"/>
      </rPr>
      <t>крит</t>
    </r>
  </si>
  <si>
    <t>Ошибка прогноза</t>
  </si>
  <si>
    <t>Y = b*x*+a = 0,25*x+1,66</t>
  </si>
  <si>
    <t>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</si>
</sst>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5" fillId="0" borderId="0" applyFont="0" applyFill="0" applyBorder="0" applyAlignment="0" applyProtection="0"/>
  </cellStyleXfs>
  <cellXfs count="26">
    <xf numFmtId="0" fontId="0" fillId="0" borderId="0" xfId="0"/>
    <xf numFmtId="0" fontId="1" fillId="0" borderId="1" xfId="1" applyBorder="1"/>
    <xf numFmtId="0" fontId="1" fillId="0" borderId="1" xfId="1" applyBorder="1" applyAlignment="1">
      <alignment horizontal="center" vertical="center" wrapText="1"/>
    </xf>
    <xf numFmtId="164" fontId="1" fillId="0" borderId="1" xfId="1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4" fillId="0" borderId="0" xfId="0" applyFont="1" applyFill="1" applyBorder="1" applyAlignment="1"/>
    <xf numFmtId="0" fontId="3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2" fontId="0" fillId="0" borderId="1" xfId="2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1" xfId="0" applyFill="1" applyBorder="1" applyAlignment="1"/>
    <xf numFmtId="0" fontId="4" fillId="0" borderId="1" xfId="0" applyFont="1" applyFill="1" applyBorder="1" applyAlignment="1"/>
    <xf numFmtId="2" fontId="0" fillId="0" borderId="1" xfId="0" applyNumberFormat="1" applyFill="1" applyBorder="1" applyAlignment="1"/>
    <xf numFmtId="0" fontId="4" fillId="0" borderId="1" xfId="0" applyFont="1" applyFill="1" applyBorder="1" applyAlignment="1">
      <alignment horizontal="centerContinuous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center"/>
    </xf>
    <xf numFmtId="0" fontId="2" fillId="0" borderId="0" xfId="1" applyFont="1" applyAlignment="1">
      <alignment horizontal="left" vertical="center" wrapText="1"/>
    </xf>
  </cellXfs>
  <cellStyles count="3">
    <cellStyle name="Обычный" xfId="0" builtinId="0"/>
    <cellStyle name="Обычный 2" xfId="1" xr:uid="{3394FABF-7B62-4406-88B1-A4030EB1B477}"/>
    <cellStyle name="Процентный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Лист1!$B$21:$B$36</c:f>
              <c:numCache>
                <c:formatCode>0.0</c:formatCode>
                <c:ptCount val="16"/>
                <c:pt idx="0">
                  <c:v>17.079753600000004</c:v>
                </c:pt>
                <c:pt idx="1">
                  <c:v>29.62814400000001</c:v>
                </c:pt>
                <c:pt idx="2">
                  <c:v>31.719542400000009</c:v>
                </c:pt>
                <c:pt idx="3">
                  <c:v>19.171152000000003</c:v>
                </c:pt>
                <c:pt idx="4">
                  <c:v>21.262550400000002</c:v>
                </c:pt>
                <c:pt idx="5">
                  <c:v>17.776886400000006</c:v>
                </c:pt>
                <c:pt idx="6">
                  <c:v>14.6397888</c:v>
                </c:pt>
                <c:pt idx="7">
                  <c:v>13.245523200000001</c:v>
                </c:pt>
                <c:pt idx="8">
                  <c:v>38.690870400000016</c:v>
                </c:pt>
                <c:pt idx="9">
                  <c:v>24.051081600000003</c:v>
                </c:pt>
                <c:pt idx="10">
                  <c:v>26.142480000000006</c:v>
                </c:pt>
                <c:pt idx="11">
                  <c:v>19.171152000000003</c:v>
                </c:pt>
                <c:pt idx="12">
                  <c:v>20.216851200000001</c:v>
                </c:pt>
                <c:pt idx="13">
                  <c:v>17.079753600000004</c:v>
                </c:pt>
                <c:pt idx="14">
                  <c:v>20.913984000000006</c:v>
                </c:pt>
                <c:pt idx="15">
                  <c:v>36.250905600000003</c:v>
                </c:pt>
              </c:numCache>
            </c:numRef>
          </c:xVal>
          <c:yVal>
            <c:numRef>
              <c:f>Лист1!$C$21:$C$36</c:f>
              <c:numCache>
                <c:formatCode>0.0</c:formatCode>
                <c:ptCount val="16"/>
                <c:pt idx="0">
                  <c:v>10.7</c:v>
                </c:pt>
                <c:pt idx="1">
                  <c:v>12.299999999999999</c:v>
                </c:pt>
                <c:pt idx="2">
                  <c:v>11.6</c:v>
                </c:pt>
                <c:pt idx="3">
                  <c:v>10.799999999999999</c:v>
                </c:pt>
                <c:pt idx="4">
                  <c:v>10.7</c:v>
                </c:pt>
                <c:pt idx="5">
                  <c:v>10.6</c:v>
                </c:pt>
                <c:pt idx="6">
                  <c:v>10.9</c:v>
                </c:pt>
                <c:pt idx="7">
                  <c:v>9.8000000000000007</c:v>
                </c:pt>
                <c:pt idx="8">
                  <c:v>13.1</c:v>
                </c:pt>
                <c:pt idx="9">
                  <c:v>11.6</c:v>
                </c:pt>
                <c:pt idx="10">
                  <c:v>12</c:v>
                </c:pt>
                <c:pt idx="11">
                  <c:v>10.5</c:v>
                </c:pt>
                <c:pt idx="12">
                  <c:v>10.3</c:v>
                </c:pt>
                <c:pt idx="13">
                  <c:v>11</c:v>
                </c:pt>
                <c:pt idx="14">
                  <c:v>11.299999999999999</c:v>
                </c:pt>
                <c:pt idx="15">
                  <c:v>13.4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3F-474F-BEFF-3DD966C48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949919"/>
        <c:axId val="2145948671"/>
      </c:scatterChart>
      <c:valAx>
        <c:axId val="214594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5948671"/>
        <c:crosses val="autoZero"/>
        <c:crossBetween val="midCat"/>
      </c:valAx>
      <c:valAx>
        <c:axId val="214594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59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219075</xdr:colOff>
      <xdr:row>19</xdr:row>
      <xdr:rowOff>109537</xdr:rowOff>
    </xdr:from>
    <xdr:ext cx="180114" cy="1810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27CAC52-D0A1-4733-9DAB-75B5EC6DF868}"/>
                </a:ext>
              </a:extLst>
            </xdr:cNvPr>
            <xdr:cNvSpPr txBox="1"/>
          </xdr:nvSpPr>
          <xdr:spPr>
            <a:xfrm>
              <a:off x="3105150" y="4633912"/>
              <a:ext cx="180114" cy="181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27CAC52-D0A1-4733-9DAB-75B5EC6DF868}"/>
                </a:ext>
              </a:extLst>
            </xdr:cNvPr>
            <xdr:cNvSpPr txBox="1"/>
          </xdr:nvSpPr>
          <xdr:spPr>
            <a:xfrm>
              <a:off x="3105150" y="4633912"/>
              <a:ext cx="180114" cy="181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𝑖^2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581025</xdr:colOff>
      <xdr:row>19</xdr:row>
      <xdr:rowOff>109537</xdr:rowOff>
    </xdr:from>
    <xdr:ext cx="1510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E3FA850E-A95C-471B-B229-55B4A68B1868}"/>
                </a:ext>
              </a:extLst>
            </xdr:cNvPr>
            <xdr:cNvSpPr txBox="1"/>
          </xdr:nvSpPr>
          <xdr:spPr>
            <a:xfrm>
              <a:off x="1638300" y="4633912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E3FA850E-A95C-471B-B229-55B4A68B1868}"/>
                </a:ext>
              </a:extLst>
            </xdr:cNvPr>
            <xdr:cNvSpPr txBox="1"/>
          </xdr:nvSpPr>
          <xdr:spPr>
            <a:xfrm>
              <a:off x="1638300" y="4633912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257175</xdr:colOff>
      <xdr:row>19</xdr:row>
      <xdr:rowOff>119062</xdr:rowOff>
    </xdr:from>
    <xdr:ext cx="15196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B7E915BA-E2B3-4273-9A15-8AD447498F12}"/>
                </a:ext>
              </a:extLst>
            </xdr:cNvPr>
            <xdr:cNvSpPr txBox="1"/>
          </xdr:nvSpPr>
          <xdr:spPr>
            <a:xfrm>
              <a:off x="2533650" y="4643437"/>
              <a:ext cx="1519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B7E915BA-E2B3-4273-9A15-8AD447498F12}"/>
                </a:ext>
              </a:extLst>
            </xdr:cNvPr>
            <xdr:cNvSpPr txBox="1"/>
          </xdr:nvSpPr>
          <xdr:spPr>
            <a:xfrm>
              <a:off x="2533650" y="4643437"/>
              <a:ext cx="1519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𝑦</a:t>
              </a:r>
              <a:r>
                <a:rPr lang="ru-RU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209550</xdr:colOff>
      <xdr:row>19</xdr:row>
      <xdr:rowOff>100012</xdr:rowOff>
    </xdr:from>
    <xdr:ext cx="26744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3676E18-4FC7-4E16-869B-A4E73E43B7E4}"/>
                </a:ext>
              </a:extLst>
            </xdr:cNvPr>
            <xdr:cNvSpPr txBox="1"/>
          </xdr:nvSpPr>
          <xdr:spPr>
            <a:xfrm>
              <a:off x="3705225" y="4624387"/>
              <a:ext cx="2674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sSub>
                      <m:sSub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  <m:sub>
                        <m: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>
                <a:effectLst/>
              </a:endParaRPr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3676E18-4FC7-4E16-869B-A4E73E43B7E4}"/>
                </a:ext>
              </a:extLst>
            </xdr:cNvPr>
            <xdr:cNvSpPr txBox="1"/>
          </xdr:nvSpPr>
          <xdr:spPr>
            <a:xfrm>
              <a:off x="3705225" y="4624387"/>
              <a:ext cx="2674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𝑖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endParaRPr lang="ru-RU">
                <a:effectLst/>
              </a:endParaRPr>
            </a:p>
          </xdr:txBody>
        </xdr:sp>
      </mc:Fallback>
    </mc:AlternateContent>
    <xdr:clientData/>
  </xdr:oneCellAnchor>
  <xdr:oneCellAnchor>
    <xdr:from>
      <xdr:col>5</xdr:col>
      <xdr:colOff>228600</xdr:colOff>
      <xdr:row>19</xdr:row>
      <xdr:rowOff>104775</xdr:rowOff>
    </xdr:from>
    <xdr:ext cx="183127" cy="1810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40A1F904-CCED-465D-9FD2-80CD32907778}"/>
                </a:ext>
              </a:extLst>
            </xdr:cNvPr>
            <xdr:cNvSpPr txBox="1"/>
          </xdr:nvSpPr>
          <xdr:spPr>
            <a:xfrm>
              <a:off x="4333875" y="4629150"/>
              <a:ext cx="183127" cy="181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ru-RU" sz="11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ru-RU" sz="110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40A1F904-CCED-465D-9FD2-80CD32907778}"/>
                </a:ext>
              </a:extLst>
            </xdr:cNvPr>
            <xdr:cNvSpPr txBox="1"/>
          </xdr:nvSpPr>
          <xdr:spPr>
            <a:xfrm>
              <a:off x="4333875" y="4629150"/>
              <a:ext cx="183127" cy="181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𝑦</a:t>
              </a:r>
              <a:r>
                <a:rPr lang="ru-RU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𝑖^2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104775</xdr:colOff>
      <xdr:row>19</xdr:row>
      <xdr:rowOff>138112</xdr:rowOff>
    </xdr:from>
    <xdr:ext cx="6385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5C223F8-6CC8-43BB-9BBE-92105EB9BDF1}"/>
                </a:ext>
              </a:extLst>
            </xdr:cNvPr>
            <xdr:cNvSpPr txBox="1"/>
          </xdr:nvSpPr>
          <xdr:spPr>
            <a:xfrm>
              <a:off x="5419725" y="4662487"/>
              <a:ext cx="6385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ru-RU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10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ru-RU" sz="110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ru-RU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sz="1100" i="1"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ru-RU" sz="110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sub>
                                </m:sSub>
                              </m:e>
                            </m:acc>
                          </m:e>
                        </m:d>
                      </m:e>
                      <m:sup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5C223F8-6CC8-43BB-9BBE-92105EB9BDF1}"/>
                </a:ext>
              </a:extLst>
            </xdr:cNvPr>
            <xdr:cNvSpPr txBox="1"/>
          </xdr:nvSpPr>
          <xdr:spPr>
            <a:xfrm>
              <a:off x="5419725" y="4662487"/>
              <a:ext cx="6385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RU" sz="1100" i="0">
                  <a:latin typeface="Cambria Math" panose="02040503050406030204" pitchFamily="18" charset="0"/>
                </a:rPr>
                <a:t>𝑦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𝑖−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RU" sz="1100" i="0">
                  <a:latin typeface="Cambria Math" panose="02040503050406030204" pitchFamily="18" charset="0"/>
                </a:rPr>
                <a:t>𝑦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𝑥 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 ̅ )^</a:t>
              </a:r>
              <a:r>
                <a:rPr lang="ru-RU" sz="110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85725</xdr:colOff>
      <xdr:row>19</xdr:row>
      <xdr:rowOff>90487</xdr:rowOff>
    </xdr:from>
    <xdr:ext cx="790024" cy="224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4B9FEBB6-69E4-43A9-924D-95BAD90D33E5}"/>
                </a:ext>
              </a:extLst>
            </xdr:cNvPr>
            <xdr:cNvSpPr txBox="1"/>
          </xdr:nvSpPr>
          <xdr:spPr>
            <a:xfrm>
              <a:off x="6191250" y="4614862"/>
              <a:ext cx="790024" cy="224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ru-RU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10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ru-RU" sz="110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d>
                              <m:dPr>
                                <m:ctrlPr>
                                  <a:rPr lang="ru-RU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ru-RU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d>
                          </m:e>
                        </m:d>
                      </m:e>
                      <m:sup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4B9FEBB6-69E4-43A9-924D-95BAD90D33E5}"/>
                </a:ext>
              </a:extLst>
            </xdr:cNvPr>
            <xdr:cNvSpPr txBox="1"/>
          </xdr:nvSpPr>
          <xdr:spPr>
            <a:xfrm>
              <a:off x="6191250" y="4614862"/>
              <a:ext cx="790024" cy="224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RU" sz="1100" i="0">
                  <a:latin typeface="Cambria Math" panose="02040503050406030204" pitchFamily="18" charset="0"/>
                </a:rPr>
                <a:t>𝑦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𝑖−𝑦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RU" sz="1100" i="0">
                  <a:latin typeface="Cambria Math" panose="02040503050406030204" pitchFamily="18" charset="0"/>
                </a:rPr>
                <a:t>𝑥))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ru-RU" sz="110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266700</xdr:colOff>
      <xdr:row>19</xdr:row>
      <xdr:rowOff>33337</xdr:rowOff>
    </xdr:from>
    <xdr:ext cx="687176" cy="3574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31ACC2F9-342B-4D8E-AA47-63D5A02DE896}"/>
                </a:ext>
              </a:extLst>
            </xdr:cNvPr>
            <xdr:cNvSpPr txBox="1"/>
          </xdr:nvSpPr>
          <xdr:spPr>
            <a:xfrm>
              <a:off x="7248525" y="4557712"/>
              <a:ext cx="687176" cy="3574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ru-RU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10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ru-RU" sz="110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d>
                              <m:dPr>
                                <m:ctrlPr>
                                  <a:rPr lang="ru-RU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ru-RU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d>
                          </m:e>
                        </m:d>
                      </m:num>
                      <m:den>
                        <m:sSub>
                          <m:sSubPr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31ACC2F9-342B-4D8E-AA47-63D5A02DE896}"/>
                </a:ext>
              </a:extLst>
            </xdr:cNvPr>
            <xdr:cNvSpPr txBox="1"/>
          </xdr:nvSpPr>
          <xdr:spPr>
            <a:xfrm>
              <a:off x="7248525" y="4557712"/>
              <a:ext cx="687176" cy="3574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|</a:t>
              </a:r>
              <a:r>
                <a:rPr lang="ru-RU" sz="1100" i="0">
                  <a:latin typeface="Cambria Math" panose="02040503050406030204" pitchFamily="18" charset="0"/>
                </a:rPr>
                <a:t>𝑦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𝑖−𝑦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RU" sz="1100" i="0">
                  <a:latin typeface="Cambria Math" panose="02040503050406030204" pitchFamily="18" charset="0"/>
                </a:rPr>
                <a:t>𝑥)|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ru-RU" sz="1100" i="0">
                  <a:latin typeface="Cambria Math" panose="02040503050406030204" pitchFamily="18" charset="0"/>
                </a:rPr>
                <a:t>𝑦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𝑖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266700</xdr:colOff>
      <xdr:row>12</xdr:row>
      <xdr:rowOff>14287</xdr:rowOff>
    </xdr:from>
    <xdr:ext cx="122534" cy="176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7B44219-43D4-41B7-B223-7FC9A406F697}"/>
                </a:ext>
              </a:extLst>
            </xdr:cNvPr>
            <xdr:cNvSpPr txBox="1"/>
          </xdr:nvSpPr>
          <xdr:spPr>
            <a:xfrm>
              <a:off x="3152775" y="3252787"/>
              <a:ext cx="122534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7B44219-43D4-41B7-B223-7FC9A406F697}"/>
                </a:ext>
              </a:extLst>
            </xdr:cNvPr>
            <xdr:cNvSpPr txBox="1"/>
          </xdr:nvSpPr>
          <xdr:spPr>
            <a:xfrm>
              <a:off x="3152775" y="3252787"/>
              <a:ext cx="122534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𝐴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581025</xdr:colOff>
      <xdr:row>62</xdr:row>
      <xdr:rowOff>109537</xdr:rowOff>
    </xdr:from>
    <xdr:ext cx="1510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37A787FE-08AE-4B3F-8AE0-C3F18AFC3510}"/>
                </a:ext>
              </a:extLst>
            </xdr:cNvPr>
            <xdr:cNvSpPr txBox="1"/>
          </xdr:nvSpPr>
          <xdr:spPr>
            <a:xfrm>
              <a:off x="1733550" y="4633912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37A787FE-08AE-4B3F-8AE0-C3F18AFC3510}"/>
                </a:ext>
              </a:extLst>
            </xdr:cNvPr>
            <xdr:cNvSpPr txBox="1"/>
          </xdr:nvSpPr>
          <xdr:spPr>
            <a:xfrm>
              <a:off x="1733550" y="4633912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257175</xdr:colOff>
      <xdr:row>62</xdr:row>
      <xdr:rowOff>119062</xdr:rowOff>
    </xdr:from>
    <xdr:ext cx="15196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A52E43AA-9230-4CBC-A396-294933D169D1}"/>
                </a:ext>
              </a:extLst>
            </xdr:cNvPr>
            <xdr:cNvSpPr txBox="1"/>
          </xdr:nvSpPr>
          <xdr:spPr>
            <a:xfrm>
              <a:off x="2628900" y="4643437"/>
              <a:ext cx="1519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A52E43AA-9230-4CBC-A396-294933D169D1}"/>
                </a:ext>
              </a:extLst>
            </xdr:cNvPr>
            <xdr:cNvSpPr txBox="1"/>
          </xdr:nvSpPr>
          <xdr:spPr>
            <a:xfrm>
              <a:off x="2628900" y="4643437"/>
              <a:ext cx="1519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𝑦</a:t>
              </a:r>
              <a:r>
                <a:rPr lang="ru-RU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104775</xdr:colOff>
      <xdr:row>62</xdr:row>
      <xdr:rowOff>119062</xdr:rowOff>
    </xdr:from>
    <xdr:ext cx="38606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4157FA0-6101-4E7B-ACDC-E2D83AA8DE04}"/>
                </a:ext>
              </a:extLst>
            </xdr:cNvPr>
            <xdr:cNvSpPr txBox="1"/>
          </xdr:nvSpPr>
          <xdr:spPr>
            <a:xfrm>
              <a:off x="3695700" y="13044487"/>
              <a:ext cx="38606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ru-RU" sz="11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ru-RU" sz="11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d>
                          <m:d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ru-RU" sz="110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</m:e>
                    </m:func>
                  </m:oMath>
                </m:oMathPara>
              </a14:m>
              <a:endParaRPr lang="ru-RU" sz="1100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4157FA0-6101-4E7B-ACDC-E2D83AA8DE04}"/>
                </a:ext>
              </a:extLst>
            </xdr:cNvPr>
            <xdr:cNvSpPr txBox="1"/>
          </xdr:nvSpPr>
          <xdr:spPr>
            <a:xfrm>
              <a:off x="3695700" y="13044487"/>
              <a:ext cx="38606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solidFill>
                    <a:schemeClr val="tx1"/>
                  </a:solidFill>
                  <a:latin typeface="Cambria Math" panose="02040503050406030204" pitchFamily="18" charset="0"/>
                </a:rPr>
                <a:t>ln⁡(𝑦_𝑖 )</a:t>
              </a:r>
              <a:endParaRPr lang="ru-RU" sz="1100">
                <a:solidFill>
                  <a:schemeClr val="tx1"/>
                </a:solidFill>
              </a:endParaRPr>
            </a:p>
          </xdr:txBody>
        </xdr:sp>
      </mc:Fallback>
    </mc:AlternateContent>
    <xdr:clientData/>
  </xdr:oneCellAnchor>
  <xdr:oneCellAnchor>
    <xdr:from>
      <xdr:col>3</xdr:col>
      <xdr:colOff>133350</xdr:colOff>
      <xdr:row>62</xdr:row>
      <xdr:rowOff>109537</xdr:rowOff>
    </xdr:from>
    <xdr:ext cx="3851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25DE0A63-D677-45A7-92B4-D65818CBFC91}"/>
                </a:ext>
              </a:extLst>
            </xdr:cNvPr>
            <xdr:cNvSpPr txBox="1"/>
          </xdr:nvSpPr>
          <xdr:spPr>
            <a:xfrm>
              <a:off x="3114675" y="13034962"/>
              <a:ext cx="3851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ru-RU" sz="11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ru-RU" sz="11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d>
                          <m:d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ru-RU" sz="110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</m:e>
                    </m:func>
                  </m:oMath>
                </m:oMathPara>
              </a14:m>
              <a:endParaRPr lang="ru-RU" sz="1100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25DE0A63-D677-45A7-92B4-D65818CBFC91}"/>
                </a:ext>
              </a:extLst>
            </xdr:cNvPr>
            <xdr:cNvSpPr txBox="1"/>
          </xdr:nvSpPr>
          <xdr:spPr>
            <a:xfrm>
              <a:off x="3114675" y="13034962"/>
              <a:ext cx="3851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solidFill>
                    <a:schemeClr val="tx1"/>
                  </a:solidFill>
                  <a:latin typeface="Cambria Math" panose="02040503050406030204" pitchFamily="18" charset="0"/>
                </a:rPr>
                <a:t>ln⁡(</a:t>
              </a:r>
              <a:r>
                <a:rPr lang="en-US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𝑖 )</a:t>
              </a:r>
              <a:endParaRPr lang="ru-RU" sz="1100">
                <a:solidFill>
                  <a:schemeClr val="tx1"/>
                </a:solidFill>
              </a:endParaRPr>
            </a:p>
          </xdr:txBody>
        </xdr:sp>
      </mc:Fallback>
    </mc:AlternateContent>
    <xdr:clientData/>
  </xdr:oneCellAnchor>
  <xdr:oneCellAnchor>
    <xdr:from>
      <xdr:col>5</xdr:col>
      <xdr:colOff>95250</xdr:colOff>
      <xdr:row>62</xdr:row>
      <xdr:rowOff>109537</xdr:rowOff>
    </xdr:from>
    <xdr:ext cx="4505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375DC8BE-E09E-4058-8E34-E715904AD830}"/>
                </a:ext>
              </a:extLst>
            </xdr:cNvPr>
            <xdr:cNvSpPr txBox="1"/>
          </xdr:nvSpPr>
          <xdr:spPr>
            <a:xfrm>
              <a:off x="4295775" y="13034962"/>
              <a:ext cx="4505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ru-RU" sz="1100">
                            <a:latin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sSup>
                          <m:sSupPr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ru-RU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sz="110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10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func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375DC8BE-E09E-4058-8E34-E715904AD830}"/>
                </a:ext>
              </a:extLst>
            </xdr:cNvPr>
            <xdr:cNvSpPr txBox="1"/>
          </xdr:nvSpPr>
          <xdr:spPr>
            <a:xfrm>
              <a:off x="4295775" y="13034962"/>
              <a:ext cx="4505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ln⁡〖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RU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𝑖 )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ru-RU" sz="1100" i="0">
                  <a:latin typeface="Cambria Math" panose="02040503050406030204" pitchFamily="18" charset="0"/>
                </a:rPr>
                <a:t>2 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180975</xdr:colOff>
      <xdr:row>62</xdr:row>
      <xdr:rowOff>138112</xdr:rowOff>
    </xdr:from>
    <xdr:ext cx="4505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3330F20C-B6AC-45AC-9B2E-E1506CF58BE2}"/>
                </a:ext>
              </a:extLst>
            </xdr:cNvPr>
            <xdr:cNvSpPr txBox="1"/>
          </xdr:nvSpPr>
          <xdr:spPr>
            <a:xfrm>
              <a:off x="5991225" y="13063537"/>
              <a:ext cx="4505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ru-RU" sz="1100">
                            <a:latin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sSup>
                          <m:sSupPr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ru-RU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ru-RU" sz="110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func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3330F20C-B6AC-45AC-9B2E-E1506CF58BE2}"/>
                </a:ext>
              </a:extLst>
            </xdr:cNvPr>
            <xdr:cNvSpPr txBox="1"/>
          </xdr:nvSpPr>
          <xdr:spPr>
            <a:xfrm>
              <a:off x="5991225" y="13063537"/>
              <a:ext cx="4505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ln⁡〖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𝑦</a:t>
              </a:r>
              <a:r>
                <a:rPr lang="ru-RU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𝑖 )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ru-RU" sz="1100" i="0">
                  <a:latin typeface="Cambria Math" panose="02040503050406030204" pitchFamily="18" charset="0"/>
                </a:rPr>
                <a:t>2 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95250</xdr:colOff>
      <xdr:row>62</xdr:row>
      <xdr:rowOff>128587</xdr:rowOff>
    </xdr:from>
    <xdr:ext cx="87017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0F5AE0EC-70E4-4525-98BF-20A5E0659571}"/>
                </a:ext>
              </a:extLst>
            </xdr:cNvPr>
            <xdr:cNvSpPr txBox="1"/>
          </xdr:nvSpPr>
          <xdr:spPr>
            <a:xfrm>
              <a:off x="4905375" y="13054012"/>
              <a:ext cx="8701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ru-RU" sz="11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ru-RU" sz="11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d>
                          <m:d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ru-RU" sz="110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</m:e>
                    </m:func>
                    <m:r>
                      <a:rPr lang="en-U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∗</m:t>
                    </m:r>
                    <m:func>
                      <m:func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ru-RU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ln</m:t>
                        </m:r>
                      </m:fName>
                      <m:e>
                        <m:d>
                          <m:d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</m:e>
                    </m:func>
                  </m:oMath>
                </m:oMathPara>
              </a14:m>
              <a:endParaRPr lang="ru-RU" sz="1100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0F5AE0EC-70E4-4525-98BF-20A5E0659571}"/>
                </a:ext>
              </a:extLst>
            </xdr:cNvPr>
            <xdr:cNvSpPr txBox="1"/>
          </xdr:nvSpPr>
          <xdr:spPr>
            <a:xfrm>
              <a:off x="4905375" y="13054012"/>
              <a:ext cx="8701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solidFill>
                    <a:schemeClr val="tx1"/>
                  </a:solidFill>
                  <a:latin typeface="Cambria Math" panose="02040503050406030204" pitchFamily="18" charset="0"/>
                </a:rPr>
                <a:t>ln⁡(</a:t>
              </a:r>
              <a:r>
                <a:rPr lang="en-US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𝑖 )</a:t>
              </a:r>
              <a:r>
                <a:rPr lang="en-US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∗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ln⁡(𝑦_𝑖 )</a:t>
              </a:r>
              <a:endParaRPr lang="ru-RU" sz="1100">
                <a:solidFill>
                  <a:schemeClr val="tx1"/>
                </a:solidFill>
              </a:endParaRPr>
            </a:p>
          </xdr:txBody>
        </xdr:sp>
      </mc:Fallback>
    </mc:AlternateContent>
    <xdr:clientData/>
  </xdr:oneCellAnchor>
  <xdr:oneCellAnchor>
    <xdr:from>
      <xdr:col>10</xdr:col>
      <xdr:colOff>114300</xdr:colOff>
      <xdr:row>62</xdr:row>
      <xdr:rowOff>61912</xdr:rowOff>
    </xdr:from>
    <xdr:ext cx="790024" cy="224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7C8F47C7-DF5A-4699-9D77-4D1DCAF2BF82}"/>
                </a:ext>
              </a:extLst>
            </xdr:cNvPr>
            <xdr:cNvSpPr txBox="1"/>
          </xdr:nvSpPr>
          <xdr:spPr>
            <a:xfrm>
              <a:off x="8724900" y="12987337"/>
              <a:ext cx="790024" cy="224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ru-RU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10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ru-RU" sz="110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d>
                              <m:dPr>
                                <m:ctrlPr>
                                  <a:rPr lang="ru-RU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ru-RU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d>
                          </m:e>
                        </m:d>
                      </m:e>
                      <m:sup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7C8F47C7-DF5A-4699-9D77-4D1DCAF2BF82}"/>
                </a:ext>
              </a:extLst>
            </xdr:cNvPr>
            <xdr:cNvSpPr txBox="1"/>
          </xdr:nvSpPr>
          <xdr:spPr>
            <a:xfrm>
              <a:off x="8724900" y="12987337"/>
              <a:ext cx="790024" cy="224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RU" sz="1100" i="0">
                  <a:latin typeface="Cambria Math" panose="02040503050406030204" pitchFamily="18" charset="0"/>
                </a:rPr>
                <a:t>𝑦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𝑖−𝑦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RU" sz="1100" i="0">
                  <a:latin typeface="Cambria Math" panose="02040503050406030204" pitchFamily="18" charset="0"/>
                </a:rPr>
                <a:t>𝑥))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ru-RU" sz="110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276225</xdr:colOff>
      <xdr:row>62</xdr:row>
      <xdr:rowOff>80962</xdr:rowOff>
    </xdr:from>
    <xdr:ext cx="687239" cy="2299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BD3B0B96-EA05-49D9-BF28-99A33CF66657}"/>
                </a:ext>
              </a:extLst>
            </xdr:cNvPr>
            <xdr:cNvSpPr txBox="1"/>
          </xdr:nvSpPr>
          <xdr:spPr>
            <a:xfrm>
              <a:off x="7753350" y="13006387"/>
              <a:ext cx="687239" cy="2299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ru-RU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10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ru-RU" sz="110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ru-RU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10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ru-RU" sz="1100" b="0" i="1">
                                    <a:latin typeface="Cambria Math" panose="02040503050406030204" pitchFamily="18" charset="0"/>
                                  </a:rPr>
                                  <m:t>ср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BD3B0B96-EA05-49D9-BF28-99A33CF66657}"/>
                </a:ext>
              </a:extLst>
            </xdr:cNvPr>
            <xdr:cNvSpPr txBox="1"/>
          </xdr:nvSpPr>
          <xdr:spPr>
            <a:xfrm>
              <a:off x="7753350" y="13006387"/>
              <a:ext cx="687239" cy="2299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RU" sz="1100" i="0">
                  <a:latin typeface="Cambria Math" panose="02040503050406030204" pitchFamily="18" charset="0"/>
                </a:rPr>
                <a:t>𝑦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𝑖−𝑦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ср )</a:t>
              </a:r>
              <a:r>
                <a:rPr lang="ru-RU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ru-RU" sz="110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11</xdr:col>
      <xdr:colOff>66675</xdr:colOff>
      <xdr:row>62</xdr:row>
      <xdr:rowOff>33337</xdr:rowOff>
    </xdr:from>
    <xdr:ext cx="687176" cy="3574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7D4B3012-CDE4-4D42-B7A3-4B99625CAA85}"/>
                </a:ext>
              </a:extLst>
            </xdr:cNvPr>
            <xdr:cNvSpPr txBox="1"/>
          </xdr:nvSpPr>
          <xdr:spPr>
            <a:xfrm>
              <a:off x="9639300" y="12958762"/>
              <a:ext cx="687176" cy="3574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ru-RU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10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ru-RU" sz="110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d>
                              <m:dPr>
                                <m:ctrlPr>
                                  <a:rPr lang="ru-RU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ru-RU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d>
                          </m:e>
                        </m:d>
                      </m:num>
                      <m:den>
                        <m:sSub>
                          <m:sSubPr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7D4B3012-CDE4-4D42-B7A3-4B99625CAA85}"/>
                </a:ext>
              </a:extLst>
            </xdr:cNvPr>
            <xdr:cNvSpPr txBox="1"/>
          </xdr:nvSpPr>
          <xdr:spPr>
            <a:xfrm>
              <a:off x="9639300" y="12958762"/>
              <a:ext cx="687176" cy="3574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|</a:t>
              </a:r>
              <a:r>
                <a:rPr lang="ru-RU" sz="1100" i="0">
                  <a:latin typeface="Cambria Math" panose="02040503050406030204" pitchFamily="18" charset="0"/>
                </a:rPr>
                <a:t>𝑦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𝑖−𝑦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RU" sz="1100" i="0">
                  <a:latin typeface="Cambria Math" panose="02040503050406030204" pitchFamily="18" charset="0"/>
                </a:rPr>
                <a:t>𝑥)|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ru-RU" sz="1100" i="0">
                  <a:latin typeface="Cambria Math" panose="02040503050406030204" pitchFamily="18" charset="0"/>
                </a:rPr>
                <a:t>𝑦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𝑖 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4</xdr:col>
      <xdr:colOff>41713</xdr:colOff>
      <xdr:row>18</xdr:row>
      <xdr:rowOff>105104</xdr:rowOff>
    </xdr:from>
    <xdr:to>
      <xdr:col>11</xdr:col>
      <xdr:colOff>643758</xdr:colOff>
      <xdr:row>39</xdr:row>
      <xdr:rowOff>78828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35E34FBB-9E3E-4432-82D9-A0EA543D60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3"/>
  <sheetViews>
    <sheetView tabSelected="1" topLeftCell="H15" zoomScale="115" zoomScaleNormal="115" workbookViewId="0">
      <selection activeCell="B21" sqref="B21:C36"/>
    </sheetView>
  </sheetViews>
  <sheetFormatPr defaultRowHeight="15" x14ac:dyDescent="0.25"/>
  <cols>
    <col min="1" max="1" width="17.28515625" customWidth="1"/>
    <col min="2" max="2" width="18.28515625" customWidth="1"/>
    <col min="4" max="4" width="9.140625" customWidth="1"/>
    <col min="7" max="7" width="15" customWidth="1"/>
    <col min="8" max="8" width="11.85546875" customWidth="1"/>
    <col min="9" max="9" width="13.140625" customWidth="1"/>
    <col min="10" max="10" width="17" customWidth="1"/>
    <col min="11" max="11" width="14.42578125" customWidth="1"/>
    <col min="12" max="12" width="11.7109375" customWidth="1"/>
    <col min="13" max="13" width="28.5703125" bestFit="1" customWidth="1"/>
    <col min="14" max="14" width="26.28515625" bestFit="1" customWidth="1"/>
    <col min="15" max="16" width="23.28515625" bestFit="1" customWidth="1"/>
    <col min="17" max="17" width="15.5703125" bestFit="1" customWidth="1"/>
    <col min="18" max="18" width="14.28515625" customWidth="1"/>
    <col min="19" max="20" width="14.7109375" bestFit="1" customWidth="1"/>
    <col min="21" max="22" width="14.85546875" bestFit="1" customWidth="1"/>
  </cols>
  <sheetData>
    <row r="1" spans="1:13" ht="15" customHeight="1" x14ac:dyDescent="0.25">
      <c r="A1" s="1" t="s">
        <v>0</v>
      </c>
      <c r="B1" s="1"/>
      <c r="D1" s="25" t="s">
        <v>3</v>
      </c>
      <c r="E1" s="25"/>
      <c r="F1" s="25"/>
      <c r="G1" s="25"/>
      <c r="H1" s="25"/>
      <c r="I1" s="25"/>
      <c r="J1" s="25"/>
      <c r="K1" s="25"/>
      <c r="L1" s="25"/>
      <c r="M1" s="25"/>
    </row>
    <row r="2" spans="1:13" ht="75" x14ac:dyDescent="0.25">
      <c r="A2" s="2" t="s">
        <v>1</v>
      </c>
      <c r="B2" s="2" t="s">
        <v>2</v>
      </c>
      <c r="D2" s="25"/>
      <c r="E2" s="25"/>
      <c r="F2" s="25"/>
      <c r="G2" s="25"/>
      <c r="H2" s="25"/>
      <c r="I2" s="25"/>
      <c r="J2" s="25"/>
      <c r="K2" s="25"/>
      <c r="L2" s="25"/>
      <c r="M2" s="25"/>
    </row>
    <row r="3" spans="1:13" ht="15" customHeight="1" x14ac:dyDescent="0.25">
      <c r="A3" s="3">
        <v>17.079753600000004</v>
      </c>
      <c r="B3" s="3">
        <v>10.7</v>
      </c>
      <c r="D3" s="25"/>
      <c r="E3" s="25"/>
      <c r="F3" s="25"/>
      <c r="G3" s="25"/>
      <c r="H3" s="25"/>
      <c r="I3" s="25"/>
      <c r="J3" s="25"/>
      <c r="K3" s="25"/>
      <c r="L3" s="25"/>
      <c r="M3" s="25"/>
    </row>
    <row r="4" spans="1:13" ht="15" customHeight="1" x14ac:dyDescent="0.25">
      <c r="A4" s="3">
        <v>29.62814400000001</v>
      </c>
      <c r="B4" s="3">
        <v>12.299999999999999</v>
      </c>
      <c r="D4" s="25"/>
      <c r="E4" s="25"/>
      <c r="F4" s="25"/>
      <c r="G4" s="25"/>
      <c r="H4" s="25"/>
      <c r="I4" s="25"/>
      <c r="J4" s="25"/>
      <c r="K4" s="25"/>
      <c r="L4" s="25"/>
      <c r="M4" s="25"/>
    </row>
    <row r="5" spans="1:13" ht="15" customHeight="1" x14ac:dyDescent="0.25">
      <c r="A5" s="3">
        <v>31.719542400000009</v>
      </c>
      <c r="B5" s="3">
        <v>11.6</v>
      </c>
      <c r="D5" s="25"/>
      <c r="E5" s="25"/>
      <c r="F5" s="25"/>
      <c r="G5" s="25"/>
      <c r="H5" s="25"/>
      <c r="I5" s="25"/>
      <c r="J5" s="25"/>
      <c r="K5" s="25"/>
      <c r="L5" s="25"/>
      <c r="M5" s="25"/>
    </row>
    <row r="6" spans="1:13" ht="15" customHeight="1" x14ac:dyDescent="0.25">
      <c r="A6" s="3">
        <v>19.171152000000003</v>
      </c>
      <c r="B6" s="3">
        <v>10.799999999999999</v>
      </c>
      <c r="D6" s="25"/>
      <c r="E6" s="25"/>
      <c r="F6" s="25"/>
      <c r="G6" s="25"/>
      <c r="H6" s="25"/>
      <c r="I6" s="25"/>
      <c r="J6" s="25"/>
      <c r="K6" s="25"/>
      <c r="L6" s="25"/>
      <c r="M6" s="25"/>
    </row>
    <row r="7" spans="1:13" ht="15" customHeight="1" x14ac:dyDescent="0.25">
      <c r="A7" s="3">
        <v>21.262550400000002</v>
      </c>
      <c r="B7" s="3">
        <v>10.7</v>
      </c>
      <c r="D7" s="25"/>
      <c r="E7" s="25"/>
      <c r="F7" s="25"/>
      <c r="G7" s="25"/>
      <c r="H7" s="25"/>
      <c r="I7" s="25"/>
      <c r="J7" s="25"/>
      <c r="K7" s="25"/>
      <c r="L7" s="25"/>
      <c r="M7" s="25"/>
    </row>
    <row r="8" spans="1:13" ht="15" customHeight="1" x14ac:dyDescent="0.25">
      <c r="A8" s="3">
        <v>17.776886400000006</v>
      </c>
      <c r="B8" s="3">
        <v>10.6</v>
      </c>
      <c r="D8" s="25"/>
      <c r="E8" s="25"/>
      <c r="F8" s="25"/>
      <c r="G8" s="25"/>
      <c r="H8" s="25"/>
      <c r="I8" s="25"/>
      <c r="J8" s="25"/>
      <c r="K8" s="25"/>
      <c r="L8" s="25"/>
      <c r="M8" s="25"/>
    </row>
    <row r="9" spans="1:13" x14ac:dyDescent="0.25">
      <c r="A9" s="3">
        <v>14.6397888</v>
      </c>
      <c r="B9" s="3">
        <v>10.9</v>
      </c>
    </row>
    <row r="10" spans="1:13" x14ac:dyDescent="0.25">
      <c r="A10" s="3">
        <v>13.245523200000001</v>
      </c>
      <c r="B10" s="3">
        <v>9.8000000000000007</v>
      </c>
    </row>
    <row r="11" spans="1:13" x14ac:dyDescent="0.25">
      <c r="A11" s="3">
        <v>38.690870400000016</v>
      </c>
      <c r="B11" s="3">
        <v>13.1</v>
      </c>
    </row>
    <row r="12" spans="1:13" x14ac:dyDescent="0.25">
      <c r="A12" s="3">
        <v>24.051081600000003</v>
      </c>
      <c r="B12" s="3">
        <v>11.6</v>
      </c>
    </row>
    <row r="13" spans="1:13" x14ac:dyDescent="0.25">
      <c r="A13" s="3">
        <v>26.142480000000006</v>
      </c>
      <c r="B13" s="3">
        <v>12</v>
      </c>
      <c r="D13" s="5"/>
      <c r="E13" s="5" t="s">
        <v>11</v>
      </c>
      <c r="F13" s="5" t="s">
        <v>38</v>
      </c>
      <c r="G13" s="5" t="s">
        <v>10</v>
      </c>
      <c r="H13" s="11" t="s">
        <v>8</v>
      </c>
      <c r="I13" s="11" t="s">
        <v>9</v>
      </c>
    </row>
    <row r="14" spans="1:13" x14ac:dyDescent="0.25">
      <c r="A14" s="3">
        <v>19.171152000000003</v>
      </c>
      <c r="B14" s="3">
        <v>10.5</v>
      </c>
      <c r="D14" s="7">
        <f>(1/E14)*($J$37*100)</f>
        <v>2.936420094687795</v>
      </c>
      <c r="E14" s="5">
        <f>COUNT($A$21:$A$36)</f>
        <v>16</v>
      </c>
      <c r="F14" s="5">
        <v>1</v>
      </c>
      <c r="G14" s="5">
        <f>E14-F14-1</f>
        <v>14</v>
      </c>
      <c r="H14" s="7">
        <f>(E38-(B38*C38))/(D38-B38^2)</f>
        <v>0.1205081913031617</v>
      </c>
      <c r="I14" s="7">
        <f>C38-(H14*B38)</f>
        <v>8.5230389341908577</v>
      </c>
    </row>
    <row r="15" spans="1:13" x14ac:dyDescent="0.25">
      <c r="A15" s="3">
        <v>20.216851200000001</v>
      </c>
      <c r="B15" s="3">
        <v>10.3</v>
      </c>
    </row>
    <row r="16" spans="1:13" x14ac:dyDescent="0.25">
      <c r="A16" s="3">
        <v>17.079753600000004</v>
      </c>
      <c r="B16" s="3">
        <v>11</v>
      </c>
      <c r="D16" s="12" t="s">
        <v>41</v>
      </c>
      <c r="E16" s="13"/>
      <c r="F16" s="12"/>
    </row>
    <row r="17" spans="1:18" x14ac:dyDescent="0.25">
      <c r="A17" s="3">
        <v>20.913984000000006</v>
      </c>
      <c r="B17" s="3">
        <v>11.299999999999999</v>
      </c>
      <c r="D17" s="23" t="s">
        <v>42</v>
      </c>
      <c r="E17" s="23"/>
      <c r="F17" s="23"/>
    </row>
    <row r="18" spans="1:18" x14ac:dyDescent="0.25">
      <c r="A18" s="3">
        <v>36.250905600000003</v>
      </c>
      <c r="B18" s="3">
        <v>13.4</v>
      </c>
      <c r="D18" s="23" t="s">
        <v>43</v>
      </c>
      <c r="E18" s="23"/>
      <c r="F18" s="23"/>
    </row>
    <row r="19" spans="1:18" ht="11.25" customHeight="1" x14ac:dyDescent="0.25"/>
    <row r="20" spans="1:18" ht="31.5" customHeight="1" x14ac:dyDescent="0.25">
      <c r="A20" s="10" t="s">
        <v>4</v>
      </c>
      <c r="B20" s="10"/>
      <c r="C20" s="10"/>
      <c r="D20" s="10"/>
      <c r="E20" s="10"/>
      <c r="F20" s="10"/>
      <c r="G20" s="10" t="s">
        <v>5</v>
      </c>
      <c r="H20" s="10"/>
      <c r="I20" s="10"/>
      <c r="J20" s="10"/>
    </row>
    <row r="21" spans="1:18" x14ac:dyDescent="0.25">
      <c r="A21" s="5">
        <v>1</v>
      </c>
      <c r="B21" s="6">
        <f>A3</f>
        <v>17.079753600000004</v>
      </c>
      <c r="C21" s="6">
        <f>B3</f>
        <v>10.7</v>
      </c>
      <c r="D21" s="6">
        <f>B21^2</f>
        <v>291.71798303671306</v>
      </c>
      <c r="E21" s="6">
        <f>B21*C21</f>
        <v>182.75336352000002</v>
      </c>
      <c r="F21" s="6">
        <f>C21^2</f>
        <v>114.48999999999998</v>
      </c>
      <c r="G21" s="7">
        <f t="shared" ref="G21:G36" si="0">$N$36+$N$37*B21</f>
        <v>10.581289148430528</v>
      </c>
      <c r="H21" s="7">
        <f>(C21-C$38)^2</f>
        <v>0.34515625000000044</v>
      </c>
      <c r="I21" s="7">
        <f>(C21-G21)^2</f>
        <v>1.4092266280348983E-2</v>
      </c>
      <c r="J21" s="7">
        <f>ABS(C21-G21)/C21</f>
        <v>1.1094472109296359E-2</v>
      </c>
      <c r="M21" s="4" t="s">
        <v>12</v>
      </c>
      <c r="N21" s="4"/>
    </row>
    <row r="22" spans="1:18" x14ac:dyDescent="0.25">
      <c r="A22" s="5">
        <v>2</v>
      </c>
      <c r="B22" s="6">
        <f t="shared" ref="B22:C22" si="1">A4</f>
        <v>29.62814400000001</v>
      </c>
      <c r="C22" s="6">
        <f t="shared" si="1"/>
        <v>12.299999999999999</v>
      </c>
      <c r="D22" s="6">
        <f t="shared" ref="D22:D36" si="2">B22^2</f>
        <v>877.82691688473653</v>
      </c>
      <c r="E22" s="6">
        <f t="shared" ref="E22:E36" si="3">B22*C22</f>
        <v>364.42617120000011</v>
      </c>
      <c r="F22" s="6">
        <f t="shared" ref="F22:F36" si="4">C22^2</f>
        <v>151.28999999999996</v>
      </c>
      <c r="G22" s="7">
        <f t="shared" si="0"/>
        <v>12.093472979300474</v>
      </c>
      <c r="H22" s="7">
        <f>(C22-C$38)^2</f>
        <v>1.0251562499999987</v>
      </c>
      <c r="I22" s="7">
        <f t="shared" ref="I22:I36" si="5">(C22-G22)^2</f>
        <v>4.2653410279022072E-2</v>
      </c>
      <c r="J22" s="7">
        <f t="shared" ref="J22:J36" si="6">ABS(C22-G22)/C22</f>
        <v>1.6790814691018303E-2</v>
      </c>
      <c r="M22" s="18" t="s">
        <v>13</v>
      </c>
      <c r="N22" s="18"/>
      <c r="O22" s="9"/>
      <c r="P22" s="9"/>
    </row>
    <row r="23" spans="1:18" x14ac:dyDescent="0.25">
      <c r="A23" s="5">
        <v>3</v>
      </c>
      <c r="B23" s="6">
        <f t="shared" ref="B23:C23" si="7">A5</f>
        <v>31.719542400000009</v>
      </c>
      <c r="C23" s="6">
        <f t="shared" si="7"/>
        <v>11.6</v>
      </c>
      <c r="D23" s="6">
        <f t="shared" si="2"/>
        <v>1006.1293700653983</v>
      </c>
      <c r="E23" s="6">
        <f t="shared" si="3"/>
        <v>367.94669184000008</v>
      </c>
      <c r="F23" s="6">
        <f t="shared" si="4"/>
        <v>134.56</v>
      </c>
      <c r="G23" s="7">
        <f t="shared" si="0"/>
        <v>12.345503617778798</v>
      </c>
      <c r="H23" s="7">
        <f t="shared" ref="H23:H36" si="8">(C23-C$38)^2</f>
        <v>9.765625E-2</v>
      </c>
      <c r="I23" s="7">
        <f t="shared" si="5"/>
        <v>0.55577564412127634</v>
      </c>
      <c r="J23" s="7">
        <f t="shared" si="6"/>
        <v>6.4267553256792939E-2</v>
      </c>
      <c r="M23" s="17" t="s">
        <v>14</v>
      </c>
      <c r="N23" s="19">
        <v>0.91474495523624544</v>
      </c>
    </row>
    <row r="24" spans="1:18" x14ac:dyDescent="0.25">
      <c r="A24" s="5">
        <v>4</v>
      </c>
      <c r="B24" s="6">
        <f t="shared" ref="B24:C24" si="9">A6</f>
        <v>19.171152000000003</v>
      </c>
      <c r="C24" s="6">
        <f t="shared" si="9"/>
        <v>10.799999999999999</v>
      </c>
      <c r="D24" s="6">
        <f t="shared" si="2"/>
        <v>367.53306900710413</v>
      </c>
      <c r="E24" s="6">
        <f t="shared" si="3"/>
        <v>207.04844160000002</v>
      </c>
      <c r="F24" s="6">
        <f t="shared" si="4"/>
        <v>116.63999999999997</v>
      </c>
      <c r="G24" s="7">
        <f t="shared" si="0"/>
        <v>10.833319786908852</v>
      </c>
      <c r="H24" s="7">
        <f t="shared" si="8"/>
        <v>0.23765625000000068</v>
      </c>
      <c r="I24" s="7">
        <f t="shared" si="5"/>
        <v>1.110208199651391E-3</v>
      </c>
      <c r="J24" s="7">
        <f t="shared" si="6"/>
        <v>3.0851654545234531E-3</v>
      </c>
      <c r="M24" s="17" t="s">
        <v>15</v>
      </c>
      <c r="N24" s="19">
        <v>0.83675833313016068</v>
      </c>
    </row>
    <row r="25" spans="1:18" x14ac:dyDescent="0.25">
      <c r="A25" s="5">
        <v>5</v>
      </c>
      <c r="B25" s="6">
        <f t="shared" ref="B25:C25" si="10">A7</f>
        <v>21.262550400000002</v>
      </c>
      <c r="C25" s="6">
        <f t="shared" si="10"/>
        <v>10.7</v>
      </c>
      <c r="D25" s="6">
        <f t="shared" si="2"/>
        <v>452.09604951254028</v>
      </c>
      <c r="E25" s="6">
        <f t="shared" si="3"/>
        <v>227.50928928000002</v>
      </c>
      <c r="F25" s="6">
        <f t="shared" si="4"/>
        <v>114.48999999999998</v>
      </c>
      <c r="G25" s="7">
        <f t="shared" si="0"/>
        <v>11.085350425387176</v>
      </c>
      <c r="H25" s="7">
        <f t="shared" si="8"/>
        <v>0.34515625000000044</v>
      </c>
      <c r="I25" s="7">
        <f t="shared" si="5"/>
        <v>0.14849495034607818</v>
      </c>
      <c r="J25" s="7">
        <f t="shared" si="6"/>
        <v>3.6014058447399709E-2</v>
      </c>
      <c r="M25" s="17" t="s">
        <v>16</v>
      </c>
      <c r="N25" s="19">
        <v>0.8250982140680293</v>
      </c>
    </row>
    <row r="26" spans="1:18" x14ac:dyDescent="0.25">
      <c r="A26" s="5">
        <v>6</v>
      </c>
      <c r="B26" s="6">
        <f t="shared" ref="B26:C26" si="11">A8</f>
        <v>17.776886400000006</v>
      </c>
      <c r="C26" s="6">
        <f t="shared" si="11"/>
        <v>10.6</v>
      </c>
      <c r="D26" s="6">
        <f t="shared" si="2"/>
        <v>316.01769007850515</v>
      </c>
      <c r="E26" s="6">
        <f t="shared" si="3"/>
        <v>188.43499584000006</v>
      </c>
      <c r="F26" s="6">
        <f t="shared" si="4"/>
        <v>112.36</v>
      </c>
      <c r="G26" s="7">
        <f t="shared" si="0"/>
        <v>10.665299361256636</v>
      </c>
      <c r="H26" s="7">
        <f t="shared" si="8"/>
        <v>0.47265625</v>
      </c>
      <c r="I26" s="7">
        <f t="shared" si="5"/>
        <v>4.2640065805247332E-3</v>
      </c>
      <c r="J26" s="7">
        <f t="shared" si="6"/>
        <v>6.1603170996826981E-3</v>
      </c>
      <c r="M26" s="17" t="s">
        <v>17</v>
      </c>
      <c r="N26" s="19">
        <v>0.41706093812456807</v>
      </c>
    </row>
    <row r="27" spans="1:18" x14ac:dyDescent="0.25">
      <c r="A27" s="5">
        <v>7</v>
      </c>
      <c r="B27" s="6">
        <f t="shared" ref="B27:C27" si="12">A9</f>
        <v>14.6397888</v>
      </c>
      <c r="C27" s="6">
        <f t="shared" si="12"/>
        <v>10.9</v>
      </c>
      <c r="D27" s="6">
        <f t="shared" si="2"/>
        <v>214.32341610860544</v>
      </c>
      <c r="E27" s="6">
        <f t="shared" si="3"/>
        <v>159.57369792</v>
      </c>
      <c r="F27" s="6">
        <f t="shared" si="4"/>
        <v>118.81</v>
      </c>
      <c r="G27" s="7">
        <f t="shared" si="0"/>
        <v>10.28725340353915</v>
      </c>
      <c r="H27" s="7">
        <f t="shared" si="8"/>
        <v>0.15015624999999944</v>
      </c>
      <c r="I27" s="7">
        <f t="shared" si="5"/>
        <v>0.37545839147435583</v>
      </c>
      <c r="J27" s="7">
        <f t="shared" si="6"/>
        <v>5.6215284078977065E-2</v>
      </c>
      <c r="M27" s="17" t="s">
        <v>18</v>
      </c>
      <c r="N27" s="17">
        <v>16</v>
      </c>
    </row>
    <row r="28" spans="1:18" x14ac:dyDescent="0.25">
      <c r="A28" s="5">
        <v>8</v>
      </c>
      <c r="B28" s="6">
        <f t="shared" ref="B28:C28" si="13">A10</f>
        <v>13.245523200000001</v>
      </c>
      <c r="C28" s="6">
        <f t="shared" si="13"/>
        <v>9.8000000000000007</v>
      </c>
      <c r="D28" s="6">
        <f t="shared" si="2"/>
        <v>175.44388484173825</v>
      </c>
      <c r="E28" s="6">
        <f t="shared" si="3"/>
        <v>129.80612736</v>
      </c>
      <c r="F28" s="6">
        <f t="shared" si="4"/>
        <v>96.04000000000002</v>
      </c>
      <c r="G28" s="7">
        <f t="shared" si="0"/>
        <v>10.119232977886934</v>
      </c>
      <c r="H28" s="7">
        <f t="shared" si="8"/>
        <v>2.2126562499999967</v>
      </c>
      <c r="I28" s="7">
        <f t="shared" si="5"/>
        <v>0.10190969417055945</v>
      </c>
      <c r="J28" s="7">
        <f t="shared" si="6"/>
        <v>3.2574793661932E-2</v>
      </c>
    </row>
    <row r="29" spans="1:18" x14ac:dyDescent="0.25">
      <c r="A29" s="5">
        <v>9</v>
      </c>
      <c r="B29" s="6">
        <f t="shared" ref="B29:C29" si="14">A11</f>
        <v>38.690870400000016</v>
      </c>
      <c r="C29" s="6">
        <f t="shared" si="14"/>
        <v>13.1</v>
      </c>
      <c r="D29" s="6">
        <f t="shared" si="2"/>
        <v>1496.9834523095974</v>
      </c>
      <c r="E29" s="6">
        <f t="shared" si="3"/>
        <v>506.85040224000016</v>
      </c>
      <c r="F29" s="6">
        <f t="shared" si="4"/>
        <v>171.60999999999999</v>
      </c>
      <c r="G29" s="7">
        <f t="shared" si="0"/>
        <v>13.185605746039879</v>
      </c>
      <c r="H29" s="7">
        <f t="shared" si="8"/>
        <v>3.28515625</v>
      </c>
      <c r="I29" s="7">
        <f t="shared" si="5"/>
        <v>7.328343755044397E-3</v>
      </c>
      <c r="J29" s="7">
        <f t="shared" si="6"/>
        <v>6.5347897740366265E-3</v>
      </c>
      <c r="M29" s="4" t="s">
        <v>19</v>
      </c>
    </row>
    <row r="30" spans="1:18" x14ac:dyDescent="0.25">
      <c r="A30" s="5">
        <v>10</v>
      </c>
      <c r="B30" s="6">
        <f t="shared" ref="B30:C30" si="15">A12</f>
        <v>24.051081600000003</v>
      </c>
      <c r="C30" s="6">
        <f t="shared" si="15"/>
        <v>11.6</v>
      </c>
      <c r="D30" s="6">
        <f t="shared" si="2"/>
        <v>578.45452612985878</v>
      </c>
      <c r="E30" s="6">
        <f t="shared" si="3"/>
        <v>278.99254656000005</v>
      </c>
      <c r="F30" s="6">
        <f t="shared" si="4"/>
        <v>134.56</v>
      </c>
      <c r="G30" s="7">
        <f t="shared" si="0"/>
        <v>11.421391276691608</v>
      </c>
      <c r="H30" s="7">
        <f t="shared" si="8"/>
        <v>9.765625E-2</v>
      </c>
      <c r="I30" s="7">
        <f t="shared" si="5"/>
        <v>3.1901076041853556E-2</v>
      </c>
      <c r="J30" s="7">
        <f t="shared" si="6"/>
        <v>1.5397303733482026E-2</v>
      </c>
      <c r="M30" s="16"/>
      <c r="N30" s="16" t="s">
        <v>24</v>
      </c>
      <c r="O30" s="16" t="s">
        <v>25</v>
      </c>
      <c r="P30" s="16" t="s">
        <v>26</v>
      </c>
      <c r="Q30" s="16" t="s">
        <v>27</v>
      </c>
      <c r="R30" s="16" t="s">
        <v>28</v>
      </c>
    </row>
    <row r="31" spans="1:18" x14ac:dyDescent="0.25">
      <c r="A31" s="5">
        <v>11</v>
      </c>
      <c r="B31" s="6">
        <f t="shared" ref="B31:C31" si="16">A13</f>
        <v>26.142480000000006</v>
      </c>
      <c r="C31" s="6">
        <f t="shared" si="16"/>
        <v>12</v>
      </c>
      <c r="D31" s="6">
        <f t="shared" si="2"/>
        <v>683.42926055040027</v>
      </c>
      <c r="E31" s="6">
        <f t="shared" si="3"/>
        <v>313.70976000000007</v>
      </c>
      <c r="F31" s="6">
        <f t="shared" si="4"/>
        <v>144</v>
      </c>
      <c r="G31" s="7">
        <f t="shared" si="0"/>
        <v>11.673421915169932</v>
      </c>
      <c r="H31" s="7">
        <f t="shared" si="8"/>
        <v>0.50765625000000048</v>
      </c>
      <c r="I31" s="7">
        <f t="shared" si="5"/>
        <v>0.10665324549127503</v>
      </c>
      <c r="J31" s="7">
        <f t="shared" si="6"/>
        <v>2.7214840402505658E-2</v>
      </c>
      <c r="M31" s="17" t="s">
        <v>20</v>
      </c>
      <c r="N31" s="17">
        <v>1</v>
      </c>
      <c r="O31" s="17">
        <v>12.482342434469169</v>
      </c>
      <c r="P31" s="17">
        <v>12.482342434469169</v>
      </c>
      <c r="Q31" s="17">
        <v>71.762417576652751</v>
      </c>
      <c r="R31" s="17">
        <v>6.9900908053470438E-7</v>
      </c>
    </row>
    <row r="32" spans="1:18" x14ac:dyDescent="0.25">
      <c r="A32" s="5">
        <v>12</v>
      </c>
      <c r="B32" s="6">
        <f t="shared" ref="B32:C32" si="17">A14</f>
        <v>19.171152000000003</v>
      </c>
      <c r="C32" s="6">
        <f t="shared" si="17"/>
        <v>10.5</v>
      </c>
      <c r="D32" s="6">
        <f t="shared" si="2"/>
        <v>367.53306900710413</v>
      </c>
      <c r="E32" s="6">
        <f t="shared" si="3"/>
        <v>201.29709600000004</v>
      </c>
      <c r="F32" s="6">
        <f t="shared" si="4"/>
        <v>110.25</v>
      </c>
      <c r="G32" s="7">
        <f t="shared" si="0"/>
        <v>10.833319786908852</v>
      </c>
      <c r="H32" s="7">
        <f t="shared" si="8"/>
        <v>0.62015624999999941</v>
      </c>
      <c r="I32" s="7">
        <f t="shared" si="5"/>
        <v>0.11110208034496265</v>
      </c>
      <c r="J32" s="7">
        <f t="shared" si="6"/>
        <v>3.1744741610366875E-2</v>
      </c>
      <c r="M32" s="17" t="s">
        <v>21</v>
      </c>
      <c r="N32" s="17">
        <v>14</v>
      </c>
      <c r="O32" s="17">
        <v>2.4351575655308273</v>
      </c>
      <c r="P32" s="17">
        <v>0.1739398261093448</v>
      </c>
      <c r="Q32" s="17"/>
      <c r="R32" s="17"/>
    </row>
    <row r="33" spans="1:21" x14ac:dyDescent="0.25">
      <c r="A33" s="5">
        <v>13</v>
      </c>
      <c r="B33" s="6">
        <f t="shared" ref="B33:C33" si="18">A15</f>
        <v>20.216851200000001</v>
      </c>
      <c r="C33" s="6">
        <f t="shared" si="18"/>
        <v>10.3</v>
      </c>
      <c r="D33" s="6">
        <f t="shared" si="2"/>
        <v>408.72107244294148</v>
      </c>
      <c r="E33" s="6">
        <f t="shared" si="3"/>
        <v>208.23356736000002</v>
      </c>
      <c r="F33" s="6">
        <f t="shared" si="4"/>
        <v>106.09000000000002</v>
      </c>
      <c r="G33" s="7">
        <f t="shared" si="0"/>
        <v>10.959335106148014</v>
      </c>
      <c r="H33" s="7">
        <f t="shared" si="8"/>
        <v>0.97515624999999795</v>
      </c>
      <c r="I33" s="7">
        <f t="shared" si="5"/>
        <v>0.43472278219921223</v>
      </c>
      <c r="J33" s="7">
        <f t="shared" si="6"/>
        <v>6.4013117101748881E-2</v>
      </c>
      <c r="M33" s="17" t="s">
        <v>22</v>
      </c>
      <c r="N33" s="17">
        <v>15</v>
      </c>
      <c r="O33" s="17">
        <v>14.917499999999997</v>
      </c>
      <c r="P33" s="17"/>
      <c r="Q33" s="17"/>
      <c r="R33" s="17"/>
    </row>
    <row r="34" spans="1:21" x14ac:dyDescent="0.25">
      <c r="A34" s="5">
        <v>14</v>
      </c>
      <c r="B34" s="6">
        <f t="shared" ref="B34:C34" si="19">A16</f>
        <v>17.079753600000004</v>
      </c>
      <c r="C34" s="6">
        <f t="shared" si="19"/>
        <v>11</v>
      </c>
      <c r="D34" s="6">
        <f t="shared" si="2"/>
        <v>291.71798303671306</v>
      </c>
      <c r="E34" s="6">
        <f t="shared" si="3"/>
        <v>187.87728960000004</v>
      </c>
      <c r="F34" s="6">
        <f t="shared" si="4"/>
        <v>121</v>
      </c>
      <c r="G34" s="7">
        <f t="shared" si="0"/>
        <v>10.581289148430528</v>
      </c>
      <c r="H34" s="7">
        <f t="shared" si="8"/>
        <v>8.2656249999999792E-2</v>
      </c>
      <c r="I34" s="7">
        <f t="shared" si="5"/>
        <v>0.17531877722203221</v>
      </c>
      <c r="J34" s="7">
        <f t="shared" si="6"/>
        <v>3.8064622869951978E-2</v>
      </c>
    </row>
    <row r="35" spans="1:21" x14ac:dyDescent="0.25">
      <c r="A35" s="5">
        <v>15</v>
      </c>
      <c r="B35" s="6">
        <f t="shared" ref="B35:C35" si="20">A17</f>
        <v>20.913984000000006</v>
      </c>
      <c r="C35" s="6">
        <f t="shared" si="20"/>
        <v>11.299999999999999</v>
      </c>
      <c r="D35" s="6">
        <f t="shared" si="2"/>
        <v>437.39472675225625</v>
      </c>
      <c r="E35" s="6">
        <f t="shared" si="3"/>
        <v>236.32801920000006</v>
      </c>
      <c r="F35" s="6">
        <f t="shared" si="4"/>
        <v>127.68999999999997</v>
      </c>
      <c r="G35" s="7">
        <f t="shared" si="0"/>
        <v>11.043345318974122</v>
      </c>
      <c r="H35" s="8">
        <f t="shared" si="8"/>
        <v>1.5624999999998225E-4</v>
      </c>
      <c r="I35" s="7">
        <f t="shared" si="5"/>
        <v>6.5871625292494532E-2</v>
      </c>
      <c r="J35" s="7">
        <f t="shared" si="6"/>
        <v>2.2712803630608562E-2</v>
      </c>
      <c r="M35" s="16"/>
      <c r="N35" s="16" t="s">
        <v>29</v>
      </c>
      <c r="O35" s="16" t="s">
        <v>17</v>
      </c>
      <c r="P35" s="16" t="s">
        <v>30</v>
      </c>
      <c r="Q35" s="16" t="s">
        <v>31</v>
      </c>
      <c r="R35" s="16" t="s">
        <v>32</v>
      </c>
      <c r="S35" s="16" t="s">
        <v>33</v>
      </c>
      <c r="T35" s="16" t="s">
        <v>34</v>
      </c>
      <c r="U35" s="16" t="s">
        <v>35</v>
      </c>
    </row>
    <row r="36" spans="1:21" x14ac:dyDescent="0.25">
      <c r="A36" s="5">
        <v>16</v>
      </c>
      <c r="B36" s="6">
        <f t="shared" ref="B36:C36" si="21">A18</f>
        <v>36.250905600000003</v>
      </c>
      <c r="C36" s="6">
        <f t="shared" si="21"/>
        <v>13.4</v>
      </c>
      <c r="D36" s="6">
        <f t="shared" si="2"/>
        <v>1314.1281568201116</v>
      </c>
      <c r="E36" s="6">
        <f t="shared" si="3"/>
        <v>485.76213504000003</v>
      </c>
      <c r="F36" s="6">
        <f t="shared" si="4"/>
        <v>179.56</v>
      </c>
      <c r="G36" s="7">
        <f t="shared" si="0"/>
        <v>12.8915700011485</v>
      </c>
      <c r="H36" s="7">
        <f t="shared" si="8"/>
        <v>4.4626562500000029</v>
      </c>
      <c r="I36" s="7">
        <f t="shared" si="5"/>
        <v>0.25850106373213694</v>
      </c>
      <c r="J36" s="7">
        <f t="shared" si="6"/>
        <v>3.7942537227723928E-2</v>
      </c>
      <c r="M36" s="17" t="s">
        <v>23</v>
      </c>
      <c r="N36" s="17">
        <v>8.5230389341908808</v>
      </c>
      <c r="O36" s="17">
        <v>0.34258565903514943</v>
      </c>
      <c r="P36" s="17">
        <v>24.878563096292403</v>
      </c>
      <c r="Q36" s="17">
        <v>5.4791947234611758E-13</v>
      </c>
      <c r="R36" s="17">
        <v>7.7882657732207443</v>
      </c>
      <c r="S36" s="17">
        <v>9.2578120951610163</v>
      </c>
      <c r="T36" s="17">
        <v>7.7882657732207443</v>
      </c>
      <c r="U36" s="17">
        <v>9.2578120951610163</v>
      </c>
    </row>
    <row r="37" spans="1:21" x14ac:dyDescent="0.25">
      <c r="A37" s="5" t="s">
        <v>6</v>
      </c>
      <c r="B37" s="15">
        <f>SUM(B21:B36)</f>
        <v>367.04041920000009</v>
      </c>
      <c r="C37" s="6">
        <f t="shared" ref="C37:F37" si="22">SUM(C21:C36)</f>
        <v>180.6</v>
      </c>
      <c r="D37" s="6">
        <f>SUM(D21:D36)</f>
        <v>9279.4506265843247</v>
      </c>
      <c r="E37" s="6">
        <f t="shared" si="22"/>
        <v>4246.5495945600014</v>
      </c>
      <c r="F37" s="6">
        <f t="shared" si="22"/>
        <v>2053.4399999999996</v>
      </c>
      <c r="G37" s="6">
        <f t="shared" ref="G37" si="23">SUM(G21:G36)</f>
        <v>180.6</v>
      </c>
      <c r="H37" s="6">
        <f>SUM(H21:H36)</f>
        <v>14.917499999999997</v>
      </c>
      <c r="I37" s="6">
        <f>SUM(I21:I36)</f>
        <v>2.4351575655308286</v>
      </c>
      <c r="J37" s="6">
        <f>SUM(J21:J36)</f>
        <v>0.46982721515004716</v>
      </c>
      <c r="M37" s="17" t="s">
        <v>36</v>
      </c>
      <c r="N37" s="17">
        <v>0.12050819130316066</v>
      </c>
      <c r="O37" s="17">
        <v>1.4225516302325674E-2</v>
      </c>
      <c r="P37" s="17">
        <v>8.4712701277112341</v>
      </c>
      <c r="Q37" s="17">
        <v>6.9900908053470692E-7</v>
      </c>
      <c r="R37" s="17">
        <v>8.999749330917485E-2</v>
      </c>
      <c r="S37" s="17">
        <v>0.15101888929714646</v>
      </c>
      <c r="T37" s="17">
        <v>8.999749330917485E-2</v>
      </c>
      <c r="U37" s="17">
        <v>0.15101888929714646</v>
      </c>
    </row>
    <row r="38" spans="1:21" x14ac:dyDescent="0.25">
      <c r="A38" s="5" t="s">
        <v>7</v>
      </c>
      <c r="B38" s="6">
        <f>AVERAGE(B21:B36)</f>
        <v>22.940026200000005</v>
      </c>
      <c r="C38" s="6">
        <f t="shared" ref="C38:F38" si="24">AVERAGE(C21:C36)</f>
        <v>11.2875</v>
      </c>
      <c r="D38" s="6">
        <f t="shared" si="24"/>
        <v>579.96566416152029</v>
      </c>
      <c r="E38" s="6">
        <f t="shared" si="24"/>
        <v>265.40934966000009</v>
      </c>
      <c r="F38" s="6">
        <f t="shared" si="24"/>
        <v>128.33999999999997</v>
      </c>
      <c r="G38" s="6">
        <f t="shared" ref="G38" si="25">AVERAGE(G21:G36)</f>
        <v>11.2875</v>
      </c>
      <c r="H38" s="6">
        <f>AVERAGE(H21:H36)</f>
        <v>0.9323437499999998</v>
      </c>
      <c r="I38" s="6">
        <f t="shared" ref="I38:J38" si="26">AVERAGE(I21:I36)</f>
        <v>0.15219734784567679</v>
      </c>
      <c r="J38" s="6">
        <f t="shared" si="26"/>
        <v>2.9364200946877948E-2</v>
      </c>
    </row>
    <row r="40" spans="1:21" x14ac:dyDescent="0.25">
      <c r="A40" s="22" t="s">
        <v>37</v>
      </c>
      <c r="B40" s="22"/>
      <c r="C40" s="22"/>
      <c r="D40" s="22"/>
      <c r="E40" s="22"/>
      <c r="F40" s="22"/>
      <c r="G40" s="22"/>
      <c r="H40" s="22"/>
      <c r="I40" s="22"/>
      <c r="J40" s="22"/>
    </row>
    <row r="41" spans="1:21" x14ac:dyDescent="0.25">
      <c r="A41" s="22"/>
      <c r="B41" s="22"/>
      <c r="C41" s="22"/>
      <c r="D41" s="22"/>
      <c r="E41" s="22"/>
      <c r="F41" s="22"/>
      <c r="G41" s="22"/>
      <c r="H41" s="22"/>
      <c r="I41" s="22"/>
      <c r="J41" s="22"/>
    </row>
    <row r="43" spans="1:21" x14ac:dyDescent="0.25">
      <c r="A43" s="21" t="s">
        <v>39</v>
      </c>
      <c r="B43" s="21"/>
      <c r="C43" s="21" t="s">
        <v>40</v>
      </c>
      <c r="D43" s="21"/>
      <c r="E43" s="21"/>
    </row>
    <row r="45" spans="1:21" x14ac:dyDescent="0.25">
      <c r="A45" s="4" t="s">
        <v>44</v>
      </c>
      <c r="B45" s="4"/>
      <c r="D45" s="4" t="s">
        <v>47</v>
      </c>
      <c r="E45" s="4"/>
      <c r="G45" s="4" t="s">
        <v>49</v>
      </c>
      <c r="H45" s="4"/>
      <c r="J45" s="4" t="s">
        <v>48</v>
      </c>
      <c r="K45" s="4"/>
    </row>
    <row r="46" spans="1:21" x14ac:dyDescent="0.25">
      <c r="A46" s="5" t="s">
        <v>45</v>
      </c>
      <c r="B46" s="7">
        <f>SQRT((D37/E14)-B38^2)</f>
        <v>7.3294516919639765</v>
      </c>
      <c r="D46" s="7">
        <f>H14*(B46/B47)</f>
        <v>0.91474495523625954</v>
      </c>
      <c r="E46" s="7">
        <f>D46*100</f>
        <v>91.474495523625947</v>
      </c>
      <c r="G46" s="14">
        <f>J38</f>
        <v>2.9364200946877948E-2</v>
      </c>
      <c r="H46" s="7">
        <f>G46*100</f>
        <v>2.936420094687795</v>
      </c>
      <c r="J46" s="7">
        <f>1-(I37/H37)</f>
        <v>0.83675833313016057</v>
      </c>
      <c r="K46" s="7">
        <f>J46*100</f>
        <v>83.675833313016057</v>
      </c>
    </row>
    <row r="47" spans="1:21" x14ac:dyDescent="0.25">
      <c r="A47" s="5" t="s">
        <v>46</v>
      </c>
      <c r="B47" s="7">
        <f>SQRT((F37/E14)-C38^2)</f>
        <v>0.96557948921877323</v>
      </c>
    </row>
    <row r="49" spans="1:12" x14ac:dyDescent="0.25">
      <c r="A49" s="4" t="s">
        <v>50</v>
      </c>
      <c r="B49" s="4"/>
    </row>
    <row r="50" spans="1:12" x14ac:dyDescent="0.25">
      <c r="A50" s="24">
        <f>(J46/(1-J46) * (E14-2))</f>
        <v>71.762417576652695</v>
      </c>
      <c r="B50" s="24"/>
    </row>
    <row r="52" spans="1:12" x14ac:dyDescent="0.25">
      <c r="A52" s="4" t="s">
        <v>51</v>
      </c>
      <c r="B52" s="4"/>
    </row>
    <row r="53" spans="1:12" x14ac:dyDescent="0.25">
      <c r="A53" s="24">
        <f>FINV(0.05,F14,G14)</f>
        <v>4.6001099366694227</v>
      </c>
      <c r="B53" s="24"/>
    </row>
    <row r="55" spans="1:12" x14ac:dyDescent="0.25">
      <c r="A55" s="4" t="s">
        <v>52</v>
      </c>
      <c r="B55" s="4"/>
    </row>
    <row r="56" spans="1:12" x14ac:dyDescent="0.25">
      <c r="A56" s="5" t="s">
        <v>45</v>
      </c>
      <c r="B56" s="7">
        <f>B38*1.1</f>
        <v>25.23402882000001</v>
      </c>
    </row>
    <row r="57" spans="1:12" x14ac:dyDescent="0.25">
      <c r="A57" s="5" t="s">
        <v>46</v>
      </c>
      <c r="B57" s="7">
        <f>I14+B56*H14</f>
        <v>11.563946106580914</v>
      </c>
    </row>
    <row r="58" spans="1:12" x14ac:dyDescent="0.25">
      <c r="A58" s="5" t="s">
        <v>55</v>
      </c>
      <c r="B58" s="7">
        <f>_xlfn.T.INV.2T(0.025,G14)</f>
        <v>2.5095694114933247</v>
      </c>
      <c r="D58" s="5" t="s">
        <v>11</v>
      </c>
      <c r="E58" s="5" t="s">
        <v>38</v>
      </c>
      <c r="F58" s="5" t="s">
        <v>10</v>
      </c>
      <c r="G58" s="11" t="s">
        <v>8</v>
      </c>
      <c r="H58" s="11" t="s">
        <v>9</v>
      </c>
      <c r="I58" s="15" t="s">
        <v>58</v>
      </c>
    </row>
    <row r="59" spans="1:12" x14ac:dyDescent="0.25">
      <c r="A59" s="5" t="s">
        <v>56</v>
      </c>
      <c r="B59" s="7">
        <f>B58*N26*SQRT(1+(1/E14)+((B38-B56)^2)/(E14*(D38-B38^2)))</f>
        <v>1.0819591742632559</v>
      </c>
      <c r="D59" s="5">
        <f>COUNT($A$21:$A$36)</f>
        <v>16</v>
      </c>
      <c r="E59" s="5">
        <v>1</v>
      </c>
      <c r="F59" s="5">
        <f>D59-E59-1</f>
        <v>14</v>
      </c>
      <c r="G59" s="7">
        <f>(G81-(D81*E81))/(F81-D81^2)</f>
        <v>0.24628909277771643</v>
      </c>
      <c r="H59" s="7">
        <f>E81-(G59*D81)</f>
        <v>1.6602510844286937</v>
      </c>
      <c r="I59" s="15">
        <f>EXP(H59)</f>
        <v>5.2606315413018683</v>
      </c>
    </row>
    <row r="60" spans="1:12" x14ac:dyDescent="0.25">
      <c r="A60" s="5" t="s">
        <v>53</v>
      </c>
      <c r="B60" s="7">
        <f>B57-B59</f>
        <v>10.481986932317659</v>
      </c>
    </row>
    <row r="61" spans="1:12" x14ac:dyDescent="0.25">
      <c r="A61" s="5" t="s">
        <v>54</v>
      </c>
      <c r="B61" s="7">
        <f>B57+B59</f>
        <v>12.64590528084417</v>
      </c>
    </row>
    <row r="63" spans="1:12" ht="37.5" customHeight="1" x14ac:dyDescent="0.25">
      <c r="A63" s="10" t="s">
        <v>4</v>
      </c>
      <c r="B63" s="10"/>
      <c r="C63" s="10"/>
      <c r="D63" s="10"/>
      <c r="E63" s="10"/>
      <c r="F63" s="10"/>
      <c r="G63" s="10"/>
      <c r="H63" s="10"/>
      <c r="I63" s="10" t="s">
        <v>5</v>
      </c>
      <c r="J63" s="10"/>
      <c r="K63" s="10"/>
      <c r="L63" s="10"/>
    </row>
    <row r="64" spans="1:12" x14ac:dyDescent="0.25">
      <c r="A64" s="5">
        <f>A21</f>
        <v>1</v>
      </c>
      <c r="B64" s="6">
        <f>B21</f>
        <v>17.079753600000004</v>
      </c>
      <c r="C64" s="6">
        <f>C21</f>
        <v>10.7</v>
      </c>
      <c r="D64" s="7">
        <f>LN(B64)</f>
        <v>2.8378937620268569</v>
      </c>
      <c r="E64" s="7">
        <f>LN(C64)</f>
        <v>2.3702437414678603</v>
      </c>
      <c r="F64" s="7">
        <f>D64^2</f>
        <v>8.053641004550947</v>
      </c>
      <c r="G64" s="7">
        <f>D64*E64</f>
        <v>6.7264999283948388</v>
      </c>
      <c r="H64" s="7">
        <f>E64^2</f>
        <v>5.6180553939675608</v>
      </c>
      <c r="I64" s="7">
        <f>EXP($H$59)*B64^$G$59</f>
        <v>10.582411859411229</v>
      </c>
      <c r="J64" s="6">
        <f>(C64-C$81)^2</f>
        <v>0.34515625000000044</v>
      </c>
      <c r="K64" s="7">
        <f>(C64-I64)^2</f>
        <v>1.3826970807124439E-2</v>
      </c>
      <c r="L64" s="7">
        <f>ABS(C64-I64)/C64</f>
        <v>1.0989545849417798E-2</v>
      </c>
    </row>
    <row r="65" spans="1:22" x14ac:dyDescent="0.25">
      <c r="A65" s="5">
        <f t="shared" ref="A65:C79" si="27">A22</f>
        <v>2</v>
      </c>
      <c r="B65" s="6">
        <f t="shared" si="27"/>
        <v>29.62814400000001</v>
      </c>
      <c r="C65" s="6">
        <f t="shared" si="27"/>
        <v>12.299999999999999</v>
      </c>
      <c r="D65" s="7">
        <f t="shared" ref="D65:D79" si="28">LN(B65)</f>
        <v>3.3887247204065467</v>
      </c>
      <c r="E65" s="7">
        <f t="shared" ref="E65:E79" si="29">LN(C65)</f>
        <v>2.5095992623783716</v>
      </c>
      <c r="F65" s="7">
        <f t="shared" ref="F65:F79" si="30">D65^2</f>
        <v>11.483455230694428</v>
      </c>
      <c r="G65" s="7">
        <f t="shared" ref="G65:G79" si="31">D65*E65</f>
        <v>8.5043410587356227</v>
      </c>
      <c r="H65" s="7">
        <f t="shared" ref="H65:H79" si="32">E65^2</f>
        <v>6.2980884577300671</v>
      </c>
      <c r="I65" s="7">
        <f t="shared" ref="I65:I79" si="33">EXP($H$59)*B65^$G$59</f>
        <v>12.120000495100488</v>
      </c>
      <c r="J65" s="6">
        <f t="shared" ref="J65:J79" si="34">(C65-C$81)^2</f>
        <v>1.0251562499999987</v>
      </c>
      <c r="K65" s="7">
        <f t="shared" ref="K65:K79" si="35">(C65-I65)^2</f>
        <v>3.2399821764069123E-2</v>
      </c>
      <c r="L65" s="7">
        <f t="shared" ref="L65:L79" si="36">ABS(C65-I65)/C65</f>
        <v>1.4634106089391148E-2</v>
      </c>
      <c r="N65" s="4" t="s">
        <v>12</v>
      </c>
      <c r="O65" s="4"/>
    </row>
    <row r="66" spans="1:22" x14ac:dyDescent="0.25">
      <c r="A66" s="5">
        <f t="shared" si="27"/>
        <v>3</v>
      </c>
      <c r="B66" s="6">
        <f t="shared" si="27"/>
        <v>31.719542400000009</v>
      </c>
      <c r="C66" s="6">
        <f t="shared" si="27"/>
        <v>11.6</v>
      </c>
      <c r="D66" s="7">
        <f t="shared" si="28"/>
        <v>3.4569329704330802</v>
      </c>
      <c r="E66" s="7">
        <f t="shared" si="29"/>
        <v>2.451005098112319</v>
      </c>
      <c r="F66" s="7">
        <f t="shared" si="30"/>
        <v>11.950385562067279</v>
      </c>
      <c r="G66" s="7">
        <f t="shared" si="31"/>
        <v>8.4729603343640427</v>
      </c>
      <c r="H66" s="7">
        <f t="shared" si="32"/>
        <v>6.0074259909725782</v>
      </c>
      <c r="I66" s="7">
        <f t="shared" si="33"/>
        <v>12.325323530335519</v>
      </c>
      <c r="J66" s="6">
        <f t="shared" si="34"/>
        <v>9.765625E-2</v>
      </c>
      <c r="K66" s="7">
        <f t="shared" si="35"/>
        <v>0.52609422365838054</v>
      </c>
      <c r="L66" s="7">
        <f t="shared" si="36"/>
        <v>6.2527890546165435E-2</v>
      </c>
      <c r="N66" s="20" t="s">
        <v>13</v>
      </c>
      <c r="O66" s="20"/>
    </row>
    <row r="67" spans="1:22" x14ac:dyDescent="0.25">
      <c r="A67" s="5">
        <f t="shared" si="27"/>
        <v>4</v>
      </c>
      <c r="B67" s="6">
        <f t="shared" si="27"/>
        <v>19.171152000000003</v>
      </c>
      <c r="C67" s="6">
        <f t="shared" si="27"/>
        <v>10.799999999999999</v>
      </c>
      <c r="D67" s="7">
        <f t="shared" si="28"/>
        <v>2.9534066491487012</v>
      </c>
      <c r="E67" s="7">
        <f t="shared" si="29"/>
        <v>2.379546134130174</v>
      </c>
      <c r="F67" s="7">
        <f t="shared" si="30"/>
        <v>8.7226108352357592</v>
      </c>
      <c r="G67" s="7">
        <f t="shared" si="31"/>
        <v>7.0277673744961433</v>
      </c>
      <c r="H67" s="7">
        <f t="shared" si="32"/>
        <v>5.662239804453856</v>
      </c>
      <c r="I67" s="7">
        <f t="shared" si="33"/>
        <v>10.887800351863037</v>
      </c>
      <c r="J67" s="6">
        <f t="shared" si="34"/>
        <v>0.23765625000000068</v>
      </c>
      <c r="K67" s="7">
        <f t="shared" si="35"/>
        <v>7.7089017872732663E-3</v>
      </c>
      <c r="L67" s="7">
        <f t="shared" si="36"/>
        <v>8.1296622095405491E-3</v>
      </c>
      <c r="N67" s="17" t="s">
        <v>14</v>
      </c>
      <c r="O67" s="17">
        <v>0.89691831075251915</v>
      </c>
    </row>
    <row r="68" spans="1:22" x14ac:dyDescent="0.25">
      <c r="A68" s="5">
        <f t="shared" si="27"/>
        <v>5</v>
      </c>
      <c r="B68" s="6">
        <f t="shared" si="27"/>
        <v>21.262550400000002</v>
      </c>
      <c r="C68" s="6">
        <f t="shared" si="27"/>
        <v>10.7</v>
      </c>
      <c r="D68" s="7">
        <f t="shared" si="28"/>
        <v>3.0569473280895414</v>
      </c>
      <c r="E68" s="7">
        <f t="shared" si="29"/>
        <v>2.3702437414678603</v>
      </c>
      <c r="F68" s="7">
        <f t="shared" si="30"/>
        <v>9.3449269667137855</v>
      </c>
      <c r="G68" s="7">
        <f t="shared" si="31"/>
        <v>7.2457102724011335</v>
      </c>
      <c r="H68" s="7">
        <f t="shared" si="32"/>
        <v>5.6180553939675608</v>
      </c>
      <c r="I68" s="7">
        <f t="shared" si="33"/>
        <v>11.169019936397332</v>
      </c>
      <c r="J68" s="6">
        <f t="shared" si="34"/>
        <v>0.34515625000000044</v>
      </c>
      <c r="K68" s="7">
        <f t="shared" si="35"/>
        <v>0.21997970073815776</v>
      </c>
      <c r="L68" s="7">
        <f t="shared" si="36"/>
        <v>4.3833638915638545E-2</v>
      </c>
      <c r="N68" s="17" t="s">
        <v>15</v>
      </c>
      <c r="O68" s="17">
        <v>0.80446245616315248</v>
      </c>
    </row>
    <row r="69" spans="1:22" x14ac:dyDescent="0.25">
      <c r="A69" s="5">
        <f t="shared" si="27"/>
        <v>6</v>
      </c>
      <c r="B69" s="6">
        <f t="shared" si="27"/>
        <v>17.776886400000006</v>
      </c>
      <c r="C69" s="6">
        <f t="shared" si="27"/>
        <v>10.6</v>
      </c>
      <c r="D69" s="7">
        <f t="shared" si="28"/>
        <v>2.8778990966405562</v>
      </c>
      <c r="E69" s="7">
        <f t="shared" si="29"/>
        <v>2.3608540011180215</v>
      </c>
      <c r="F69" s="7">
        <f t="shared" si="30"/>
        <v>8.28230321044453</v>
      </c>
      <c r="G69" s="7">
        <f t="shared" si="31"/>
        <v>6.7942995971177966</v>
      </c>
      <c r="H69" s="7">
        <f t="shared" si="32"/>
        <v>5.5736316145949711</v>
      </c>
      <c r="I69" s="7">
        <f t="shared" si="33"/>
        <v>10.687194425051796</v>
      </c>
      <c r="J69" s="6">
        <f t="shared" si="34"/>
        <v>0.47265625</v>
      </c>
      <c r="K69" s="7">
        <f t="shared" si="35"/>
        <v>7.6028677601133821E-3</v>
      </c>
      <c r="L69" s="7">
        <f t="shared" si="36"/>
        <v>8.2258891558298717E-3</v>
      </c>
      <c r="N69" s="17" t="s">
        <v>16</v>
      </c>
      <c r="O69" s="17">
        <v>0.79049548874623476</v>
      </c>
    </row>
    <row r="70" spans="1:22" x14ac:dyDescent="0.25">
      <c r="A70" s="5">
        <f t="shared" si="27"/>
        <v>7</v>
      </c>
      <c r="B70" s="6">
        <f t="shared" si="27"/>
        <v>14.6397888</v>
      </c>
      <c r="C70" s="6">
        <f t="shared" si="27"/>
        <v>10.9</v>
      </c>
      <c r="D70" s="7">
        <f t="shared" si="28"/>
        <v>2.6837430821995985</v>
      </c>
      <c r="E70" s="7">
        <f t="shared" si="29"/>
        <v>2.388762789235098</v>
      </c>
      <c r="F70" s="7">
        <f t="shared" si="30"/>
        <v>7.2024769312542007</v>
      </c>
      <c r="G70" s="7">
        <f t="shared" si="31"/>
        <v>6.4108256106255119</v>
      </c>
      <c r="H70" s="7">
        <f t="shared" si="32"/>
        <v>5.7061876632342452</v>
      </c>
      <c r="I70" s="7">
        <f t="shared" si="33"/>
        <v>10.18817499339149</v>
      </c>
      <c r="J70" s="6">
        <f t="shared" si="34"/>
        <v>0.15015624999999944</v>
      </c>
      <c r="K70" s="7">
        <f t="shared" si="35"/>
        <v>0.50669484003320575</v>
      </c>
      <c r="L70" s="7">
        <f t="shared" si="36"/>
        <v>6.5305046477844977E-2</v>
      </c>
      <c r="N70" s="17" t="s">
        <v>17</v>
      </c>
      <c r="O70" s="17">
        <v>3.9393431796268683E-2</v>
      </c>
    </row>
    <row r="71" spans="1:22" x14ac:dyDescent="0.25">
      <c r="A71" s="5">
        <f t="shared" si="27"/>
        <v>8</v>
      </c>
      <c r="B71" s="6">
        <f t="shared" si="27"/>
        <v>13.245523200000001</v>
      </c>
      <c r="C71" s="6">
        <f t="shared" si="27"/>
        <v>9.8000000000000007</v>
      </c>
      <c r="D71" s="7">
        <f t="shared" si="28"/>
        <v>2.5836596236426157</v>
      </c>
      <c r="E71" s="7">
        <f t="shared" si="29"/>
        <v>2.2823823856765264</v>
      </c>
      <c r="F71" s="7">
        <f t="shared" si="30"/>
        <v>6.6752970508411025</v>
      </c>
      <c r="G71" s="7">
        <f t="shared" si="31"/>
        <v>5.8968992155855497</v>
      </c>
      <c r="H71" s="7">
        <f t="shared" si="32"/>
        <v>5.2092693544464721</v>
      </c>
      <c r="I71" s="7">
        <f t="shared" si="33"/>
        <v>9.9401118108537094</v>
      </c>
      <c r="J71" s="6">
        <f t="shared" si="34"/>
        <v>2.2126562499999967</v>
      </c>
      <c r="K71" s="7">
        <f t="shared" si="35"/>
        <v>1.9631319540705447E-2</v>
      </c>
      <c r="L71" s="7">
        <f t="shared" si="36"/>
        <v>1.4297123556500889E-2</v>
      </c>
      <c r="N71" s="17" t="s">
        <v>18</v>
      </c>
      <c r="O71" s="17">
        <v>16</v>
      </c>
    </row>
    <row r="72" spans="1:22" x14ac:dyDescent="0.25">
      <c r="A72" s="5">
        <f t="shared" si="27"/>
        <v>9</v>
      </c>
      <c r="B72" s="6">
        <f t="shared" si="27"/>
        <v>38.690870400000016</v>
      </c>
      <c r="C72" s="6">
        <f t="shared" si="27"/>
        <v>13.1</v>
      </c>
      <c r="D72" s="7">
        <f t="shared" si="28"/>
        <v>3.6556036652285644</v>
      </c>
      <c r="E72" s="7">
        <f t="shared" si="29"/>
        <v>2.5726122302071057</v>
      </c>
      <c r="F72" s="7">
        <f t="shared" si="30"/>
        <v>13.363438157232514</v>
      </c>
      <c r="G72" s="7">
        <f t="shared" si="31"/>
        <v>9.4044506979569267</v>
      </c>
      <c r="H72" s="7">
        <f t="shared" si="32"/>
        <v>6.6183336870111784</v>
      </c>
      <c r="I72" s="7">
        <f t="shared" si="33"/>
        <v>12.943405034644737</v>
      </c>
      <c r="J72" s="6">
        <f t="shared" si="34"/>
        <v>3.28515625</v>
      </c>
      <c r="K72" s="7">
        <f t="shared" si="35"/>
        <v>2.4521983174615868E-2</v>
      </c>
      <c r="L72" s="7">
        <f t="shared" si="36"/>
        <v>1.1953814149256682E-2</v>
      </c>
    </row>
    <row r="73" spans="1:22" x14ac:dyDescent="0.25">
      <c r="A73" s="5">
        <f t="shared" si="27"/>
        <v>10</v>
      </c>
      <c r="B73" s="6">
        <f t="shared" si="27"/>
        <v>24.051081600000003</v>
      </c>
      <c r="C73" s="6">
        <f t="shared" si="27"/>
        <v>11.6</v>
      </c>
      <c r="D73" s="7">
        <f t="shared" si="28"/>
        <v>3.1801799685134893</v>
      </c>
      <c r="E73" s="7">
        <f t="shared" si="29"/>
        <v>2.451005098112319</v>
      </c>
      <c r="F73" s="7">
        <f t="shared" si="30"/>
        <v>10.113544632134458</v>
      </c>
      <c r="G73" s="7">
        <f t="shared" si="31"/>
        <v>7.7946373157412365</v>
      </c>
      <c r="H73" s="7">
        <f t="shared" si="32"/>
        <v>6.0074259909725782</v>
      </c>
      <c r="I73" s="7">
        <f t="shared" si="33"/>
        <v>11.513205993040026</v>
      </c>
      <c r="J73" s="6">
        <f t="shared" si="34"/>
        <v>9.765625E-2</v>
      </c>
      <c r="K73" s="7">
        <f t="shared" si="35"/>
        <v>7.5331996441678943E-3</v>
      </c>
      <c r="L73" s="7">
        <f t="shared" si="36"/>
        <v>7.4822419793080432E-3</v>
      </c>
      <c r="N73" s="4" t="s">
        <v>19</v>
      </c>
      <c r="O73" s="4"/>
      <c r="P73" s="4"/>
      <c r="Q73" s="4"/>
      <c r="R73" s="4"/>
      <c r="S73" s="4"/>
    </row>
    <row r="74" spans="1:22" x14ac:dyDescent="0.25">
      <c r="A74" s="5">
        <f t="shared" si="27"/>
        <v>11</v>
      </c>
      <c r="B74" s="6">
        <f t="shared" si="27"/>
        <v>26.142480000000006</v>
      </c>
      <c r="C74" s="6">
        <f t="shared" si="27"/>
        <v>12</v>
      </c>
      <c r="D74" s="7">
        <f t="shared" si="28"/>
        <v>3.2635615774525406</v>
      </c>
      <c r="E74" s="7">
        <f t="shared" si="29"/>
        <v>2.4849066497880004</v>
      </c>
      <c r="F74" s="7">
        <f t="shared" si="30"/>
        <v>10.650834169824515</v>
      </c>
      <c r="G74" s="7">
        <f t="shared" si="31"/>
        <v>8.1096458658044348</v>
      </c>
      <c r="H74" s="7">
        <f t="shared" si="32"/>
        <v>6.174761058160624</v>
      </c>
      <c r="I74" s="7">
        <f t="shared" si="33"/>
        <v>11.752085386723953</v>
      </c>
      <c r="J74" s="6">
        <f t="shared" si="34"/>
        <v>0.50765625000000048</v>
      </c>
      <c r="K74" s="7">
        <f t="shared" si="35"/>
        <v>6.1461655475811734E-2</v>
      </c>
      <c r="L74" s="7">
        <f t="shared" si="36"/>
        <v>2.0659551106337215E-2</v>
      </c>
      <c r="N74" s="16"/>
      <c r="O74" s="16" t="s">
        <v>24</v>
      </c>
      <c r="P74" s="16" t="s">
        <v>25</v>
      </c>
      <c r="Q74" s="16" t="s">
        <v>26</v>
      </c>
      <c r="R74" s="16" t="s">
        <v>27</v>
      </c>
      <c r="S74" s="16" t="s">
        <v>28</v>
      </c>
    </row>
    <row r="75" spans="1:22" x14ac:dyDescent="0.25">
      <c r="A75" s="5">
        <f t="shared" si="27"/>
        <v>12</v>
      </c>
      <c r="B75" s="6">
        <f t="shared" si="27"/>
        <v>19.171152000000003</v>
      </c>
      <c r="C75" s="6">
        <f t="shared" si="27"/>
        <v>10.5</v>
      </c>
      <c r="D75" s="7">
        <f t="shared" si="28"/>
        <v>2.9534066491487012</v>
      </c>
      <c r="E75" s="7">
        <f t="shared" si="29"/>
        <v>2.3513752571634776</v>
      </c>
      <c r="F75" s="7">
        <f t="shared" si="30"/>
        <v>8.7226108352357592</v>
      </c>
      <c r="G75" s="7">
        <f t="shared" si="31"/>
        <v>6.9445673191503516</v>
      </c>
      <c r="H75" s="7">
        <f t="shared" si="32"/>
        <v>5.5289656000006104</v>
      </c>
      <c r="I75" s="7">
        <f t="shared" si="33"/>
        <v>10.887800351863037</v>
      </c>
      <c r="J75" s="6">
        <f t="shared" si="34"/>
        <v>0.62015624999999941</v>
      </c>
      <c r="K75" s="7">
        <f t="shared" si="35"/>
        <v>0.15038911290509518</v>
      </c>
      <c r="L75" s="7">
        <f t="shared" si="36"/>
        <v>3.6933366844098744E-2</v>
      </c>
      <c r="N75" s="17" t="s">
        <v>20</v>
      </c>
      <c r="O75" s="17">
        <v>1</v>
      </c>
      <c r="P75" s="17">
        <v>8.9382252186420444E-2</v>
      </c>
      <c r="Q75" s="17">
        <v>8.9382252186420444E-2</v>
      </c>
      <c r="R75" s="17">
        <v>57.597503606168402</v>
      </c>
      <c r="S75" s="17">
        <v>2.5153201660713388E-6</v>
      </c>
    </row>
    <row r="76" spans="1:22" x14ac:dyDescent="0.25">
      <c r="A76" s="5">
        <f>A33</f>
        <v>13</v>
      </c>
      <c r="B76" s="6">
        <f t="shared" ref="B76:C76" si="37">B33</f>
        <v>20.216851200000001</v>
      </c>
      <c r="C76" s="6">
        <f t="shared" si="37"/>
        <v>10.3</v>
      </c>
      <c r="D76" s="7">
        <f t="shared" si="28"/>
        <v>3.0065164744626491</v>
      </c>
      <c r="E76" s="7">
        <f t="shared" si="29"/>
        <v>2.33214389523559</v>
      </c>
      <c r="F76" s="7">
        <f t="shared" si="30"/>
        <v>9.0391413112153174</v>
      </c>
      <c r="G76" s="7">
        <f t="shared" si="31"/>
        <v>7.0116290418432961</v>
      </c>
      <c r="H76" s="7">
        <f t="shared" si="32"/>
        <v>5.4388951480846304</v>
      </c>
      <c r="I76" s="7">
        <f t="shared" si="33"/>
        <v>11.031152321049996</v>
      </c>
      <c r="J76" s="6">
        <f t="shared" si="34"/>
        <v>0.97515624999999795</v>
      </c>
      <c r="K76" s="7">
        <f t="shared" si="35"/>
        <v>0.53458371657679538</v>
      </c>
      <c r="L76" s="7">
        <f t="shared" si="36"/>
        <v>7.0985662237863609E-2</v>
      </c>
      <c r="N76" s="17" t="s">
        <v>21</v>
      </c>
      <c r="O76" s="17">
        <v>14</v>
      </c>
      <c r="P76" s="17">
        <v>2.1725794561621811E-2</v>
      </c>
      <c r="Q76" s="17">
        <v>1.5518424686872723E-3</v>
      </c>
      <c r="R76" s="17"/>
      <c r="S76" s="17"/>
    </row>
    <row r="77" spans="1:22" x14ac:dyDescent="0.25">
      <c r="A77" s="5">
        <f t="shared" si="27"/>
        <v>14</v>
      </c>
      <c r="B77" s="6">
        <f t="shared" si="27"/>
        <v>17.079753600000004</v>
      </c>
      <c r="C77" s="6">
        <f t="shared" si="27"/>
        <v>11</v>
      </c>
      <c r="D77" s="7">
        <f t="shared" si="28"/>
        <v>2.8378937620268569</v>
      </c>
      <c r="E77" s="7">
        <f t="shared" si="29"/>
        <v>2.3978952727983707</v>
      </c>
      <c r="F77" s="7">
        <f t="shared" si="30"/>
        <v>8.053641004550947</v>
      </c>
      <c r="G77" s="7">
        <f t="shared" si="31"/>
        <v>6.8049720366681843</v>
      </c>
      <c r="H77" s="7">
        <f t="shared" si="32"/>
        <v>5.7499017393087728</v>
      </c>
      <c r="I77" s="7">
        <f t="shared" si="33"/>
        <v>10.582411859411229</v>
      </c>
      <c r="J77" s="6">
        <f t="shared" si="34"/>
        <v>8.2656249999999792E-2</v>
      </c>
      <c r="K77" s="7">
        <f t="shared" si="35"/>
        <v>0.17437985516038729</v>
      </c>
      <c r="L77" s="7">
        <f t="shared" si="36"/>
        <v>3.7962558235342829E-2</v>
      </c>
      <c r="N77" s="17" t="s">
        <v>22</v>
      </c>
      <c r="O77" s="17">
        <v>15</v>
      </c>
      <c r="P77" s="17">
        <v>0.11110804674804226</v>
      </c>
      <c r="Q77" s="17"/>
      <c r="R77" s="17"/>
      <c r="S77" s="17"/>
    </row>
    <row r="78" spans="1:22" x14ac:dyDescent="0.25">
      <c r="A78" s="5">
        <f>A35</f>
        <v>15</v>
      </c>
      <c r="B78" s="6">
        <f t="shared" ref="B78:C78" si="38">B35</f>
        <v>20.913984000000006</v>
      </c>
      <c r="C78" s="6">
        <f t="shared" si="38"/>
        <v>11.299999999999999</v>
      </c>
      <c r="D78" s="7">
        <f t="shared" si="28"/>
        <v>3.0404180261383309</v>
      </c>
      <c r="E78" s="7">
        <f t="shared" si="29"/>
        <v>2.4248027257182949</v>
      </c>
      <c r="F78" s="7">
        <f t="shared" si="30"/>
        <v>9.2441417736669038</v>
      </c>
      <c r="G78" s="7">
        <f t="shared" si="31"/>
        <v>7.3724139171032625</v>
      </c>
      <c r="H78" s="7">
        <f t="shared" si="32"/>
        <v>5.8796682586508728</v>
      </c>
      <c r="I78" s="7">
        <f t="shared" si="33"/>
        <v>11.123643430117559</v>
      </c>
      <c r="J78" s="6">
        <f t="shared" si="34"/>
        <v>1.5624999999998225E-4</v>
      </c>
      <c r="K78" s="7">
        <f t="shared" si="35"/>
        <v>3.1101639740699974E-2</v>
      </c>
      <c r="L78" s="7">
        <f t="shared" si="36"/>
        <v>1.5606776095791159E-2</v>
      </c>
    </row>
    <row r="79" spans="1:22" x14ac:dyDescent="0.25">
      <c r="A79" s="5">
        <f t="shared" si="27"/>
        <v>16</v>
      </c>
      <c r="B79" s="6">
        <f t="shared" si="27"/>
        <v>36.250905600000003</v>
      </c>
      <c r="C79" s="6">
        <f t="shared" si="27"/>
        <v>13.4</v>
      </c>
      <c r="D79" s="7">
        <f t="shared" si="28"/>
        <v>3.5904643630576025</v>
      </c>
      <c r="E79" s="7">
        <f t="shared" si="29"/>
        <v>2.5952547069568657</v>
      </c>
      <c r="F79" s="7">
        <f t="shared" si="30"/>
        <v>12.891434342386635</v>
      </c>
      <c r="G79" s="7">
        <f t="shared" si="31"/>
        <v>9.3181695383861278</v>
      </c>
      <c r="H79" s="7">
        <f t="shared" si="32"/>
        <v>6.7353469939817669</v>
      </c>
      <c r="I79" s="7">
        <f t="shared" si="33"/>
        <v>12.737409519592383</v>
      </c>
      <c r="J79" s="6">
        <f t="shared" si="34"/>
        <v>4.4626562500000029</v>
      </c>
      <c r="K79" s="7">
        <f t="shared" si="35"/>
        <v>0.4390261447267973</v>
      </c>
      <c r="L79" s="7">
        <f t="shared" si="36"/>
        <v>4.9447050776687873E-2</v>
      </c>
      <c r="N79" s="16"/>
      <c r="O79" s="16" t="s">
        <v>29</v>
      </c>
      <c r="P79" s="16" t="s">
        <v>17</v>
      </c>
      <c r="Q79" s="16" t="s">
        <v>30</v>
      </c>
      <c r="R79" s="16" t="s">
        <v>31</v>
      </c>
      <c r="S79" s="16" t="s">
        <v>32</v>
      </c>
      <c r="T79" s="16" t="s">
        <v>33</v>
      </c>
      <c r="U79" s="16" t="s">
        <v>34</v>
      </c>
      <c r="V79" s="16" t="s">
        <v>35</v>
      </c>
    </row>
    <row r="80" spans="1:22" x14ac:dyDescent="0.25">
      <c r="A80" s="5" t="s">
        <v>6</v>
      </c>
      <c r="B80" s="6">
        <f t="shared" ref="B80:L80" si="39">SUM(B64:B79)</f>
        <v>367.04041920000009</v>
      </c>
      <c r="C80" s="6">
        <f t="shared" si="39"/>
        <v>180.6</v>
      </c>
      <c r="D80" s="6">
        <f t="shared" si="39"/>
        <v>49.367251718616245</v>
      </c>
      <c r="E80" s="6">
        <f t="shared" si="39"/>
        <v>38.722632989566257</v>
      </c>
      <c r="F80" s="6">
        <f t="shared" si="39"/>
        <v>153.79388301804912</v>
      </c>
      <c r="G80" s="6">
        <f t="shared" si="39"/>
        <v>119.83978912437448</v>
      </c>
      <c r="H80" s="6">
        <f t="shared" si="39"/>
        <v>93.826252149538334</v>
      </c>
      <c r="I80" s="6">
        <f t="shared" si="39"/>
        <v>180.47115129884753</v>
      </c>
      <c r="J80" s="6">
        <f t="shared" si="39"/>
        <v>14.917499999999997</v>
      </c>
      <c r="K80" s="6">
        <f t="shared" si="39"/>
        <v>2.7569359534934006</v>
      </c>
      <c r="L80" s="6">
        <f t="shared" si="39"/>
        <v>0.47897392422501539</v>
      </c>
      <c r="N80" s="17" t="s">
        <v>23</v>
      </c>
      <c r="O80" s="17">
        <v>1.660251084428686</v>
      </c>
      <c r="P80" s="17">
        <v>0.10061271963698483</v>
      </c>
      <c r="Q80" s="17">
        <v>16.501403504635853</v>
      </c>
      <c r="R80" s="17">
        <v>1.4315755862392388E-10</v>
      </c>
      <c r="S80" s="17">
        <v>1.4444582627160747</v>
      </c>
      <c r="T80" s="17">
        <v>1.8760439061412972</v>
      </c>
      <c r="U80" s="17">
        <v>1.4444582627160747</v>
      </c>
      <c r="V80" s="17">
        <v>1.8760439061412972</v>
      </c>
    </row>
    <row r="81" spans="1:22" x14ac:dyDescent="0.25">
      <c r="A81" s="5" t="s">
        <v>7</v>
      </c>
      <c r="B81" s="6">
        <f t="shared" ref="B81:L81" si="40">AVERAGE(B64:B79)</f>
        <v>22.940026200000005</v>
      </c>
      <c r="C81" s="6">
        <f t="shared" si="40"/>
        <v>11.2875</v>
      </c>
      <c r="D81" s="6">
        <f t="shared" si="40"/>
        <v>3.0854532324135153</v>
      </c>
      <c r="E81" s="6">
        <f t="shared" si="40"/>
        <v>2.4201645618478911</v>
      </c>
      <c r="F81" s="6">
        <f t="shared" si="40"/>
        <v>9.6121176886280697</v>
      </c>
      <c r="G81" s="6">
        <f t="shared" si="40"/>
        <v>7.4899868202734048</v>
      </c>
      <c r="H81" s="6">
        <f t="shared" si="40"/>
        <v>5.8641407593461459</v>
      </c>
      <c r="I81" s="6">
        <f t="shared" si="40"/>
        <v>11.279446956177971</v>
      </c>
      <c r="J81" s="6">
        <f t="shared" si="40"/>
        <v>0.9323437499999998</v>
      </c>
      <c r="K81" s="6">
        <f t="shared" si="40"/>
        <v>0.17230849709333754</v>
      </c>
      <c r="L81" s="7">
        <f t="shared" si="40"/>
        <v>2.9935870264063462E-2</v>
      </c>
      <c r="N81" s="17" t="s">
        <v>36</v>
      </c>
      <c r="O81" s="17">
        <v>0.24628909277771893</v>
      </c>
      <c r="P81" s="17">
        <v>3.2452140583030739E-2</v>
      </c>
      <c r="Q81" s="17">
        <v>7.5893019182378305</v>
      </c>
      <c r="R81" s="17">
        <v>2.5153201660713388E-6</v>
      </c>
      <c r="S81" s="17">
        <v>0.17668617366079747</v>
      </c>
      <c r="T81" s="17">
        <v>0.31589201189464039</v>
      </c>
      <c r="U81" s="17">
        <v>0.17668617366079747</v>
      </c>
      <c r="V81" s="17">
        <v>0.31589201189464039</v>
      </c>
    </row>
    <row r="83" spans="1:22" x14ac:dyDescent="0.25">
      <c r="A83" s="21" t="s">
        <v>39</v>
      </c>
      <c r="B83" s="21"/>
      <c r="C83" s="21" t="s">
        <v>57</v>
      </c>
      <c r="D83" s="21"/>
      <c r="E83" s="21"/>
    </row>
    <row r="85" spans="1:22" x14ac:dyDescent="0.25">
      <c r="A85" s="4" t="s">
        <v>44</v>
      </c>
      <c r="B85" s="4"/>
      <c r="D85" s="4" t="s">
        <v>47</v>
      </c>
      <c r="E85" s="4"/>
      <c r="G85" s="4" t="s">
        <v>49</v>
      </c>
      <c r="H85" s="4"/>
      <c r="J85" s="4" t="s">
        <v>48</v>
      </c>
      <c r="K85" s="4"/>
    </row>
    <row r="86" spans="1:22" x14ac:dyDescent="0.25">
      <c r="A86" s="5" t="s">
        <v>45</v>
      </c>
      <c r="B86" s="7">
        <f>SQRT((F80/D59)-D81^2)</f>
        <v>0.30347329242794918</v>
      </c>
      <c r="D86" s="7">
        <f>G59*(B86/B87)</f>
        <v>0.89691831075260509</v>
      </c>
      <c r="E86" s="7">
        <f>D86*100</f>
        <v>89.691831075260509</v>
      </c>
      <c r="G86" s="14">
        <f>L81</f>
        <v>2.9935870264063462E-2</v>
      </c>
      <c r="H86" s="7">
        <f>G86*100</f>
        <v>2.9935870264063462</v>
      </c>
      <c r="J86" s="7">
        <f>D86^2</f>
        <v>0.80446245616330669</v>
      </c>
      <c r="K86" s="7">
        <f>J86*100</f>
        <v>80.446245616330671</v>
      </c>
    </row>
    <row r="87" spans="1:22" x14ac:dyDescent="0.25">
      <c r="A87" s="5" t="s">
        <v>46</v>
      </c>
      <c r="B87" s="7">
        <f>SQRT((H80/D59)-E81^2)</f>
        <v>8.3332184189249092E-2</v>
      </c>
    </row>
    <row r="89" spans="1:22" x14ac:dyDescent="0.25">
      <c r="A89" s="4" t="s">
        <v>50</v>
      </c>
      <c r="B89" s="4"/>
    </row>
    <row r="90" spans="1:22" x14ac:dyDescent="0.25">
      <c r="A90" s="24">
        <f>(J86/(1-J86) * (D59-2))</f>
        <v>57.597503606224862</v>
      </c>
      <c r="B90" s="24"/>
    </row>
    <row r="92" spans="1:22" x14ac:dyDescent="0.25">
      <c r="A92" s="4" t="s">
        <v>51</v>
      </c>
      <c r="B92" s="4"/>
    </row>
    <row r="93" spans="1:22" x14ac:dyDescent="0.25">
      <c r="A93" s="24">
        <f>FINV(0.05,E59,F59)</f>
        <v>4.6001099366694227</v>
      </c>
      <c r="B93" s="24"/>
    </row>
  </sheetData>
  <mergeCells count="12">
    <mergeCell ref="A90:B90"/>
    <mergeCell ref="A93:B93"/>
    <mergeCell ref="A50:B50"/>
    <mergeCell ref="A53:B53"/>
    <mergeCell ref="A83:B83"/>
    <mergeCell ref="C83:E83"/>
    <mergeCell ref="D1:M8"/>
    <mergeCell ref="A40:J41"/>
    <mergeCell ref="A43:B43"/>
    <mergeCell ref="C43:E43"/>
    <mergeCell ref="D17:F17"/>
    <mergeCell ref="D18:F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Tunyan Edmon</dc:creator>
  <cp:lastModifiedBy>Tunyan Edmon</cp:lastModifiedBy>
  <dcterms:created xsi:type="dcterms:W3CDTF">2015-06-05T18:19:34Z</dcterms:created>
  <dcterms:modified xsi:type="dcterms:W3CDTF">2022-03-28T03:24:22Z</dcterms:modified>
</cp:coreProperties>
</file>