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il Apart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7" authorId="0">
      <text>
        <r>
          <rPr>
            <sz val="10"/>
            <color rgb="FF000000"/>
            <rFont val="Arial"/>
            <family val="0"/>
            <charset val="1"/>
          </rPr>
          <t xml:space="preserve">deferred maintenance 
+ maint-type capex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initial cash outlay (ICO)</t>
        </r>
      </text>
    </comment>
    <comment ref="K3" authorId="0">
      <text>
        <r>
          <rPr>
            <sz val="10"/>
            <color rgb="FF000000"/>
            <rFont val="Arial"/>
            <family val="0"/>
            <charset val="1"/>
          </rPr>
          <t xml:space="preserve">$1050 is total revenues/unit on T12
Market rent 921.59
per unit broker proforma EGI $12,736</t>
        </r>
      </text>
    </comment>
  </commentList>
</comments>
</file>

<file path=xl/sharedStrings.xml><?xml version="1.0" encoding="utf-8"?>
<sst xmlns="http://schemas.openxmlformats.org/spreadsheetml/2006/main" count="66" uniqueCount="59">
  <si>
    <t xml:space="preserve">year</t>
  </si>
  <si>
    <t xml:space="preserve">inputs</t>
  </si>
  <si>
    <t xml:space="preserve">units</t>
  </si>
  <si>
    <t xml:space="preserve">units, sqft ea</t>
  </si>
  <si>
    <t xml:space="preserve">total occupancy</t>
  </si>
  <si>
    <t xml:space="preserve">monthly rent rate, rate/sqft</t>
  </si>
  <si>
    <t xml:space="preserve">YTY rent rate increase</t>
  </si>
  <si>
    <t xml:space="preserve">rehab premium/mo, rate/sqft</t>
  </si>
  <si>
    <t xml:space="preserve">occupancy</t>
  </si>
  <si>
    <t xml:space="preserve">operations</t>
  </si>
  <si>
    <t xml:space="preserve">rent rate growth</t>
  </si>
  <si>
    <t xml:space="preserve">baseline revenues</t>
  </si>
  <si>
    <t xml:space="preserve">rehab premiums</t>
  </si>
  <si>
    <t xml:space="preserve">OE, capex inflation</t>
  </si>
  <si>
    <t xml:space="preserve">operating expenses</t>
  </si>
  <si>
    <t xml:space="preserve">OE ratio, OE/unit</t>
  </si>
  <si>
    <t xml:space="preserve">NOI</t>
  </si>
  <si>
    <t xml:space="preserve">maintenance reserve/unit/year</t>
  </si>
  <si>
    <t xml:space="preserve">deferred maintenance</t>
  </si>
  <si>
    <t xml:space="preserve">capex</t>
  </si>
  <si>
    <t xml:space="preserve">int. rehab cost/unit</t>
  </si>
  <si>
    <t xml:space="preserve">rehab opportunities at start of year</t>
  </si>
  <si>
    <t xml:space="preserve">turnover rate</t>
  </si>
  <si>
    <t xml:space="preserve">cost each</t>
  </si>
  <si>
    <t xml:space="preserve">mortgage rate</t>
  </si>
  <si>
    <t xml:space="preserve">interior rehab costs</t>
  </si>
  <si>
    <t xml:space="preserve">amortization, LTV</t>
  </si>
  <si>
    <t xml:space="preserve">other capex</t>
  </si>
  <si>
    <t xml:space="preserve">total capex</t>
  </si>
  <si>
    <t xml:space="preserve">going-in cap rate</t>
  </si>
  <si>
    <t xml:space="preserve">exit cap rate</t>
  </si>
  <si>
    <t xml:space="preserve">leverage</t>
  </si>
  <si>
    <t xml:space="preserve">mortgage P&amp;I</t>
  </si>
  <si>
    <t xml:space="preserve">purchase price</t>
  </si>
  <si>
    <t xml:space="preserve">mortgage, payoff</t>
  </si>
  <si>
    <t xml:space="preserve">purchase price/unit</t>
  </si>
  <si>
    <t xml:space="preserve">total leverage</t>
  </si>
  <si>
    <t xml:space="preserve">Return Attribution</t>
  </si>
  <si>
    <t xml:space="preserve">IRR decomposition</t>
  </si>
  <si>
    <t xml:space="preserve">NOI baseline</t>
  </si>
  <si>
    <t xml:space="preserve">capex other</t>
  </si>
  <si>
    <t xml:space="preserve">cap rate compression (expansion)</t>
  </si>
  <si>
    <t xml:space="preserve">capital gains from market</t>
  </si>
  <si>
    <t xml:space="preserve">market effects</t>
  </si>
  <si>
    <t xml:space="preserve">NOI improvement</t>
  </si>
  <si>
    <t xml:space="preserve">capex interior rehabs</t>
  </si>
  <si>
    <t xml:space="preserve">purchase, sale at same cap rate</t>
  </si>
  <si>
    <t xml:space="preserve">capital gains from improvements</t>
  </si>
  <si>
    <t xml:space="preserve">effects of management</t>
  </si>
  <si>
    <t xml:space="preserve">unlevered cashflows</t>
  </si>
  <si>
    <t xml:space="preserve">unlevered IRR</t>
  </si>
  <si>
    <t xml:space="preserve">levered cashflows</t>
  </si>
  <si>
    <t xml:space="preserve">levered IRR</t>
  </si>
  <si>
    <t xml:space="preserve">cash-on-cash return</t>
  </si>
  <si>
    <t xml:space="preserve">sum CoC return</t>
  </si>
  <si>
    <t xml:space="preserve">DSCR</t>
  </si>
  <si>
    <t xml:space="preserve">discount rate</t>
  </si>
  <si>
    <t xml:space="preserve">debt yield</t>
  </si>
  <si>
    <t xml:space="preserve">NPV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</si>
</sst>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"/>
    <numFmt numFmtId="166" formatCode="_(* #,##0_);_(* \(#,##0\);_(* \-_);_(@_)"/>
    <numFmt numFmtId="167" formatCode="0%"/>
    <numFmt numFmtId="168" formatCode="_(* #,##0.00_);_(* \(#,##0.00\);_(* \-_);_(@_)"/>
    <numFmt numFmtId="169" formatCode="0.0%"/>
    <numFmt numFmtId="170" formatCode="0.00%"/>
    <numFmt numFmtId="171" formatCode="\$#,##0.00"/>
    <numFmt numFmtId="172" formatCode="#,##0;\(#,##0\)"/>
    <numFmt numFmtId="173" formatCode="0.000%"/>
    <numFmt numFmtId="174" formatCode="#,##0.0000000000"/>
    <numFmt numFmtId="175" formatCode="#,##0.00;\(#,##0.00\)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00"/>
      <name val="Arial"/>
      <family val="0"/>
      <charset val="1"/>
    </font>
    <font>
      <b val="true"/>
      <u val="singl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  <font>
      <sz val="11"/>
      <color rgb="FF0000FF"/>
      <name val="Arial"/>
      <family val="0"/>
      <charset val="1"/>
    </font>
    <font>
      <u val="single"/>
      <sz val="11"/>
      <name val="Cambria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9" activeCellId="0" sqref="F29"/>
    </sheetView>
  </sheetViews>
  <sheetFormatPr defaultRowHeight="15.75" zeroHeight="false" outlineLevelRow="0" outlineLevelCol="0"/>
  <cols>
    <col collapsed="false" customWidth="true" hidden="false" outlineLevel="0" max="1" min="1" style="0" width="39.14"/>
    <col collapsed="false" customWidth="true" hidden="false" outlineLevel="0" max="2" min="2" style="0" width="12.29"/>
    <col collapsed="false" customWidth="true" hidden="false" outlineLevel="0" max="5" min="3" style="0" width="11.3"/>
    <col collapsed="false" customWidth="true" hidden="false" outlineLevel="0" max="7" min="6" style="0" width="11.99"/>
    <col collapsed="false" customWidth="true" hidden="true" outlineLevel="0" max="8" min="8" style="0" width="26.43"/>
    <col collapsed="false" customWidth="true" hidden="false" outlineLevel="0" max="9" min="9" style="0" width="7.57"/>
    <col collapsed="false" customWidth="true" hidden="false" outlineLevel="0" max="10" min="10" style="0" width="30.43"/>
    <col collapsed="false" customWidth="true" hidden="false" outlineLevel="0" max="11" min="11" style="0" width="13.29"/>
    <col collapsed="false" customWidth="true" hidden="false" outlineLevel="0" max="12" min="12" style="0" width="11.3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1" t="s">
        <v>0</v>
      </c>
      <c r="B1" s="2" t="n">
        <v>0</v>
      </c>
      <c r="C1" s="3" t="n">
        <f aca="false">B1+1</f>
        <v>1</v>
      </c>
      <c r="D1" s="3" t="n">
        <f aca="false">C1+1</f>
        <v>2</v>
      </c>
      <c r="E1" s="3" t="n">
        <f aca="false">D1+1</f>
        <v>3</v>
      </c>
      <c r="F1" s="3" t="n">
        <f aca="false">E1+1</f>
        <v>4</v>
      </c>
      <c r="G1" s="3" t="n">
        <f aca="false">F1+1</f>
        <v>5</v>
      </c>
      <c r="K1" s="4" t="s">
        <v>1</v>
      </c>
    </row>
    <row r="2" customFormat="false" ht="15.75" hidden="false" customHeight="false" outlineLevel="0" collapsed="false">
      <c r="A2" s="1" t="s">
        <v>2</v>
      </c>
      <c r="B2" s="5"/>
      <c r="C2" s="6" t="n">
        <f aca="false">K2</f>
        <v>50</v>
      </c>
      <c r="D2" s="6" t="n">
        <f aca="false">C2</f>
        <v>50</v>
      </c>
      <c r="E2" s="6" t="n">
        <f aca="false">D2</f>
        <v>50</v>
      </c>
      <c r="F2" s="6" t="n">
        <f aca="false">E2</f>
        <v>50</v>
      </c>
      <c r="G2" s="6" t="n">
        <f aca="false">F2</f>
        <v>50</v>
      </c>
      <c r="J2" s="7" t="s">
        <v>3</v>
      </c>
      <c r="K2" s="8" t="n">
        <v>50</v>
      </c>
      <c r="L2" s="8" t="n">
        <v>750</v>
      </c>
    </row>
    <row r="3" customFormat="false" ht="15.75" hidden="false" customHeight="false" outlineLevel="0" collapsed="false">
      <c r="A3" s="1" t="s">
        <v>4</v>
      </c>
      <c r="B3" s="9"/>
      <c r="C3" s="10" t="n">
        <f aca="false">K5</f>
        <v>0.9</v>
      </c>
      <c r="D3" s="10" t="n">
        <f aca="false">C3</f>
        <v>0.9</v>
      </c>
      <c r="E3" s="10" t="n">
        <f aca="false">D3</f>
        <v>0.9</v>
      </c>
      <c r="F3" s="10" t="n">
        <f aca="false">E3</f>
        <v>0.9</v>
      </c>
      <c r="G3" s="10" t="n">
        <f aca="false">F3</f>
        <v>0.9</v>
      </c>
      <c r="J3" s="7" t="s">
        <v>5</v>
      </c>
      <c r="K3" s="11" t="n">
        <v>1000</v>
      </c>
      <c r="L3" s="12" t="n">
        <f aca="false">K3/L2</f>
        <v>1.33333333333333</v>
      </c>
    </row>
    <row r="4" customFormat="false" ht="15.75" hidden="false" customHeight="false" outlineLevel="0" collapsed="false">
      <c r="A4" s="1" t="s">
        <v>6</v>
      </c>
      <c r="B4" s="9"/>
      <c r="C4" s="9"/>
      <c r="D4" s="13" t="n">
        <f aca="false">K6</f>
        <v>0.03</v>
      </c>
      <c r="E4" s="13" t="n">
        <f aca="false">D4</f>
        <v>0.03</v>
      </c>
      <c r="F4" s="13" t="n">
        <f aca="false">E4</f>
        <v>0.03</v>
      </c>
      <c r="G4" s="13" t="n">
        <f aca="false">F4</f>
        <v>0.03</v>
      </c>
      <c r="J4" s="7" t="s">
        <v>7</v>
      </c>
      <c r="K4" s="8" t="n">
        <v>150</v>
      </c>
      <c r="L4" s="12" t="n">
        <f aca="false">(K3+K4)/L2</f>
        <v>1.53333333333333</v>
      </c>
    </row>
    <row r="5" customFormat="false" ht="15.75" hidden="false" customHeight="false" outlineLevel="0" collapsed="false">
      <c r="I5" s="14"/>
      <c r="J5" s="7" t="s">
        <v>8</v>
      </c>
      <c r="K5" s="15" t="n">
        <v>0.9</v>
      </c>
      <c r="L5" s="16"/>
    </row>
    <row r="6" customFormat="false" ht="15.75" hidden="false" customHeight="false" outlineLevel="0" collapsed="false">
      <c r="A6" s="17" t="s">
        <v>9</v>
      </c>
      <c r="B6" s="18"/>
      <c r="C6" s="5"/>
      <c r="D6" s="18"/>
      <c r="E6" s="18"/>
      <c r="F6" s="18"/>
      <c r="G6" s="18"/>
      <c r="I6" s="7"/>
      <c r="J6" s="7" t="s">
        <v>10</v>
      </c>
      <c r="K6" s="19" t="n">
        <v>0.03</v>
      </c>
      <c r="L6" s="20"/>
    </row>
    <row r="7" customFormat="false" ht="15.75" hidden="false" customHeight="false" outlineLevel="0" collapsed="false">
      <c r="A7" s="1" t="s">
        <v>11</v>
      </c>
      <c r="B7" s="18"/>
      <c r="C7" s="6" t="n">
        <f aca="false">C3*C2*K3*12</f>
        <v>540000</v>
      </c>
      <c r="D7" s="21" t="n">
        <f aca="false">C7*D3/C3*D2/C2*(1+D4)</f>
        <v>556200</v>
      </c>
      <c r="E7" s="21" t="n">
        <f aca="false">D7*E3/D3*E2/D2*(1+E4)</f>
        <v>572886</v>
      </c>
      <c r="F7" s="21" t="n">
        <f aca="false">E7*F3/E3*F2/E2*(1+F4)</f>
        <v>590072.58</v>
      </c>
      <c r="G7" s="21" t="n">
        <f aca="false">F7*G3/F3*G2/F2*(1+G4)</f>
        <v>607774.7574</v>
      </c>
      <c r="I7" s="7"/>
      <c r="K7" s="16"/>
      <c r="L7" s="16"/>
    </row>
    <row r="8" customFormat="false" ht="15.75" hidden="false" customHeight="false" outlineLevel="0" collapsed="false">
      <c r="A8" s="1" t="s">
        <v>12</v>
      </c>
      <c r="B8" s="18"/>
      <c r="C8" s="5"/>
      <c r="D8" s="21" t="n">
        <f aca="false">($C13-D13)*$K4*(1+D4)^(D1-1)*D3* 12</f>
        <v>41715</v>
      </c>
      <c r="E8" s="21" t="n">
        <f aca="false">($C13-E13)*$K4*(1+E4)^(E1-1)*E3* 12</f>
        <v>63590.346</v>
      </c>
      <c r="F8" s="21" t="n">
        <f aca="false">($C13-F13)*$K4*(1+F4)^(F1-1)*F3* 12</f>
        <v>76119.36282</v>
      </c>
      <c r="G8" s="21" t="n">
        <f aca="false">($C13-G13)*$K4*(1+G4)^(G1-1)*G3* 12</f>
        <v>83872.9165212</v>
      </c>
      <c r="I8" s="7"/>
      <c r="J8" s="7" t="s">
        <v>13</v>
      </c>
      <c r="K8" s="19" t="n">
        <v>0.025</v>
      </c>
      <c r="L8" s="16"/>
    </row>
    <row r="9" customFormat="false" ht="15.75" hidden="false" customHeight="false" outlineLevel="0" collapsed="false">
      <c r="A9" s="22" t="s">
        <v>14</v>
      </c>
      <c r="B9" s="23"/>
      <c r="C9" s="24" t="n">
        <f aca="false">-C7*K9</f>
        <v>-270000</v>
      </c>
      <c r="D9" s="25" t="n">
        <f aca="false">C9*(1+$K$8)*D2/C2</f>
        <v>-276750</v>
      </c>
      <c r="E9" s="25" t="n">
        <f aca="false">D9*(1+$K$8)*E2/D2</f>
        <v>-283668.75</v>
      </c>
      <c r="F9" s="25" t="n">
        <f aca="false">E9*(1+$K$8)*F2/E2</f>
        <v>-290760.46875</v>
      </c>
      <c r="G9" s="25" t="n">
        <f aca="false">F9*(1+$K$8)*G2/F2</f>
        <v>-298029.48046875</v>
      </c>
      <c r="I9" s="7"/>
      <c r="J9" s="7" t="s">
        <v>15</v>
      </c>
      <c r="K9" s="15" t="n">
        <v>0.5</v>
      </c>
      <c r="L9" s="6" t="n">
        <f aca="false">-C9/K2</f>
        <v>5400</v>
      </c>
    </row>
    <row r="10" customFormat="false" ht="15.75" hidden="false" customHeight="false" outlineLevel="0" collapsed="false">
      <c r="A10" s="1" t="s">
        <v>16</v>
      </c>
      <c r="B10" s="18"/>
      <c r="C10" s="21" t="n">
        <f aca="false">SUM(C7:C9)</f>
        <v>270000</v>
      </c>
      <c r="D10" s="21" t="n">
        <f aca="false">SUM(D7:D9)</f>
        <v>321165</v>
      </c>
      <c r="E10" s="21" t="n">
        <f aca="false">SUM(E7:E9)</f>
        <v>352807.596</v>
      </c>
      <c r="F10" s="21" t="n">
        <f aca="false">SUM(F7:F9)</f>
        <v>375431.47407</v>
      </c>
      <c r="G10" s="21" t="n">
        <f aca="false">SUM(G7:G9)</f>
        <v>393618.19345245</v>
      </c>
      <c r="J10" s="7" t="s">
        <v>17</v>
      </c>
      <c r="K10" s="8" t="n">
        <v>300</v>
      </c>
      <c r="L10" s="16"/>
    </row>
    <row r="11" customFormat="false" ht="15.75" hidden="false" customHeight="false" outlineLevel="0" collapsed="false">
      <c r="C11" s="1"/>
      <c r="F11" s="18"/>
      <c r="G11" s="18"/>
      <c r="H11" s="18"/>
      <c r="I11" s="7"/>
      <c r="J11" s="7" t="s">
        <v>18</v>
      </c>
      <c r="K11" s="8" t="n">
        <v>200000</v>
      </c>
    </row>
    <row r="12" customFormat="false" ht="15.75" hidden="false" customHeight="false" outlineLevel="0" collapsed="false">
      <c r="A12" s="17" t="s">
        <v>19</v>
      </c>
      <c r="B12" s="1"/>
      <c r="C12" s="1"/>
      <c r="F12" s="18"/>
      <c r="G12" s="18"/>
      <c r="I12" s="7"/>
      <c r="J12" s="7" t="s">
        <v>20</v>
      </c>
      <c r="K12" s="8" t="n">
        <v>15000</v>
      </c>
    </row>
    <row r="13" customFormat="false" ht="15.75" hidden="false" customHeight="false" outlineLevel="0" collapsed="false">
      <c r="A13" s="1" t="s">
        <v>21</v>
      </c>
      <c r="B13" s="1"/>
      <c r="C13" s="6" t="n">
        <f aca="false">C2</f>
        <v>50</v>
      </c>
      <c r="D13" s="6" t="n">
        <f aca="false">ROUND((1-C14)*C13,0)</f>
        <v>25</v>
      </c>
      <c r="E13" s="6" t="n">
        <f aca="false">ROUND((1-D14)*D13,0)</f>
        <v>13</v>
      </c>
      <c r="F13" s="6" t="n">
        <f aca="false">ROUND((1-E14)*E13,0)</f>
        <v>7</v>
      </c>
      <c r="G13" s="6" t="n">
        <f aca="false">ROUND((1-F14)*F13,0)</f>
        <v>4</v>
      </c>
      <c r="I13" s="7"/>
      <c r="J13" s="7" t="s">
        <v>22</v>
      </c>
      <c r="K13" s="15" t="n">
        <v>0.5</v>
      </c>
      <c r="L13" s="16"/>
    </row>
    <row r="14" customFormat="false" ht="15.75" hidden="false" customHeight="false" outlineLevel="0" collapsed="false">
      <c r="A14" s="1" t="s">
        <v>22</v>
      </c>
      <c r="B14" s="9"/>
      <c r="C14" s="10" t="n">
        <f aca="false">K13</f>
        <v>0.5</v>
      </c>
      <c r="D14" s="10" t="n">
        <f aca="false">C14</f>
        <v>0.5</v>
      </c>
      <c r="E14" s="10" t="n">
        <f aca="false">D14</f>
        <v>0.5</v>
      </c>
      <c r="F14" s="10" t="n">
        <f aca="false">E14</f>
        <v>0.5</v>
      </c>
      <c r="G14" s="10" t="n">
        <f aca="false">F14</f>
        <v>0.5</v>
      </c>
      <c r="I14" s="7"/>
      <c r="K14" s="16"/>
      <c r="L14" s="16"/>
    </row>
    <row r="15" customFormat="false" ht="15.75" hidden="false" customHeight="false" outlineLevel="0" collapsed="false">
      <c r="A15" s="22" t="s">
        <v>23</v>
      </c>
      <c r="B15" s="26"/>
      <c r="C15" s="24" t="n">
        <f aca="false">-K12</f>
        <v>-15000</v>
      </c>
      <c r="D15" s="24" t="n">
        <f aca="false">C15*(1+$K8)</f>
        <v>-15375</v>
      </c>
      <c r="E15" s="24" t="n">
        <f aca="false">D15*(1+$K8)</f>
        <v>-15759.375</v>
      </c>
      <c r="F15" s="24" t="n">
        <f aca="false">E15*(1+$K8)</f>
        <v>-16153.359375</v>
      </c>
      <c r="G15" s="24" t="n">
        <f aca="false">F15*(1+$K8)</f>
        <v>-16557.193359375</v>
      </c>
      <c r="H15" s="27"/>
      <c r="J15" s="7" t="s">
        <v>24</v>
      </c>
      <c r="K15" s="28" t="n">
        <v>0.035</v>
      </c>
      <c r="L15" s="16"/>
    </row>
    <row r="16" customFormat="false" ht="15.75" hidden="false" customHeight="false" outlineLevel="0" collapsed="false">
      <c r="A16" s="1" t="s">
        <v>25</v>
      </c>
      <c r="B16" s="18"/>
      <c r="C16" s="6" t="n">
        <f aca="false">C13*C14*C15</f>
        <v>-375000</v>
      </c>
      <c r="D16" s="6" t="n">
        <f aca="false">D13*D14*D15</f>
        <v>-192187.5</v>
      </c>
      <c r="E16" s="6" t="n">
        <f aca="false">E13*E14*E15</f>
        <v>-102435.9375</v>
      </c>
      <c r="F16" s="6" t="n">
        <f aca="false">F13*F14*F15</f>
        <v>-56536.7578125</v>
      </c>
      <c r="G16" s="6" t="n">
        <f aca="false">G13*G14*G15</f>
        <v>-33114.38671875</v>
      </c>
      <c r="H16" s="27"/>
      <c r="I16" s="29"/>
      <c r="J16" s="7" t="s">
        <v>26</v>
      </c>
      <c r="K16" s="8" t="n">
        <v>30</v>
      </c>
      <c r="L16" s="15" t="n">
        <v>0.75</v>
      </c>
    </row>
    <row r="17" customFormat="false" ht="15.75" hidden="false" customHeight="false" outlineLevel="0" collapsed="false">
      <c r="A17" s="30" t="s">
        <v>27</v>
      </c>
      <c r="B17" s="24" t="n">
        <f aca="false">-K11</f>
        <v>-200000</v>
      </c>
      <c r="C17" s="24" t="n">
        <f aca="false">-K10*C2</f>
        <v>-15000</v>
      </c>
      <c r="D17" s="24" t="n">
        <f aca="false">C17*(1+$K8)</f>
        <v>-15375</v>
      </c>
      <c r="E17" s="24" t="n">
        <f aca="false">D17*(1+$K8)</f>
        <v>-15759.375</v>
      </c>
      <c r="F17" s="24" t="n">
        <f aca="false">E17*(1+$K8)</f>
        <v>-16153.359375</v>
      </c>
      <c r="G17" s="24" t="n">
        <f aca="false">F17*(1+$K8)</f>
        <v>-16557.193359375</v>
      </c>
      <c r="H17" s="27"/>
      <c r="I17" s="7"/>
      <c r="K17" s="16"/>
      <c r="L17" s="16"/>
    </row>
    <row r="18" customFormat="false" ht="15.75" hidden="false" customHeight="false" outlineLevel="0" collapsed="false">
      <c r="A18" s="1" t="s">
        <v>28</v>
      </c>
      <c r="B18" s="6" t="n">
        <f aca="false">SUM(B16:B17)</f>
        <v>-200000</v>
      </c>
      <c r="C18" s="6" t="n">
        <f aca="false">SUM(C16:C17)</f>
        <v>-390000</v>
      </c>
      <c r="D18" s="21" t="n">
        <f aca="false">SUM(D16:D17)</f>
        <v>-207562.5</v>
      </c>
      <c r="E18" s="21" t="n">
        <f aca="false">SUM(E16:E17)</f>
        <v>-118195.3125</v>
      </c>
      <c r="F18" s="21" t="n">
        <f aca="false">SUM(F16:F17)</f>
        <v>-72690.1171875</v>
      </c>
      <c r="G18" s="21" t="n">
        <f aca="false">SUM(G16:G17)</f>
        <v>-49671.580078125</v>
      </c>
      <c r="J18" s="29" t="s">
        <v>29</v>
      </c>
      <c r="K18" s="28" t="n">
        <v>0.055</v>
      </c>
      <c r="L18" s="16"/>
    </row>
    <row r="19" customFormat="false" ht="15.75" hidden="false" customHeight="false" outlineLevel="0" collapsed="false">
      <c r="A19" s="1"/>
      <c r="B19" s="18"/>
      <c r="C19" s="18"/>
      <c r="D19" s="18"/>
      <c r="E19" s="18"/>
      <c r="F19" s="18"/>
      <c r="G19" s="18"/>
      <c r="J19" s="7" t="s">
        <v>30</v>
      </c>
      <c r="K19" s="31" t="n">
        <f aca="false">K18+0.5%</f>
        <v>0.06</v>
      </c>
      <c r="L19" s="16"/>
    </row>
    <row r="20" customFormat="false" ht="15.75" hidden="false" customHeight="false" outlineLevel="0" collapsed="false">
      <c r="A20" s="17" t="s">
        <v>31</v>
      </c>
      <c r="B20" s="18"/>
      <c r="C20" s="18"/>
      <c r="D20" s="18"/>
      <c r="E20" s="18"/>
      <c r="F20" s="18"/>
      <c r="G20" s="18"/>
      <c r="I20" s="29"/>
    </row>
    <row r="21" customFormat="false" ht="15.75" hidden="false" customHeight="false" outlineLevel="0" collapsed="false">
      <c r="A21" s="1" t="s">
        <v>32</v>
      </c>
      <c r="B21" s="18"/>
      <c r="C21" s="21" t="n">
        <f aca="false">PMT(K15,K16,B22)</f>
        <v>-200185.357281878</v>
      </c>
      <c r="D21" s="21" t="n">
        <f aca="false">C21</f>
        <v>-200185.357281878</v>
      </c>
      <c r="E21" s="21" t="n">
        <f aca="false">D21</f>
        <v>-200185.357281878</v>
      </c>
      <c r="F21" s="21" t="n">
        <f aca="false">E21</f>
        <v>-200185.357281878</v>
      </c>
      <c r="G21" s="21" t="n">
        <f aca="false">F21</f>
        <v>-200185.357281878</v>
      </c>
      <c r="I21" s="7"/>
      <c r="J21" s="32" t="s">
        <v>33</v>
      </c>
      <c r="K21" s="33" t="n">
        <f aca="false">C10/K18</f>
        <v>4909090.90909091</v>
      </c>
    </row>
    <row r="22" customFormat="false" ht="15.75" hidden="false" customHeight="false" outlineLevel="0" collapsed="false">
      <c r="A22" s="22" t="s">
        <v>34</v>
      </c>
      <c r="B22" s="25" t="n">
        <f aca="false">-B33*L16</f>
        <v>3681818.18181818</v>
      </c>
      <c r="C22" s="26"/>
      <c r="D22" s="26"/>
      <c r="E22" s="26"/>
      <c r="F22" s="26"/>
      <c r="G22" s="25" t="n">
        <f aca="false">FV(K15,G1,G21,B22)</f>
        <v>-3299357.88720326</v>
      </c>
      <c r="I22" s="7"/>
      <c r="J22" s="32" t="s">
        <v>35</v>
      </c>
      <c r="K22" s="33" t="n">
        <f aca="false">K21/K2</f>
        <v>98181.8181818182</v>
      </c>
    </row>
    <row r="23" customFormat="false" ht="15.75" hidden="false" customHeight="false" outlineLevel="0" collapsed="false">
      <c r="A23" s="1" t="s">
        <v>36</v>
      </c>
      <c r="B23" s="21" t="n">
        <f aca="false">SUM(B21:B22)</f>
        <v>3681818.18181818</v>
      </c>
      <c r="C23" s="6" t="n">
        <f aca="false">SUM(C21:C22)</f>
        <v>-200185.357281878</v>
      </c>
      <c r="D23" s="21" t="n">
        <f aca="false">SUM(D21:D22)</f>
        <v>-200185.357281878</v>
      </c>
      <c r="E23" s="21" t="n">
        <f aca="false">SUM(E21:E22)</f>
        <v>-200185.357281878</v>
      </c>
      <c r="F23" s="21" t="n">
        <f aca="false">SUM(F21:F22)</f>
        <v>-200185.357281878</v>
      </c>
      <c r="G23" s="21" t="n">
        <f aca="false">SUM(G21:G22)</f>
        <v>-3499543.24448514</v>
      </c>
      <c r="I23" s="27"/>
    </row>
    <row r="24" customFormat="false" ht="15.75" hidden="false" customHeight="false" outlineLevel="0" collapsed="false">
      <c r="I24" s="7"/>
    </row>
    <row r="25" customFormat="false" ht="13.8" hidden="false" customHeight="false" outlineLevel="0" collapsed="false">
      <c r="A25" s="34" t="s">
        <v>37</v>
      </c>
      <c r="C25" s="18"/>
      <c r="D25" s="35"/>
      <c r="E25" s="18"/>
      <c r="G25" s="36"/>
      <c r="H25" s="18"/>
      <c r="I25" s="14"/>
      <c r="K25" s="4" t="s">
        <v>38</v>
      </c>
    </row>
    <row r="26" customFormat="false" ht="15.75" hidden="false" customHeight="false" outlineLevel="0" collapsed="false">
      <c r="A26" s="1" t="s">
        <v>39</v>
      </c>
      <c r="B26" s="21" t="n">
        <f aca="false">B7+B9</f>
        <v>0</v>
      </c>
      <c r="C26" s="21" t="n">
        <f aca="false">C7+C9</f>
        <v>270000</v>
      </c>
      <c r="D26" s="21" t="n">
        <f aca="false">C26</f>
        <v>270000</v>
      </c>
      <c r="E26" s="21" t="n">
        <f aca="false">D26</f>
        <v>270000</v>
      </c>
      <c r="F26" s="21" t="n">
        <f aca="false">E26</f>
        <v>270000</v>
      </c>
      <c r="G26" s="21" t="n">
        <f aca="false">F26</f>
        <v>270000</v>
      </c>
      <c r="H26" s="37" t="n">
        <f aca="false" t="array" ref="H26:H26">NPV(K$36,B26:G26)*(1+K$36)^G1</f>
        <v>1465630.3277937</v>
      </c>
      <c r="I26" s="7"/>
      <c r="J26" s="7" t="s">
        <v>39</v>
      </c>
      <c r="K26" s="13" t="n">
        <f aca="false">H26/SUM(H$26:H$33)*K$36</f>
        <v>0.0520139356234099</v>
      </c>
    </row>
    <row r="27" customFormat="false" ht="15.75" hidden="false" customHeight="false" outlineLevel="0" collapsed="false">
      <c r="A27" s="1" t="s">
        <v>40</v>
      </c>
      <c r="B27" s="21" t="n">
        <f aca="false">B$17</f>
        <v>-200000</v>
      </c>
      <c r="C27" s="21" t="n">
        <f aca="false">C$17</f>
        <v>-15000</v>
      </c>
      <c r="D27" s="21" t="n">
        <f aca="false">D$17</f>
        <v>-15375</v>
      </c>
      <c r="E27" s="21" t="n">
        <f aca="false">E$17</f>
        <v>-15759.375</v>
      </c>
      <c r="F27" s="21" t="n">
        <f aca="false">F$17</f>
        <v>-16153.359375</v>
      </c>
      <c r="G27" s="21" t="n">
        <f aca="false">G$17</f>
        <v>-16557.193359375</v>
      </c>
      <c r="H27" s="37" t="n">
        <f aca="false" t="array" ref="H27:H27">NPV(K$36,B27:G27)*(1+K$36)^G1</f>
        <v>-356718.365305909</v>
      </c>
      <c r="I27" s="7"/>
      <c r="J27" s="7" t="s">
        <v>40</v>
      </c>
      <c r="K27" s="13" t="n">
        <f aca="false">H27/SUM(H$26:H$33)*K$36</f>
        <v>-0.0126596221003699</v>
      </c>
    </row>
    <row r="28" customFormat="false" ht="15.75" hidden="false" customHeight="false" outlineLevel="0" collapsed="false">
      <c r="A28" s="38" t="s">
        <v>41</v>
      </c>
      <c r="B28" s="39"/>
      <c r="C28" s="39"/>
      <c r="D28" s="39"/>
      <c r="E28" s="39"/>
      <c r="F28" s="39"/>
      <c r="G28" s="40" t="n">
        <f aca="false">G10/K19-G33</f>
        <v>-596391.202200682</v>
      </c>
      <c r="H28" s="37" t="n">
        <f aca="false">SUM(B28:G28)</f>
        <v>-596391.202200682</v>
      </c>
      <c r="I28" s="41"/>
      <c r="J28" s="42" t="s">
        <v>42</v>
      </c>
      <c r="K28" s="43" t="n">
        <f aca="false">H28/SUM(H$26:H$33)*K$36</f>
        <v>-0.0211654009946229</v>
      </c>
    </row>
    <row r="29" customFormat="false" ht="13.8" hidden="false" customHeight="false" outlineLevel="0" collapsed="false">
      <c r="A29" s="1"/>
      <c r="B29" s="5"/>
      <c r="C29" s="18"/>
      <c r="D29" s="18"/>
      <c r="E29" s="18"/>
      <c r="F29" s="18"/>
      <c r="G29" s="18"/>
      <c r="H29" s="18"/>
      <c r="I29" s="7"/>
      <c r="J29" s="32" t="s">
        <v>43</v>
      </c>
      <c r="K29" s="44" t="n">
        <f aca="false">SUM(K26:K28)</f>
        <v>0.0181889125284171</v>
      </c>
    </row>
    <row r="30" customFormat="false" ht="15.75" hidden="false" customHeight="false" outlineLevel="0" collapsed="false">
      <c r="A30" s="1"/>
      <c r="B30" s="5"/>
      <c r="C30" s="18"/>
      <c r="D30" s="18"/>
      <c r="E30" s="18"/>
      <c r="F30" s="18"/>
      <c r="G30" s="18"/>
      <c r="H30" s="18"/>
      <c r="I30" s="7"/>
      <c r="J30" s="7"/>
      <c r="K30" s="45"/>
    </row>
    <row r="31" customFormat="false" ht="15.75" hidden="false" customHeight="false" outlineLevel="0" collapsed="false">
      <c r="A31" s="1" t="s">
        <v>44</v>
      </c>
      <c r="B31" s="21" t="n">
        <f aca="false">B$10-B26</f>
        <v>0</v>
      </c>
      <c r="C31" s="21" t="n">
        <f aca="false">C$10-C26</f>
        <v>0</v>
      </c>
      <c r="D31" s="21" t="n">
        <f aca="false">D$10-D26</f>
        <v>51165</v>
      </c>
      <c r="E31" s="21" t="n">
        <f aca="false">E$10-E26</f>
        <v>82807.596</v>
      </c>
      <c r="F31" s="21" t="n">
        <f aca="false">F$10-F26</f>
        <v>105431.47407</v>
      </c>
      <c r="G31" s="21" t="n">
        <f aca="false">G$10-G26</f>
        <v>123618.19345245</v>
      </c>
      <c r="H31" s="37" t="n">
        <f aca="false" t="array" ref="H31:H31">NPV(K$36,B31:G31)*(1+K$36)^G1</f>
        <v>368946.98937153</v>
      </c>
      <c r="I31" s="7"/>
      <c r="J31" s="7" t="s">
        <v>44</v>
      </c>
      <c r="K31" s="13" t="n">
        <f aca="false">H31/SUM(H$26:H$33)*K$36</f>
        <v>0.0130936052493606</v>
      </c>
    </row>
    <row r="32" customFormat="false" ht="15.75" hidden="false" customHeight="false" outlineLevel="0" collapsed="false">
      <c r="A32" s="1" t="s">
        <v>45</v>
      </c>
      <c r="B32" s="5" t="n">
        <v>0</v>
      </c>
      <c r="C32" s="21" t="n">
        <f aca="false">C$16</f>
        <v>-375000</v>
      </c>
      <c r="D32" s="21" t="n">
        <f aca="false">D$16</f>
        <v>-192187.5</v>
      </c>
      <c r="E32" s="21" t="n">
        <f aca="false">E$16</f>
        <v>-102435.9375</v>
      </c>
      <c r="F32" s="21" t="n">
        <f aca="false">F$16</f>
        <v>-56536.7578125</v>
      </c>
      <c r="G32" s="21" t="n">
        <f aca="false">G$16</f>
        <v>-33114.38671875</v>
      </c>
      <c r="H32" s="37" t="n">
        <f aca="false" t="array" ref="H32:H32">NPV(K$36,B32:G32)*(1+K$36)^G1</f>
        <v>-893215.655255167</v>
      </c>
      <c r="I32" s="7"/>
      <c r="J32" s="7" t="s">
        <v>45</v>
      </c>
      <c r="K32" s="13" t="n">
        <f aca="false">H32/SUM(H$26:H$33)*K$36</f>
        <v>-0.0316994406496777</v>
      </c>
    </row>
    <row r="33" customFormat="false" ht="15.75" hidden="false" customHeight="false" outlineLevel="0" collapsed="false">
      <c r="A33" s="1" t="s">
        <v>46</v>
      </c>
      <c r="B33" s="6" t="n">
        <f aca="false">-K21</f>
        <v>-4909090.90909091</v>
      </c>
      <c r="C33" s="18"/>
      <c r="D33" s="18"/>
      <c r="E33" s="18"/>
      <c r="G33" s="6" t="n">
        <f aca="false">G10/K$18</f>
        <v>7156694.42640818</v>
      </c>
      <c r="H33" s="37" t="n">
        <f aca="false">SUM(B33:G33)</f>
        <v>2247603.51731727</v>
      </c>
      <c r="I33" s="7"/>
      <c r="J33" s="46" t="s">
        <v>47</v>
      </c>
      <c r="K33" s="43" t="n">
        <f aca="false">H33/SUM(H$26:H$33)*K$36</f>
        <v>0.0797654786747464</v>
      </c>
    </row>
    <row r="34" customFormat="false" ht="15.75" hidden="false" customHeight="false" outlineLevel="0" collapsed="false">
      <c r="A34" s="38"/>
      <c r="C34" s="39"/>
      <c r="D34" s="39"/>
      <c r="E34" s="39"/>
      <c r="F34" s="39"/>
      <c r="G34" s="39"/>
      <c r="I34" s="41"/>
      <c r="J34" s="47" t="s">
        <v>48</v>
      </c>
      <c r="K34" s="48" t="n">
        <f aca="false">SUM(K31:K33)</f>
        <v>0.0611596432744293</v>
      </c>
    </row>
    <row r="35" customFormat="false" ht="15.75" hidden="false" customHeight="false" outlineLevel="0" collapsed="false">
      <c r="A35" s="38"/>
      <c r="B35" s="39"/>
      <c r="C35" s="39"/>
      <c r="D35" s="39"/>
      <c r="E35" s="39"/>
      <c r="F35" s="39"/>
      <c r="G35" s="39"/>
      <c r="I35" s="41"/>
      <c r="J35" s="41"/>
      <c r="K35" s="49"/>
      <c r="M35" s="50"/>
    </row>
    <row r="36" customFormat="false" ht="15.75" hidden="false" customHeight="false" outlineLevel="0" collapsed="false">
      <c r="A36" s="51" t="s">
        <v>49</v>
      </c>
      <c r="B36" s="52" t="n">
        <f aca="false">SUM(B26:B33)</f>
        <v>-5109090.90909091</v>
      </c>
      <c r="C36" s="52" t="n">
        <f aca="false">SUM(C26:C33)</f>
        <v>-120000</v>
      </c>
      <c r="D36" s="52" t="n">
        <f aca="false">SUM(D26:D33)</f>
        <v>113602.5</v>
      </c>
      <c r="E36" s="52" t="n">
        <f aca="false">SUM(E26:E33)</f>
        <v>234612.2835</v>
      </c>
      <c r="F36" s="52" t="n">
        <f aca="false">SUM(F26:F33)</f>
        <v>302741.3568825</v>
      </c>
      <c r="G36" s="52" t="n">
        <f aca="false">SUM(G26:G33)</f>
        <v>6904249.83758182</v>
      </c>
      <c r="H36" s="53"/>
      <c r="I36" s="47"/>
      <c r="J36" s="47" t="s">
        <v>50</v>
      </c>
      <c r="K36" s="48" t="n">
        <f aca="false">IRR(B36:G36)</f>
        <v>0.0793485558028463</v>
      </c>
      <c r="L36" s="54"/>
      <c r="M36" s="50"/>
    </row>
    <row r="37" customFormat="false" ht="15.75" hidden="false" customHeight="false" outlineLevel="0" collapsed="false">
      <c r="A37" s="22" t="s">
        <v>31</v>
      </c>
      <c r="B37" s="25" t="n">
        <f aca="false">B23</f>
        <v>3681818.18181818</v>
      </c>
      <c r="C37" s="25" t="n">
        <f aca="false">C23</f>
        <v>-200185.357281878</v>
      </c>
      <c r="D37" s="25" t="n">
        <f aca="false">D23</f>
        <v>-200185.357281878</v>
      </c>
      <c r="E37" s="25" t="n">
        <f aca="false">E23</f>
        <v>-200185.357281878</v>
      </c>
      <c r="F37" s="25" t="n">
        <f aca="false">F23</f>
        <v>-200185.357281878</v>
      </c>
      <c r="G37" s="25" t="n">
        <f aca="false">G23</f>
        <v>-3499543.24448514</v>
      </c>
      <c r="I37" s="41"/>
      <c r="J37" s="42" t="s">
        <v>31</v>
      </c>
      <c r="K37" s="55" t="n">
        <f aca="false">K38-K36</f>
        <v>0.0710440562774311</v>
      </c>
      <c r="M37" s="50"/>
    </row>
    <row r="38" customFormat="false" ht="15.75" hidden="false" customHeight="false" outlineLevel="0" collapsed="false">
      <c r="A38" s="56" t="s">
        <v>51</v>
      </c>
      <c r="B38" s="37" t="n">
        <f aca="false">SUM(B36:B37)</f>
        <v>-1427272.72727273</v>
      </c>
      <c r="C38" s="37" t="n">
        <f aca="false">SUM(C36:C37)</f>
        <v>-320185.357281878</v>
      </c>
      <c r="D38" s="37" t="n">
        <f aca="false">SUM(D36:D37)</f>
        <v>-86582.8572818776</v>
      </c>
      <c r="E38" s="37" t="n">
        <f aca="false">SUM(E36:E37)</f>
        <v>34426.9262181224</v>
      </c>
      <c r="F38" s="37" t="n">
        <f aca="false">SUM(F36:F37)</f>
        <v>102555.999600622</v>
      </c>
      <c r="G38" s="37" t="n">
        <f aca="false">SUM(G36:G37)</f>
        <v>3404706.59309668</v>
      </c>
      <c r="H38" s="53"/>
      <c r="I38" s="47"/>
      <c r="J38" s="47" t="s">
        <v>52</v>
      </c>
      <c r="K38" s="48" t="n">
        <f aca="false">IRR(B38:G38)</f>
        <v>0.150392612080277</v>
      </c>
    </row>
    <row r="39" customFormat="false" ht="15.75" hidden="false" customHeight="false" outlineLevel="0" collapsed="false">
      <c r="A39" s="1" t="s">
        <v>53</v>
      </c>
      <c r="B39" s="57"/>
      <c r="C39" s="58" t="n">
        <f aca="false">-C38/$B38</f>
        <v>-0.224333689815328</v>
      </c>
      <c r="D39" s="58" t="n">
        <f aca="false">-D38/$B38</f>
        <v>-0.0606631484140543</v>
      </c>
      <c r="E39" s="58" t="n">
        <f aca="false">-E38/$B38</f>
        <v>0.0241207763311686</v>
      </c>
      <c r="F39" s="58" t="n">
        <f aca="false">-F38/$B38</f>
        <v>0.0718545220131749</v>
      </c>
      <c r="G39" s="58" t="n">
        <f aca="false">-G38/$B38</f>
        <v>2.38546321809322</v>
      </c>
      <c r="H39" s="59"/>
      <c r="I39" s="49"/>
      <c r="J39" s="49" t="s">
        <v>54</v>
      </c>
      <c r="K39" s="60" t="n">
        <f aca="false">SUM(C39:G39)</f>
        <v>2.19644167820818</v>
      </c>
    </row>
    <row r="40" customFormat="false" ht="15.75" hidden="false" customHeight="false" outlineLevel="0" collapsed="false">
      <c r="B40" s="18"/>
      <c r="C40" s="18"/>
      <c r="H40" s="59"/>
      <c r="I40" s="49"/>
      <c r="J40" s="49"/>
      <c r="K40" s="61"/>
    </row>
    <row r="41" customFormat="false" ht="15.75" hidden="false" customHeight="false" outlineLevel="0" collapsed="false">
      <c r="A41" s="1" t="s">
        <v>55</v>
      </c>
      <c r="B41" s="18"/>
      <c r="C41" s="12" t="n">
        <f aca="false">-C10/C21</f>
        <v>1.34874999683327</v>
      </c>
      <c r="D41" s="12" t="n">
        <f aca="false">-D10/D21</f>
        <v>1.60433812123318</v>
      </c>
      <c r="E41" s="12" t="n">
        <f aca="false">-E10/E21</f>
        <v>1.76240460736205</v>
      </c>
      <c r="F41" s="12" t="n">
        <f aca="false">-F10/F21</f>
        <v>1.87541925727046</v>
      </c>
      <c r="G41" s="12" t="n">
        <f aca="false">-G10/G21</f>
        <v>1.96626865619448</v>
      </c>
      <c r="H41" s="27"/>
      <c r="J41" s="7" t="s">
        <v>56</v>
      </c>
      <c r="K41" s="9" t="n">
        <v>0.1</v>
      </c>
    </row>
    <row r="42" customFormat="false" ht="15.75" hidden="false" customHeight="false" outlineLevel="0" collapsed="false">
      <c r="A42" s="1" t="s">
        <v>57</v>
      </c>
      <c r="C42" s="62" t="n">
        <f aca="false">C10/$B23</f>
        <v>0.0733333333333333</v>
      </c>
      <c r="D42" s="62" t="n">
        <f aca="false">D10/$B23</f>
        <v>0.08723</v>
      </c>
      <c r="E42" s="62" t="n">
        <f aca="false">E10/$B23</f>
        <v>0.0958242853333333</v>
      </c>
      <c r="F42" s="62" t="n">
        <f aca="false">F10/$B23</f>
        <v>0.10196904234</v>
      </c>
      <c r="G42" s="62" t="n">
        <f aca="false">G10/$B23</f>
        <v>0.106908645135233</v>
      </c>
      <c r="H42" s="63"/>
      <c r="I42" s="63"/>
      <c r="J42" s="7" t="s">
        <v>58</v>
      </c>
      <c r="K42" s="21" t="n">
        <f aca="false" t="array" ref="K42:K42">NPV(K41,C38:G38)+B38</f>
        <v>420061.104086729</v>
      </c>
    </row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2020-05-09T11:37:13Z</dcterms:modified>
  <cp:revision>1</cp:revision>
  <dc:subject/>
  <dc:title/>
</cp:coreProperties>
</file>