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A213B65A-920E-42FA-846F-0695327290AB}" xr6:coauthVersionLast="47" xr6:coauthVersionMax="47" xr10:uidLastSave="{00000000-0000-0000-0000-000000000000}"/>
  <bookViews>
    <workbookView xWindow="-108" yWindow="-108" windowWidth="23256" windowHeight="12456" activeTab="2" xr2:uid="{F59D9EA6-31E6-4D8C-9410-A8BE9A94645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6" i="3" l="1"/>
  <c r="H126" i="3"/>
  <c r="G126" i="3"/>
  <c r="I124" i="3"/>
  <c r="H124" i="3"/>
  <c r="G124" i="3"/>
  <c r="I125" i="3"/>
  <c r="H125" i="3"/>
  <c r="G125" i="3"/>
  <c r="I123" i="3"/>
  <c r="H123" i="3"/>
  <c r="G123" i="3"/>
  <c r="I122" i="3"/>
  <c r="H122" i="3"/>
  <c r="G122" i="3"/>
  <c r="I121" i="3"/>
  <c r="H121" i="3"/>
  <c r="G121" i="3"/>
  <c r="I120" i="3"/>
  <c r="I130" i="3" s="1"/>
  <c r="H120" i="3"/>
  <c r="G120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B130" i="3" s="1"/>
  <c r="D121" i="3"/>
  <c r="C121" i="3"/>
  <c r="B121" i="3"/>
  <c r="D120" i="3"/>
  <c r="D130" i="3" s="1"/>
  <c r="C120" i="3"/>
  <c r="B120" i="3"/>
  <c r="I113" i="3"/>
  <c r="H113" i="3"/>
  <c r="G113" i="3"/>
  <c r="I112" i="3"/>
  <c r="H112" i="3"/>
  <c r="G112" i="3"/>
  <c r="H117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I117" i="3" s="1"/>
  <c r="H107" i="3"/>
  <c r="G107" i="3"/>
  <c r="I99" i="3"/>
  <c r="H99" i="3"/>
  <c r="G99" i="3"/>
  <c r="D112" i="3"/>
  <c r="C112" i="3"/>
  <c r="B112" i="3"/>
  <c r="D111" i="3"/>
  <c r="C111" i="3"/>
  <c r="B111" i="3"/>
  <c r="D110" i="3"/>
  <c r="C110" i="3"/>
  <c r="B110" i="3"/>
  <c r="B117" i="3" s="1"/>
  <c r="D109" i="3"/>
  <c r="C109" i="3"/>
  <c r="B109" i="3"/>
  <c r="D108" i="3"/>
  <c r="C108" i="3"/>
  <c r="B108" i="3"/>
  <c r="D107" i="3"/>
  <c r="C107" i="3"/>
  <c r="B107" i="3"/>
  <c r="K25" i="3"/>
  <c r="J25" i="3"/>
  <c r="K24" i="3"/>
  <c r="J24" i="3"/>
  <c r="D99" i="3"/>
  <c r="C99" i="3"/>
  <c r="B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H104" i="3" s="1"/>
  <c r="G94" i="3"/>
  <c r="G104" i="3" s="1"/>
  <c r="D98" i="3"/>
  <c r="C98" i="3"/>
  <c r="B98" i="3"/>
  <c r="D97" i="3"/>
  <c r="C97" i="3"/>
  <c r="B97" i="3"/>
  <c r="D96" i="3"/>
  <c r="C96" i="3"/>
  <c r="B96" i="3"/>
  <c r="D95" i="3"/>
  <c r="C95" i="3"/>
  <c r="B95" i="3"/>
  <c r="B104" i="3" s="1"/>
  <c r="D94" i="3"/>
  <c r="D104" i="3" s="1"/>
  <c r="C94" i="3"/>
  <c r="B94" i="3"/>
  <c r="G87" i="3"/>
  <c r="H87" i="3"/>
  <c r="I87" i="3"/>
  <c r="K23" i="3"/>
  <c r="J23" i="3"/>
  <c r="I85" i="3"/>
  <c r="H85" i="3"/>
  <c r="G85" i="3"/>
  <c r="I86" i="3"/>
  <c r="G86" i="3"/>
  <c r="H86" i="3"/>
  <c r="I84" i="3"/>
  <c r="H84" i="3"/>
  <c r="G84" i="3"/>
  <c r="I83" i="3"/>
  <c r="H83" i="3"/>
  <c r="G83" i="3"/>
  <c r="I82" i="3"/>
  <c r="H82" i="3"/>
  <c r="G82" i="3"/>
  <c r="I81" i="3"/>
  <c r="H81" i="3"/>
  <c r="G81" i="3"/>
  <c r="D86" i="3"/>
  <c r="C86" i="3"/>
  <c r="B86" i="3"/>
  <c r="K22" i="3"/>
  <c r="J22" i="3"/>
  <c r="D84" i="3"/>
  <c r="C84" i="3"/>
  <c r="B84" i="3"/>
  <c r="B85" i="3"/>
  <c r="C85" i="3"/>
  <c r="D85" i="3"/>
  <c r="O69" i="3"/>
  <c r="D83" i="3"/>
  <c r="C83" i="3"/>
  <c r="B83" i="3"/>
  <c r="D82" i="3"/>
  <c r="D91" i="3" s="1"/>
  <c r="C82" i="3"/>
  <c r="B82" i="3"/>
  <c r="D81" i="3"/>
  <c r="C81" i="3"/>
  <c r="C91" i="3" s="1"/>
  <c r="B81" i="3"/>
  <c r="B91" i="3" s="1"/>
  <c r="K21" i="3"/>
  <c r="J21" i="3"/>
  <c r="J20" i="3"/>
  <c r="K20" i="3"/>
  <c r="K19" i="3"/>
  <c r="J19" i="3"/>
  <c r="K18" i="3"/>
  <c r="J18" i="3"/>
  <c r="Q73" i="3"/>
  <c r="P73" i="3"/>
  <c r="O73" i="3"/>
  <c r="Q50" i="3"/>
  <c r="P50" i="3"/>
  <c r="O50" i="3"/>
  <c r="Q49" i="3"/>
  <c r="P49" i="3"/>
  <c r="O49" i="3"/>
  <c r="Q47" i="3"/>
  <c r="P47" i="3"/>
  <c r="O47" i="3"/>
  <c r="Q72" i="3"/>
  <c r="P72" i="3"/>
  <c r="O72" i="3"/>
  <c r="Q71" i="3"/>
  <c r="P71" i="3"/>
  <c r="O71" i="3"/>
  <c r="Q69" i="3"/>
  <c r="P69" i="3"/>
  <c r="Q70" i="3"/>
  <c r="P70" i="3"/>
  <c r="O70" i="3"/>
  <c r="Q68" i="3"/>
  <c r="P68" i="3"/>
  <c r="O68" i="3"/>
  <c r="O74" i="3" s="1"/>
  <c r="Q67" i="3"/>
  <c r="P67" i="3"/>
  <c r="O67" i="3"/>
  <c r="Q66" i="3"/>
  <c r="Q74" i="3" s="1"/>
  <c r="P66" i="3"/>
  <c r="O66" i="3"/>
  <c r="K17" i="3"/>
  <c r="J17" i="3"/>
  <c r="O62" i="3"/>
  <c r="P62" i="3"/>
  <c r="Q62" i="3"/>
  <c r="Q59" i="3"/>
  <c r="P59" i="3"/>
  <c r="O58" i="3"/>
  <c r="P58" i="3"/>
  <c r="Q58" i="3"/>
  <c r="Q56" i="3"/>
  <c r="P56" i="3"/>
  <c r="O56" i="3"/>
  <c r="O59" i="3"/>
  <c r="O48" i="3"/>
  <c r="P48" i="3"/>
  <c r="Q48" i="3"/>
  <c r="Q51" i="3"/>
  <c r="P51" i="3"/>
  <c r="O51" i="3"/>
  <c r="Q46" i="3"/>
  <c r="P46" i="3"/>
  <c r="O46" i="3"/>
  <c r="D75" i="3"/>
  <c r="C75" i="3"/>
  <c r="B75" i="3"/>
  <c r="C76" i="3"/>
  <c r="D76" i="3"/>
  <c r="B76" i="3"/>
  <c r="K16" i="3"/>
  <c r="J16" i="3"/>
  <c r="B68" i="3"/>
  <c r="C68" i="3"/>
  <c r="D68" i="3"/>
  <c r="D62" i="3"/>
  <c r="C62" i="3"/>
  <c r="B62" i="3"/>
  <c r="D50" i="3"/>
  <c r="C50" i="3"/>
  <c r="B50" i="3"/>
  <c r="I70" i="3"/>
  <c r="H70" i="3"/>
  <c r="G70" i="3"/>
  <c r="I69" i="3"/>
  <c r="H69" i="3"/>
  <c r="G69" i="3"/>
  <c r="H68" i="3"/>
  <c r="G68" i="3"/>
  <c r="I63" i="3"/>
  <c r="H63" i="3"/>
  <c r="G63" i="3"/>
  <c r="H62" i="3"/>
  <c r="G62" i="3"/>
  <c r="I57" i="3"/>
  <c r="H57" i="3"/>
  <c r="G57" i="3"/>
  <c r="I47" i="3"/>
  <c r="H47" i="3"/>
  <c r="G47" i="3"/>
  <c r="H46" i="3"/>
  <c r="G46" i="3"/>
  <c r="H56" i="3"/>
  <c r="G56" i="3"/>
  <c r="I49" i="3"/>
  <c r="H49" i="3"/>
  <c r="G49" i="3"/>
  <c r="I48" i="3"/>
  <c r="H48" i="3"/>
  <c r="G48" i="3"/>
  <c r="B46" i="3"/>
  <c r="C46" i="3"/>
  <c r="B47" i="3"/>
  <c r="C47" i="3"/>
  <c r="D47" i="3"/>
  <c r="D48" i="3"/>
  <c r="C48" i="3"/>
  <c r="B48" i="3"/>
  <c r="D49" i="3"/>
  <c r="C49" i="3"/>
  <c r="B49" i="3"/>
  <c r="U33" i="3"/>
  <c r="T33" i="3"/>
  <c r="D40" i="3"/>
  <c r="C40" i="3"/>
  <c r="B40" i="3"/>
  <c r="D41" i="3"/>
  <c r="C41" i="3"/>
  <c r="B41" i="3"/>
  <c r="D39" i="3"/>
  <c r="C39" i="3"/>
  <c r="B39" i="3"/>
  <c r="D38" i="3"/>
  <c r="B38" i="3"/>
  <c r="D37" i="3"/>
  <c r="C37" i="3"/>
  <c r="B37" i="3"/>
  <c r="D29" i="3"/>
  <c r="C29" i="3"/>
  <c r="B29" i="3"/>
  <c r="D30" i="3"/>
  <c r="C30" i="3"/>
  <c r="B30" i="3"/>
  <c r="D28" i="3"/>
  <c r="C28" i="3"/>
  <c r="B28" i="3"/>
  <c r="D27" i="3"/>
  <c r="B27" i="3"/>
  <c r="D26" i="3"/>
  <c r="C26" i="3"/>
  <c r="B26" i="3"/>
  <c r="V48" i="3"/>
  <c r="U48" i="3"/>
  <c r="T48" i="3"/>
  <c r="V47" i="3"/>
  <c r="U47" i="3"/>
  <c r="T47" i="3"/>
  <c r="V43" i="3"/>
  <c r="U43" i="3"/>
  <c r="T43" i="3"/>
  <c r="V37" i="3"/>
  <c r="U37" i="3"/>
  <c r="T37" i="3"/>
  <c r="T36" i="3"/>
  <c r="V34" i="3"/>
  <c r="U34" i="3"/>
  <c r="T34" i="3"/>
  <c r="V36" i="3"/>
  <c r="U36" i="3"/>
  <c r="V35" i="3"/>
  <c r="U35" i="3"/>
  <c r="T35" i="3"/>
  <c r="R10" i="3"/>
  <c r="R11" i="3"/>
  <c r="R12" i="3"/>
  <c r="R9" i="3"/>
  <c r="Q10" i="3"/>
  <c r="S10" i="3" s="1"/>
  <c r="Q11" i="3"/>
  <c r="S11" i="3" s="1"/>
  <c r="Q12" i="3"/>
  <c r="S12" i="3" s="1"/>
  <c r="Q9" i="3"/>
  <c r="S9" i="3" s="1"/>
  <c r="I3" i="3"/>
  <c r="K3" i="3" s="1"/>
  <c r="V28" i="3"/>
  <c r="U28" i="3"/>
  <c r="T28" i="3"/>
  <c r="V25" i="3"/>
  <c r="U25" i="3"/>
  <c r="T25" i="3"/>
  <c r="Q35" i="3"/>
  <c r="P35" i="3"/>
  <c r="O35" i="3"/>
  <c r="Q34" i="3"/>
  <c r="P34" i="3"/>
  <c r="O34" i="3"/>
  <c r="P33" i="3"/>
  <c r="O33" i="3"/>
  <c r="Q36" i="3"/>
  <c r="P36" i="3"/>
  <c r="O36" i="3"/>
  <c r="V24" i="3"/>
  <c r="U24" i="3"/>
  <c r="T24" i="3"/>
  <c r="U23" i="3"/>
  <c r="T23" i="3"/>
  <c r="V26" i="3"/>
  <c r="U26" i="3"/>
  <c r="T26" i="3"/>
  <c r="K15" i="3"/>
  <c r="J15" i="3"/>
  <c r="Q25" i="3"/>
  <c r="P25" i="3"/>
  <c r="O25" i="3"/>
  <c r="Q26" i="3"/>
  <c r="P26" i="3"/>
  <c r="O26" i="3"/>
  <c r="Q24" i="3"/>
  <c r="P24" i="3"/>
  <c r="O24" i="3"/>
  <c r="P23" i="3"/>
  <c r="O23" i="3"/>
  <c r="Q27" i="3"/>
  <c r="P27" i="3"/>
  <c r="O27" i="3"/>
  <c r="K14" i="3"/>
  <c r="J14" i="3"/>
  <c r="K13" i="3"/>
  <c r="J13" i="3"/>
  <c r="K12" i="3"/>
  <c r="J12" i="3"/>
  <c r="K5" i="3"/>
  <c r="K6" i="3"/>
  <c r="K7" i="3"/>
  <c r="K8" i="3"/>
  <c r="K9" i="3"/>
  <c r="J5" i="3"/>
  <c r="J6" i="3"/>
  <c r="J7" i="3"/>
  <c r="J8" i="3"/>
  <c r="J9" i="3"/>
  <c r="K11" i="3"/>
  <c r="J11" i="3"/>
  <c r="K10" i="3"/>
  <c r="J10" i="3"/>
  <c r="D19" i="3"/>
  <c r="C19" i="3"/>
  <c r="B19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B23" i="2"/>
  <c r="I25" i="2"/>
  <c r="H25" i="2"/>
  <c r="G25" i="2"/>
  <c r="I24" i="2"/>
  <c r="H24" i="2"/>
  <c r="G24" i="2"/>
  <c r="I23" i="2"/>
  <c r="G23" i="2"/>
  <c r="I22" i="2"/>
  <c r="G22" i="2"/>
  <c r="S17" i="2"/>
  <c r="R17" i="2"/>
  <c r="Q17" i="2"/>
  <c r="S16" i="2"/>
  <c r="S15" i="2"/>
  <c r="Q15" i="2"/>
  <c r="N24" i="2"/>
  <c r="M24" i="2"/>
  <c r="L24" i="2"/>
  <c r="N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P32" i="1"/>
  <c r="O32" i="1"/>
  <c r="N32" i="1"/>
  <c r="P30" i="1"/>
  <c r="O30" i="1"/>
  <c r="N30" i="1"/>
  <c r="O29" i="1"/>
  <c r="O22" i="1"/>
  <c r="N22" i="1"/>
  <c r="P23" i="1"/>
  <c r="O23" i="1"/>
  <c r="O20" i="1"/>
  <c r="J20" i="1"/>
  <c r="N23" i="1"/>
  <c r="P21" i="1"/>
  <c r="O21" i="1"/>
  <c r="N21" i="1"/>
  <c r="K22" i="1"/>
  <c r="J22" i="1"/>
  <c r="I22" i="1"/>
  <c r="K21" i="1"/>
  <c r="J21" i="1"/>
  <c r="I21" i="1"/>
  <c r="P13" i="1"/>
  <c r="O13" i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G130" i="3" l="1"/>
  <c r="H130" i="3"/>
  <c r="C130" i="3"/>
  <c r="H91" i="3"/>
  <c r="C104" i="3"/>
  <c r="P74" i="3"/>
  <c r="I91" i="3"/>
  <c r="G91" i="3"/>
  <c r="I104" i="3"/>
  <c r="Q63" i="3"/>
  <c r="G117" i="3"/>
  <c r="C117" i="3"/>
  <c r="D117" i="3"/>
  <c r="O63" i="3"/>
  <c r="P63" i="3"/>
  <c r="C53" i="3"/>
  <c r="C59" i="3" s="1"/>
  <c r="G53" i="3"/>
  <c r="G71" i="3" s="1"/>
  <c r="O53" i="3"/>
  <c r="B53" i="3"/>
  <c r="B71" i="3" s="1"/>
  <c r="B32" i="3"/>
  <c r="P53" i="3"/>
  <c r="C71" i="3"/>
  <c r="C32" i="3"/>
  <c r="I56" i="3"/>
  <c r="I62" i="3"/>
  <c r="H53" i="3"/>
  <c r="H71" i="3" s="1"/>
  <c r="C43" i="3"/>
  <c r="D46" i="3"/>
  <c r="D53" i="3" s="1"/>
  <c r="I68" i="3"/>
  <c r="D32" i="3"/>
  <c r="C65" i="3"/>
  <c r="I46" i="3"/>
  <c r="I53" i="3" s="1"/>
  <c r="H59" i="3"/>
  <c r="Q23" i="3"/>
  <c r="Q30" i="3" s="1"/>
  <c r="I15" i="1"/>
  <c r="V33" i="3"/>
  <c r="V40" i="3" s="1"/>
  <c r="V44" i="3" s="1"/>
  <c r="D43" i="3"/>
  <c r="B43" i="3"/>
  <c r="S19" i="2"/>
  <c r="E5" i="2" s="1"/>
  <c r="N25" i="1"/>
  <c r="Q16" i="2"/>
  <c r="Q19" i="2" s="1"/>
  <c r="E3" i="2" s="1"/>
  <c r="O16" i="1"/>
  <c r="O25" i="1"/>
  <c r="N34" i="1"/>
  <c r="L23" i="2"/>
  <c r="L26" i="2" s="1"/>
  <c r="H3" i="2" s="1"/>
  <c r="P25" i="1"/>
  <c r="I19" i="2"/>
  <c r="C5" i="2" s="1"/>
  <c r="T40" i="3"/>
  <c r="T44" i="3" s="1"/>
  <c r="U40" i="3"/>
  <c r="U44" i="3" s="1"/>
  <c r="V23" i="3"/>
  <c r="V30" i="3" s="1"/>
  <c r="Q33" i="3"/>
  <c r="Q40" i="3" s="1"/>
  <c r="O30" i="3"/>
  <c r="B22" i="3"/>
  <c r="O40" i="3"/>
  <c r="P40" i="3"/>
  <c r="T30" i="3"/>
  <c r="U30" i="3"/>
  <c r="P30" i="3"/>
  <c r="C22" i="3"/>
  <c r="D13" i="3"/>
  <c r="D15" i="3" s="1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D26" i="2"/>
  <c r="F5" i="2" s="1"/>
  <c r="M23" i="2"/>
  <c r="M26" i="2" s="1"/>
  <c r="H4" i="2" s="1"/>
  <c r="P34" i="1"/>
  <c r="B16" i="2"/>
  <c r="B19" i="2" s="1"/>
  <c r="B3" i="2" s="1"/>
  <c r="D19" i="2"/>
  <c r="B5" i="2" s="1"/>
  <c r="G16" i="2"/>
  <c r="G19" i="2" s="1"/>
  <c r="C3" i="2" s="1"/>
  <c r="R16" i="2"/>
  <c r="R19" i="2" s="1"/>
  <c r="E4" i="2" s="1"/>
  <c r="G26" i="2"/>
  <c r="G3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I26" i="2"/>
  <c r="G5" i="2" s="1"/>
  <c r="B26" i="2"/>
  <c r="F3" i="2" s="1"/>
  <c r="N19" i="2"/>
  <c r="D5" i="2" s="1"/>
  <c r="M19" i="2"/>
  <c r="D4" i="2" s="1"/>
  <c r="L19" i="2"/>
  <c r="D3" i="2" s="1"/>
  <c r="I24" i="1"/>
  <c r="B77" i="3" l="1"/>
  <c r="B59" i="3"/>
  <c r="G59" i="3"/>
  <c r="C77" i="3"/>
  <c r="G65" i="3"/>
  <c r="B65" i="3"/>
  <c r="I71" i="3"/>
  <c r="D71" i="3"/>
  <c r="D77" i="3"/>
  <c r="D59" i="3"/>
  <c r="D65" i="3"/>
  <c r="I59" i="3"/>
  <c r="H65" i="3"/>
  <c r="I65" i="3"/>
  <c r="B7" i="2"/>
  <c r="B9" i="2"/>
  <c r="V49" i="3"/>
  <c r="U49" i="3"/>
  <c r="T49" i="3"/>
  <c r="B8" i="2"/>
  <c r="Q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<sst xmlns="http://schemas.openxmlformats.org/spreadsheetml/2006/main" count="528" uniqueCount="186">
  <si>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</si>
  <si>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</si>
  <si>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</si>
  <si>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</si>
  <si>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</si>
  <si>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</si>
  <si>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</si>
  <si>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</si>
  <si>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</si>
  <si>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</si>
  <si>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</si>
  <si>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</si>
  <si>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</si>
  <si>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</si>
  <si>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</si>
  <si>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</si>
  <si>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</si>
  <si>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</si>
  <si>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</si>
  <si>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</si>
  <si>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</si>
  <si>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</si>
  <si>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</si>
  <si>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</si>
  <si>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</si>
  <si>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</si>
  <si>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</si>
  <si>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</si>
  <si>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</si>
  <si>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</si>
  <si>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</si>
  <si>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</si>
  <si>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</si>
  <si>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</si>
  <si>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</si>
  <si>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</si>
  <si>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</si>
  <si>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</si>
  <si>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</si>
  <si>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</si>
  <si>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</si>
  <si>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</si>
  <si>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</si>
  <si>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</si>
  <si>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</si>
  <si>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</si>
  <si>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</si>
  <si>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</si>
  <si>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</si>
  <si>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</si>
  <si>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</si>
  <si>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</si>
  <si>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</si>
  <si>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</si>
  <si>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</si>
  <si>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</si>
  <si>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</si>
  <si>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</si>
  <si>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</si>
  <si>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</si>
  <si>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</si>
  <si>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</si>
  <si>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</si>
  <si>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</si>
  <si>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</si>
  <si>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</si>
  <si>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</si>
  <si>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</si>
  <si>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</si>
  <si>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</si>
  <si>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</si>
  <si>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</si>
  <si>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</si>
  <si>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</si>
  <si>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</si>
  <si>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</si>
  <si>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</si>
  <si>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</si>
  <si>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</si>
  <si>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</si>
  <si>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</si>
  <si>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</si>
  <si>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</si>
  <si>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</si>
  <si>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</si>
  <si>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</si>
  <si>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</si>
  <si>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</si>
  <si>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</si>
  <si>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</si>
  <si>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</si>
  <si>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</si>
  <si>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</si>
  <si>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</si>
  <si>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</si>
  <si>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</si>
  <si>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</si>
  <si>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</si>
  <si>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</si>
  <si>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</si>
  <si>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</si>
  <si>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</si>
  <si>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</si>
  <si>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</si>
  <si>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100g di gnocchi smart</t>
  </si>
  <si>
    <t>200g gnocchi smart</t>
  </si>
  <si>
    <t>cena test</t>
  </si>
  <si>
    <t xml:space="preserve">pro </t>
  </si>
  <si>
    <t>100g pasta smart</t>
  </si>
  <si>
    <t>100g yogurt bianco s</t>
  </si>
  <si>
    <t>wurstel</t>
  </si>
  <si>
    <t>merluzzo smart</t>
  </si>
  <si>
    <t>100ml latte esse</t>
  </si>
  <si>
    <t>70g prot veg myp abb</t>
  </si>
  <si>
    <t>500ml latte esse</t>
  </si>
  <si>
    <t>1 scatoletta di tonno</t>
  </si>
  <si>
    <t>100g uova smart</t>
  </si>
  <si>
    <t>2 wurstel penny</t>
  </si>
  <si>
    <t>105g prot veg myp abb</t>
  </si>
  <si>
    <t>3 scoops</t>
  </si>
  <si>
    <t>750ml latte esse</t>
  </si>
  <si>
    <t>4scoops</t>
  </si>
  <si>
    <t>1L latte esse</t>
  </si>
  <si>
    <t>vegan blend abb</t>
  </si>
  <si>
    <t>confronto proteine</t>
  </si>
  <si>
    <t>veg fragola</t>
  </si>
  <si>
    <t>veg no gusto</t>
  </si>
  <si>
    <t>whey mirtillo lampone</t>
  </si>
  <si>
    <t>whey no gusto</t>
  </si>
  <si>
    <t>100g</t>
  </si>
  <si>
    <t>2 scoops</t>
  </si>
  <si>
    <t>70g prot whey no g</t>
  </si>
  <si>
    <t>250g yogurt bianco s</t>
  </si>
  <si>
    <t>cena</t>
  </si>
  <si>
    <t>tot</t>
  </si>
  <si>
    <t>50g pane</t>
  </si>
  <si>
    <t>temporaneo</t>
  </si>
  <si>
    <t>2 scat tonno</t>
  </si>
  <si>
    <t>500g yogurt bianco s</t>
  </si>
  <si>
    <t>4,5 wurstel penny</t>
  </si>
  <si>
    <t>4 wurstel smart maxi</t>
  </si>
  <si>
    <t>1 wurstel smart maxi</t>
  </si>
  <si>
    <t>2 wurstel smart maxi</t>
  </si>
  <si>
    <t>cena 1</t>
  </si>
  <si>
    <t>cena 2</t>
  </si>
  <si>
    <t>35g prot whey no g</t>
  </si>
  <si>
    <t>250ml latte esse</t>
  </si>
  <si>
    <t>test 1</t>
  </si>
  <si>
    <t>test 2</t>
  </si>
  <si>
    <t>cena 3</t>
  </si>
  <si>
    <t>2 uova smart</t>
  </si>
  <si>
    <t>cena 4</t>
  </si>
  <si>
    <t>no yogurt</t>
  </si>
  <si>
    <t>100g sottilette sm (5 fette)</t>
  </si>
  <si>
    <t>5 sottilette smart</t>
  </si>
  <si>
    <t>100g petto di pollo smart</t>
  </si>
  <si>
    <t>random</t>
  </si>
  <si>
    <t>1/3L latte esse</t>
  </si>
  <si>
    <t>300g petto di pollo</t>
  </si>
  <si>
    <t>200g riso</t>
  </si>
  <si>
    <t>100g sott sm (5 fette)</t>
  </si>
  <si>
    <t>200g riso basm smart</t>
  </si>
  <si>
    <t>400g petto di pollo sm</t>
  </si>
  <si>
    <t>100g fuso di tacchino</t>
  </si>
  <si>
    <t>test 3</t>
  </si>
  <si>
    <t>200g petto di pollo</t>
  </si>
  <si>
    <t>100g riso basm smart</t>
  </si>
  <si>
    <t>1 uovo smart</t>
  </si>
  <si>
    <t>3 wurstel smart maxi</t>
  </si>
  <si>
    <t>panna smart</t>
  </si>
  <si>
    <t>ricotta smart</t>
  </si>
  <si>
    <t>cubetti cotto smart</t>
  </si>
  <si>
    <t>arrosto di tacchino smart</t>
  </si>
  <si>
    <t>test cut no whey</t>
  </si>
  <si>
    <t>1 tazza latte esse</t>
  </si>
  <si>
    <t>gorgonzola smart</t>
  </si>
  <si>
    <t>100g gorgonzola smart</t>
  </si>
  <si>
    <t>test cut no whey (cena fast)</t>
  </si>
  <si>
    <t>1 scat tonno</t>
  </si>
  <si>
    <t>1 yogurt 0% esse</t>
  </si>
  <si>
    <t>2 yogurt 0% esse</t>
  </si>
  <si>
    <t>140g sott sm (7 fette)</t>
  </si>
  <si>
    <t>scamorza</t>
  </si>
  <si>
    <t>emmental</t>
  </si>
  <si>
    <t>125g scamorza</t>
  </si>
  <si>
    <t>62,5g scamorza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</si>
</sst>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2" xfId="0" applyNumberFormat="1" applyBorder="1"/>
    <xf numFmtId="0" fontId="0" fillId="2" borderId="8" xfId="0" applyFill="1" applyBorder="1"/>
    <xf numFmtId="2" fontId="0" fillId="0" borderId="8" xfId="0" applyNumberFormat="1" applyBorder="1"/>
    <xf numFmtId="2" fontId="0" fillId="0" borderId="1" xfId="1" applyNumberFormat="1" applyFont="1" applyBorder="1"/>
    <xf numFmtId="0" fontId="0" fillId="0" borderId="9" xfId="0" applyBorder="1"/>
    <xf numFmtId="2" fontId="0" fillId="0" borderId="0" xfId="0" applyNumberFormat="1"/>
    <xf numFmtId="44" fontId="0" fillId="0" borderId="0" xfId="1" applyFont="1" applyFill="1" applyBorder="1"/>
    <xf numFmtId="44" fontId="0" fillId="3" borderId="1" xfId="1" applyFont="1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" xfId="1" applyNumberFormat="1" applyFont="1" applyFill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9" headerRowBorderDxfId="8" tableBorderDxfId="7" totalsRowBorderDxfId="6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workbookViewId="0">
      <selection activeCell="B12" sqref="B12"/>
    </sheetView>
  </sheetViews>
  <sheetFormatPr defaultRowHeight="14.4" x14ac:dyDescent="0.3"/>
  <cols>
    <col min="1" max="1" width="26.33203125" customWidth="1"/>
    <col min="2" max="2" width="12.33203125" customWidth="1"/>
    <col min="3" max="3" width="10.5546875" customWidth="1"/>
    <col min="4" max="4" width="26.6640625" customWidth="1"/>
    <col min="5" max="5" width="12.88671875" customWidth="1"/>
    <col min="6" max="6" width="22" customWidth="1"/>
    <col min="8" max="8" width="33.33203125" customWidth="1"/>
    <col min="13" max="13" width="31" customWidth="1"/>
  </cols>
  <sheetData>
    <row r="1" spans="1:16" x14ac:dyDescent="0.3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3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3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3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3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3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3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3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3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3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3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3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3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3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3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3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3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3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3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3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3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3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3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3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3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3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3">
      <c r="D27" s="1"/>
      <c r="E27" s="2"/>
      <c r="J27" s="15" t="s">
        <v>45</v>
      </c>
      <c r="K27" s="15" t="s">
        <v>40</v>
      </c>
    </row>
    <row r="28" spans="1:16" x14ac:dyDescent="0.3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3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3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3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3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3">
      <c r="C33" s="1"/>
      <c r="D33" s="2"/>
      <c r="H33" t="s">
        <v>49</v>
      </c>
      <c r="M33" s="3"/>
      <c r="N33" s="3"/>
      <c r="O33" s="3"/>
      <c r="P33" s="3"/>
    </row>
    <row r="34" spans="3:16" x14ac:dyDescent="0.3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3">
      <c r="C35" s="1"/>
      <c r="D35" s="2"/>
      <c r="H35" t="s">
        <v>51</v>
      </c>
    </row>
    <row r="36" spans="3:16" x14ac:dyDescent="0.3">
      <c r="C36" s="1"/>
      <c r="D36" s="2"/>
    </row>
    <row r="37" spans="3:16" x14ac:dyDescent="0.3">
      <c r="E37" s="2"/>
    </row>
    <row r="38" spans="3:16" x14ac:dyDescent="0.3">
      <c r="E38" s="2"/>
    </row>
    <row r="39" spans="3:16" x14ac:dyDescent="0.3">
      <c r="E39" s="2"/>
    </row>
    <row r="40" spans="3:16" x14ac:dyDescent="0.3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4" max="4" width="10.44140625" customWidth="1"/>
    <col min="11" max="11" width="18.44140625" customWidth="1"/>
    <col min="21" max="21" width="22.44140625" customWidth="1"/>
    <col min="23" max="23" width="12.44140625" customWidth="1"/>
    <col min="24" max="24" width="9.88671875" customWidth="1"/>
  </cols>
  <sheetData>
    <row r="1" spans="1:24" x14ac:dyDescent="0.3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3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3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3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3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3">
      <c r="K6" s="15" t="s">
        <v>81</v>
      </c>
      <c r="L6" s="3">
        <v>371</v>
      </c>
      <c r="M6" s="3"/>
      <c r="N6" s="3"/>
      <c r="O6" s="22">
        <v>0.17</v>
      </c>
    </row>
    <row r="7" spans="1:24" x14ac:dyDescent="0.3">
      <c r="A7" s="15" t="s">
        <v>78</v>
      </c>
      <c r="B7" s="21">
        <f>AVERAGE(B3:H3)</f>
        <v>1943.0857142857144</v>
      </c>
    </row>
    <row r="8" spans="1:24" x14ac:dyDescent="0.3">
      <c r="A8" s="15" t="s">
        <v>79</v>
      </c>
      <c r="B8" s="21">
        <f t="shared" ref="B8:B9" si="0">AVERAGE(B4:H4)</f>
        <v>151.56428571428572</v>
      </c>
    </row>
    <row r="9" spans="1:24" x14ac:dyDescent="0.3">
      <c r="A9" s="15" t="s">
        <v>80</v>
      </c>
      <c r="B9" s="19">
        <f t="shared" si="0"/>
        <v>4.1071428571428568</v>
      </c>
    </row>
    <row r="14" spans="1:24" x14ac:dyDescent="0.3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3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3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3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3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3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3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3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3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3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3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3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V130"/>
  <sheetViews>
    <sheetView tabSelected="1" topLeftCell="A87" zoomScale="93" workbookViewId="0">
      <selection activeCell="F87" sqref="F87"/>
    </sheetView>
  </sheetViews>
  <sheetFormatPr defaultRowHeight="14.4" x14ac:dyDescent="0.3"/>
  <cols>
    <col min="1" max="1" width="21.33203125" customWidth="1"/>
    <col min="2" max="2" width="9.33203125" bestFit="1" customWidth="1"/>
    <col min="3" max="4" width="9" bestFit="1" customWidth="1"/>
    <col min="6" max="6" width="25.33203125" customWidth="1"/>
    <col min="14" max="14" width="22.33203125" customWidth="1"/>
    <col min="15" max="15" width="9.88671875" customWidth="1"/>
    <col min="19" max="19" width="21.33203125" customWidth="1"/>
    <col min="20" max="20" width="9.6640625" bestFit="1" customWidth="1"/>
  </cols>
  <sheetData>
    <row r="1" spans="1:19" x14ac:dyDescent="0.3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s="15" t="s">
        <v>90</v>
      </c>
      <c r="O1" s="15" t="s">
        <v>91</v>
      </c>
      <c r="P1" s="15" t="s">
        <v>92</v>
      </c>
    </row>
    <row r="2" spans="1:19" x14ac:dyDescent="0.3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21">
        <f>H2/G2</f>
        <v>0.24390243902439024</v>
      </c>
      <c r="K2" s="21">
        <f>H2/I2</f>
        <v>27.52293577981651</v>
      </c>
      <c r="N2" s="15" t="s">
        <v>93</v>
      </c>
      <c r="O2" s="3">
        <v>2.5</v>
      </c>
      <c r="P2" s="3">
        <v>65</v>
      </c>
    </row>
    <row r="3" spans="1:19" x14ac:dyDescent="0.3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94</v>
      </c>
      <c r="G3" s="3">
        <v>340</v>
      </c>
      <c r="H3" s="3">
        <v>81</v>
      </c>
      <c r="I3" s="5">
        <f>P2/25</f>
        <v>2.6</v>
      </c>
      <c r="J3" s="21">
        <f>H3/G3</f>
        <v>0.23823529411764705</v>
      </c>
      <c r="K3" s="21">
        <f>H3/I3</f>
        <v>31.153846153846153</v>
      </c>
      <c r="N3" s="15" t="s">
        <v>123</v>
      </c>
      <c r="O3" s="3">
        <v>2.5</v>
      </c>
      <c r="P3" s="3">
        <v>40</v>
      </c>
    </row>
    <row r="4" spans="1:19" x14ac:dyDescent="0.3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95</v>
      </c>
      <c r="G4" s="3">
        <v>366</v>
      </c>
      <c r="H4" s="3">
        <v>73</v>
      </c>
      <c r="I4" s="5">
        <f>P3/25</f>
        <v>1.6</v>
      </c>
      <c r="J4" s="21">
        <f t="shared" ref="J4" si="0">H4/G4</f>
        <v>0.19945355191256831</v>
      </c>
      <c r="K4" s="28">
        <f t="shared" ref="K4" si="1">H4/I4</f>
        <v>45.625</v>
      </c>
      <c r="N4" s="15" t="s">
        <v>126</v>
      </c>
      <c r="O4" s="3">
        <v>2.5</v>
      </c>
      <c r="P4" s="3">
        <v>40</v>
      </c>
    </row>
    <row r="5" spans="1:19" x14ac:dyDescent="0.3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1">
        <f t="shared" ref="J5:J23" si="3">H5/G5</f>
        <v>0</v>
      </c>
      <c r="K5" s="28">
        <f t="shared" ref="K5:K23" si="4">H5/I5</f>
        <v>0</v>
      </c>
      <c r="N5" s="15" t="s">
        <v>127</v>
      </c>
      <c r="O5" s="3">
        <v>2.5</v>
      </c>
      <c r="P5" s="3">
        <v>59</v>
      </c>
    </row>
    <row r="6" spans="1:19" x14ac:dyDescent="0.3">
      <c r="F6" s="15" t="s">
        <v>68</v>
      </c>
      <c r="G6" s="3">
        <v>257</v>
      </c>
      <c r="H6" s="3">
        <v>9.1999999999999993</v>
      </c>
      <c r="I6" s="19">
        <v>0.28000000000000003</v>
      </c>
      <c r="J6" s="21">
        <f t="shared" si="3"/>
        <v>3.5797665369649803E-2</v>
      </c>
      <c r="K6" s="28">
        <f t="shared" si="4"/>
        <v>32.857142857142854</v>
      </c>
      <c r="N6" s="15" t="s">
        <v>128</v>
      </c>
      <c r="O6" s="3">
        <v>2.5</v>
      </c>
      <c r="P6" s="3">
        <v>59</v>
      </c>
    </row>
    <row r="7" spans="1:19" x14ac:dyDescent="0.3">
      <c r="A7" s="15" t="s">
        <v>96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  <c r="J7" s="21">
        <f t="shared" si="3"/>
        <v>3.2857142857142856E-2</v>
      </c>
      <c r="K7" s="28">
        <f t="shared" si="4"/>
        <v>88.461538461538453</v>
      </c>
    </row>
    <row r="8" spans="1:19" x14ac:dyDescent="0.3">
      <c r="A8" s="15" t="s">
        <v>98</v>
      </c>
      <c r="B8" s="3">
        <f>1.4*G4</f>
        <v>512.4</v>
      </c>
      <c r="C8" s="3">
        <f>1.4*H4</f>
        <v>102.19999999999999</v>
      </c>
      <c r="D8" s="5">
        <f>1.4*I4</f>
        <v>2.2399999999999998</v>
      </c>
      <c r="F8" s="15" t="s">
        <v>103</v>
      </c>
      <c r="G8" s="3">
        <v>75</v>
      </c>
      <c r="H8" s="3">
        <v>1.5</v>
      </c>
      <c r="I8" s="5">
        <v>0.18</v>
      </c>
      <c r="J8" s="21">
        <f t="shared" si="3"/>
        <v>0.02</v>
      </c>
      <c r="K8" s="28">
        <f t="shared" si="4"/>
        <v>8.3333333333333339</v>
      </c>
      <c r="M8" t="s">
        <v>129</v>
      </c>
      <c r="N8" s="15" t="s">
        <v>124</v>
      </c>
      <c r="O8" s="15" t="s">
        <v>45</v>
      </c>
      <c r="P8" s="15" t="s">
        <v>83</v>
      </c>
      <c r="Q8" s="15" t="s">
        <v>87</v>
      </c>
      <c r="R8" s="15" t="s">
        <v>88</v>
      </c>
      <c r="S8" s="15" t="s">
        <v>89</v>
      </c>
    </row>
    <row r="9" spans="1:19" x14ac:dyDescent="0.3">
      <c r="A9" s="15" t="s">
        <v>97</v>
      </c>
      <c r="B9" s="3">
        <f>209*3</f>
        <v>627</v>
      </c>
      <c r="C9" s="3">
        <f>13*3</f>
        <v>39</v>
      </c>
      <c r="D9" s="4">
        <f>0.22*3</f>
        <v>0.66</v>
      </c>
      <c r="F9" s="15" t="s">
        <v>104</v>
      </c>
      <c r="G9" s="3">
        <v>174</v>
      </c>
      <c r="H9" s="3">
        <v>4.5</v>
      </c>
      <c r="I9" s="5">
        <v>0.1</v>
      </c>
      <c r="J9" s="21">
        <f t="shared" si="3"/>
        <v>2.5862068965517241E-2</v>
      </c>
      <c r="K9" s="28">
        <f t="shared" si="4"/>
        <v>45</v>
      </c>
      <c r="N9" s="15" t="s">
        <v>125</v>
      </c>
      <c r="O9" s="3">
        <v>366</v>
      </c>
      <c r="P9" s="3">
        <v>73</v>
      </c>
      <c r="Q9" s="3">
        <f>P3/(O3*10)</f>
        <v>1.6</v>
      </c>
      <c r="R9" s="31">
        <f>P9/O9</f>
        <v>0.19945355191256831</v>
      </c>
      <c r="S9" s="19">
        <f>P9/Q9</f>
        <v>45.625</v>
      </c>
    </row>
    <row r="10" spans="1:19" x14ac:dyDescent="0.3">
      <c r="A10" s="15" t="s">
        <v>70</v>
      </c>
      <c r="B10" s="3">
        <f>SUM(B8:B9)</f>
        <v>1139.4000000000001</v>
      </c>
      <c r="C10" s="3">
        <f>SUM(C8:C9)</f>
        <v>141.19999999999999</v>
      </c>
      <c r="D10" s="5">
        <f>SUM(D8:D9)</f>
        <v>2.9</v>
      </c>
      <c r="F10" s="15" t="s">
        <v>109</v>
      </c>
      <c r="G10" s="3">
        <v>51</v>
      </c>
      <c r="H10" s="3">
        <v>5.3</v>
      </c>
      <c r="I10" s="5">
        <v>0.15</v>
      </c>
      <c r="J10" s="21">
        <f t="shared" si="3"/>
        <v>0.10392156862745097</v>
      </c>
      <c r="K10" s="21">
        <f t="shared" si="4"/>
        <v>35.333333333333336</v>
      </c>
      <c r="N10" s="15" t="s">
        <v>126</v>
      </c>
      <c r="O10" s="3">
        <v>340</v>
      </c>
      <c r="P10" s="3">
        <v>81</v>
      </c>
      <c r="Q10" s="3">
        <f t="shared" ref="Q10:Q12" si="5">P4/(O4*10)</f>
        <v>1.6</v>
      </c>
      <c r="R10" s="31">
        <f t="shared" ref="R10:R12" si="6">P10/O10</f>
        <v>0.23823529411764705</v>
      </c>
      <c r="S10" s="19">
        <f t="shared" ref="S10:S12" si="7">P10/Q10</f>
        <v>50.625</v>
      </c>
    </row>
    <row r="11" spans="1:19" x14ac:dyDescent="0.3">
      <c r="F11" s="15" t="s">
        <v>110</v>
      </c>
      <c r="G11" s="3">
        <v>209</v>
      </c>
      <c r="H11" s="3">
        <v>13</v>
      </c>
      <c r="I11" s="5">
        <v>0.22</v>
      </c>
      <c r="J11" s="21">
        <f t="shared" si="3"/>
        <v>6.2200956937799042E-2</v>
      </c>
      <c r="K11" s="21">
        <f t="shared" si="4"/>
        <v>59.090909090909093</v>
      </c>
      <c r="N11" s="15" t="s">
        <v>127</v>
      </c>
      <c r="O11" s="3">
        <v>366</v>
      </c>
      <c r="P11" s="3">
        <v>73</v>
      </c>
      <c r="Q11" s="3">
        <f t="shared" si="5"/>
        <v>2.36</v>
      </c>
      <c r="R11" s="31">
        <f t="shared" si="6"/>
        <v>0.19945355191256831</v>
      </c>
      <c r="S11" s="19">
        <f t="shared" si="7"/>
        <v>30.932203389830509</v>
      </c>
    </row>
    <row r="12" spans="1:19" x14ac:dyDescent="0.3">
      <c r="A12" s="15" t="s">
        <v>96</v>
      </c>
      <c r="B12" s="15" t="s">
        <v>45</v>
      </c>
      <c r="C12" s="15" t="s">
        <v>83</v>
      </c>
      <c r="D12" s="15" t="s">
        <v>40</v>
      </c>
      <c r="F12" s="15" t="s">
        <v>111</v>
      </c>
      <c r="G12" s="3">
        <v>84</v>
      </c>
      <c r="H12" s="3">
        <v>16.7</v>
      </c>
      <c r="I12" s="5">
        <v>0.8</v>
      </c>
      <c r="J12" s="21">
        <f t="shared" si="3"/>
        <v>0.1988095238095238</v>
      </c>
      <c r="K12" s="21">
        <f t="shared" si="4"/>
        <v>20.874999999999996</v>
      </c>
      <c r="N12" s="15" t="s">
        <v>128</v>
      </c>
      <c r="O12" s="3">
        <v>412</v>
      </c>
      <c r="P12" s="3">
        <v>82</v>
      </c>
      <c r="Q12" s="3">
        <f t="shared" si="5"/>
        <v>2.36</v>
      </c>
      <c r="R12" s="31">
        <f t="shared" si="6"/>
        <v>0.19902912621359223</v>
      </c>
      <c r="S12" s="19">
        <f t="shared" si="7"/>
        <v>34.745762711864408</v>
      </c>
    </row>
    <row r="13" spans="1:19" x14ac:dyDescent="0.3">
      <c r="A13" s="15" t="s">
        <v>100</v>
      </c>
      <c r="B13" s="21">
        <f>0.8*G4</f>
        <v>292.8</v>
      </c>
      <c r="C13" s="21">
        <f t="shared" ref="C13:D13" si="8">0.8*H4</f>
        <v>58.400000000000006</v>
      </c>
      <c r="D13" s="5">
        <f t="shared" si="8"/>
        <v>1.2800000000000002</v>
      </c>
      <c r="F13" s="15" t="s">
        <v>155</v>
      </c>
      <c r="G13" s="3">
        <v>100</v>
      </c>
      <c r="H13" s="3">
        <v>23.3</v>
      </c>
      <c r="I13" s="5">
        <v>0.84</v>
      </c>
      <c r="J13" s="21">
        <f t="shared" si="3"/>
        <v>0.23300000000000001</v>
      </c>
      <c r="K13" s="21">
        <f t="shared" si="4"/>
        <v>27.738095238095241</v>
      </c>
    </row>
    <row r="14" spans="1:19" x14ac:dyDescent="0.3">
      <c r="A14" s="15" t="s">
        <v>99</v>
      </c>
      <c r="B14" s="3">
        <f>209*7</f>
        <v>1463</v>
      </c>
      <c r="C14" s="3">
        <f>13*7</f>
        <v>91</v>
      </c>
      <c r="D14" s="4">
        <f>0.22*7</f>
        <v>1.54</v>
      </c>
      <c r="F14" s="15" t="s">
        <v>112</v>
      </c>
      <c r="G14" s="3">
        <v>47</v>
      </c>
      <c r="H14" s="3">
        <v>3.3</v>
      </c>
      <c r="I14" s="5">
        <v>0.1</v>
      </c>
      <c r="J14" s="21">
        <f t="shared" si="3"/>
        <v>7.0212765957446799E-2</v>
      </c>
      <c r="K14" s="21">
        <f t="shared" si="4"/>
        <v>32.999999999999993</v>
      </c>
    </row>
    <row r="15" spans="1:19" x14ac:dyDescent="0.3">
      <c r="A15" s="15" t="s">
        <v>70</v>
      </c>
      <c r="B15" s="3">
        <f>SUM(B13:B14)</f>
        <v>1755.8</v>
      </c>
      <c r="C15" s="3">
        <f>SUM(C13:C14)</f>
        <v>149.4</v>
      </c>
      <c r="D15" s="5">
        <f>SUM(D13:D14)</f>
        <v>2.8200000000000003</v>
      </c>
      <c r="F15" s="29" t="s">
        <v>116</v>
      </c>
      <c r="G15" s="11">
        <v>136</v>
      </c>
      <c r="H15" s="11">
        <v>12.4</v>
      </c>
      <c r="I15" s="12">
        <v>0.49</v>
      </c>
      <c r="J15" s="30">
        <f t="shared" si="3"/>
        <v>9.1176470588235303E-2</v>
      </c>
      <c r="K15" s="30">
        <f t="shared" si="4"/>
        <v>25.306122448979593</v>
      </c>
    </row>
    <row r="16" spans="1:19" x14ac:dyDescent="0.3">
      <c r="F16" s="15" t="s">
        <v>153</v>
      </c>
      <c r="G16" s="3">
        <v>169</v>
      </c>
      <c r="H16" s="3">
        <v>15.4</v>
      </c>
      <c r="I16" s="5">
        <v>0.47</v>
      </c>
      <c r="J16" s="21">
        <f t="shared" si="3"/>
        <v>9.1124260355029588E-2</v>
      </c>
      <c r="K16" s="21">
        <f t="shared" si="4"/>
        <v>32.765957446808514</v>
      </c>
    </row>
    <row r="17" spans="1:22" x14ac:dyDescent="0.3">
      <c r="A17" s="15" t="s">
        <v>96</v>
      </c>
      <c r="B17" s="15" t="s">
        <v>45</v>
      </c>
      <c r="C17" s="15" t="s">
        <v>83</v>
      </c>
      <c r="D17" s="15" t="s">
        <v>40</v>
      </c>
      <c r="F17" s="15" t="s">
        <v>163</v>
      </c>
      <c r="G17" s="3">
        <v>126</v>
      </c>
      <c r="H17" s="3">
        <v>17.899999999999999</v>
      </c>
      <c r="I17" s="5">
        <v>0.4</v>
      </c>
      <c r="J17" s="21">
        <f t="shared" si="3"/>
        <v>0.14206349206349206</v>
      </c>
      <c r="K17" s="21">
        <f t="shared" si="4"/>
        <v>44.749999999999993</v>
      </c>
    </row>
    <row r="18" spans="1:22" x14ac:dyDescent="0.3">
      <c r="A18" s="15" t="s">
        <v>100</v>
      </c>
      <c r="B18" s="21">
        <f>0.8*G4</f>
        <v>292.8</v>
      </c>
      <c r="C18" s="21">
        <f t="shared" ref="C18:D18" si="9">0.8*H4</f>
        <v>58.400000000000006</v>
      </c>
      <c r="D18" s="5">
        <f t="shared" si="9"/>
        <v>1.2800000000000002</v>
      </c>
      <c r="F18" s="15" t="s">
        <v>169</v>
      </c>
      <c r="G18" s="3">
        <v>206</v>
      </c>
      <c r="H18" s="3">
        <v>2.5</v>
      </c>
      <c r="I18" s="5">
        <v>0.4</v>
      </c>
      <c r="J18" s="21">
        <f t="shared" si="3"/>
        <v>1.2135922330097087E-2</v>
      </c>
      <c r="K18" s="21">
        <f t="shared" si="4"/>
        <v>6.25</v>
      </c>
    </row>
    <row r="19" spans="1:22" x14ac:dyDescent="0.3">
      <c r="A19" s="15" t="s">
        <v>102</v>
      </c>
      <c r="B19" s="3">
        <f>209*6</f>
        <v>1254</v>
      </c>
      <c r="C19" s="3">
        <f>13*6</f>
        <v>78</v>
      </c>
      <c r="D19" s="4">
        <f>0.22*6</f>
        <v>1.32</v>
      </c>
      <c r="F19" s="15" t="s">
        <v>170</v>
      </c>
      <c r="G19" s="3">
        <v>115</v>
      </c>
      <c r="H19" s="3">
        <v>9</v>
      </c>
      <c r="I19" s="5">
        <v>0.3</v>
      </c>
      <c r="J19" s="21">
        <f t="shared" si="3"/>
        <v>7.8260869565217397E-2</v>
      </c>
      <c r="K19" s="21">
        <f t="shared" si="4"/>
        <v>30</v>
      </c>
    </row>
    <row r="20" spans="1:22" x14ac:dyDescent="0.3">
      <c r="A20" s="15" t="s">
        <v>63</v>
      </c>
      <c r="B20" s="3">
        <f>$G$5</f>
        <v>185</v>
      </c>
      <c r="C20" s="3">
        <v>0</v>
      </c>
      <c r="D20" s="4">
        <f>$I$5</f>
        <v>0.33</v>
      </c>
      <c r="F20" s="15" t="s">
        <v>171</v>
      </c>
      <c r="G20" s="3">
        <v>180</v>
      </c>
      <c r="H20" s="3">
        <v>15</v>
      </c>
      <c r="I20" s="5">
        <v>0.88</v>
      </c>
      <c r="J20" s="21">
        <f t="shared" si="3"/>
        <v>8.3333333333333329E-2</v>
      </c>
      <c r="K20" s="21">
        <f t="shared" si="4"/>
        <v>17.045454545454547</v>
      </c>
    </row>
    <row r="21" spans="1:22" x14ac:dyDescent="0.3">
      <c r="A21" s="15" t="s">
        <v>101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F21" s="15" t="s">
        <v>172</v>
      </c>
      <c r="G21" s="3">
        <v>96</v>
      </c>
      <c r="H21" s="3">
        <v>18</v>
      </c>
      <c r="I21" s="5">
        <v>2.29</v>
      </c>
      <c r="J21" s="21">
        <f t="shared" si="3"/>
        <v>0.1875</v>
      </c>
      <c r="K21" s="21">
        <f t="shared" si="4"/>
        <v>7.8602620087336241</v>
      </c>
      <c r="S21" t="s">
        <v>119</v>
      </c>
    </row>
    <row r="22" spans="1:22" x14ac:dyDescent="0.3">
      <c r="A22" s="15" t="s">
        <v>70</v>
      </c>
      <c r="B22" s="21">
        <f>SUM(B18:B21)</f>
        <v>1988.8</v>
      </c>
      <c r="C22" s="21">
        <f t="shared" ref="C22:D22" si="10">SUM(C18:C21)</f>
        <v>145.6</v>
      </c>
      <c r="D22" s="5">
        <f t="shared" si="10"/>
        <v>3.2100000000000009</v>
      </c>
      <c r="F22" s="15" t="s">
        <v>175</v>
      </c>
      <c r="G22" s="3">
        <v>331</v>
      </c>
      <c r="H22" s="3">
        <v>19</v>
      </c>
      <c r="I22" s="5">
        <v>0.83</v>
      </c>
      <c r="J22" s="21">
        <f t="shared" si="3"/>
        <v>5.7401812688821753E-2</v>
      </c>
      <c r="K22" s="21">
        <f t="shared" si="4"/>
        <v>22.891566265060241</v>
      </c>
      <c r="N22" s="15" t="s">
        <v>96</v>
      </c>
      <c r="O22" s="15" t="s">
        <v>45</v>
      </c>
      <c r="P22" s="15" t="s">
        <v>83</v>
      </c>
      <c r="Q22" s="15" t="s">
        <v>40</v>
      </c>
      <c r="S22" s="15" t="s">
        <v>96</v>
      </c>
      <c r="T22" s="15" t="s">
        <v>45</v>
      </c>
      <c r="U22" s="15" t="s">
        <v>83</v>
      </c>
      <c r="V22" s="15" t="s">
        <v>40</v>
      </c>
    </row>
    <row r="23" spans="1:22" x14ac:dyDescent="0.3">
      <c r="F23" s="15" t="s">
        <v>179</v>
      </c>
      <c r="G23" s="21">
        <v>49</v>
      </c>
      <c r="H23" s="21">
        <v>5.5</v>
      </c>
      <c r="I23" s="5">
        <v>0.35</v>
      </c>
      <c r="J23" s="21">
        <f t="shared" si="3"/>
        <v>0.11224489795918367</v>
      </c>
      <c r="K23" s="21">
        <f t="shared" si="4"/>
        <v>15.714285714285715</v>
      </c>
      <c r="N23" s="15" t="s">
        <v>113</v>
      </c>
      <c r="O23" s="21">
        <f>0.7*$G$4</f>
        <v>256.2</v>
      </c>
      <c r="P23" s="21">
        <f>0.7*$H$4</f>
        <v>51.099999999999994</v>
      </c>
      <c r="Q23" s="19">
        <f>0.7*$I$4</f>
        <v>1.1199999999999999</v>
      </c>
      <c r="S23" s="15" t="s">
        <v>118</v>
      </c>
      <c r="T23" s="21">
        <f>1.05*$G$4</f>
        <v>384.3</v>
      </c>
      <c r="U23" s="21">
        <f>1.05*$H$4</f>
        <v>76.650000000000006</v>
      </c>
      <c r="V23" s="19">
        <f>1.05*$I$4</f>
        <v>1.6800000000000002</v>
      </c>
    </row>
    <row r="24" spans="1:22" x14ac:dyDescent="0.3">
      <c r="F24" s="15" t="s">
        <v>182</v>
      </c>
      <c r="G24" s="3">
        <v>315</v>
      </c>
      <c r="H24" s="3">
        <v>22</v>
      </c>
      <c r="I24" s="38">
        <v>0.9</v>
      </c>
      <c r="J24" s="21">
        <f>H24/G24</f>
        <v>6.9841269841269843E-2</v>
      </c>
      <c r="K24" s="21">
        <f>H24/I24</f>
        <v>24.444444444444443</v>
      </c>
      <c r="N24" s="15" t="s">
        <v>114</v>
      </c>
      <c r="O24" s="3">
        <f>47*5</f>
        <v>235</v>
      </c>
      <c r="P24" s="3">
        <f>3.3*5</f>
        <v>16.5</v>
      </c>
      <c r="Q24" s="19">
        <f>0.1*5</f>
        <v>0.5</v>
      </c>
      <c r="S24" s="15" t="s">
        <v>120</v>
      </c>
      <c r="T24" s="3">
        <f>47*7.5</f>
        <v>352.5</v>
      </c>
      <c r="U24" s="3">
        <f>3.3*7.5</f>
        <v>24.75</v>
      </c>
      <c r="V24" s="19">
        <f>0.1*7.5</f>
        <v>0.75</v>
      </c>
    </row>
    <row r="25" spans="1:22" x14ac:dyDescent="0.3">
      <c r="A25" s="15" t="s">
        <v>136</v>
      </c>
      <c r="B25" s="15" t="s">
        <v>45</v>
      </c>
      <c r="C25" s="15" t="s">
        <v>83</v>
      </c>
      <c r="D25" s="15" t="s">
        <v>40</v>
      </c>
      <c r="F25" s="15" t="s">
        <v>183</v>
      </c>
      <c r="G25" s="3">
        <v>382</v>
      </c>
      <c r="H25" s="3">
        <v>28</v>
      </c>
      <c r="I25" s="38">
        <v>0.75</v>
      </c>
      <c r="J25" s="21">
        <f>H25/G25</f>
        <v>7.3298429319371722E-2</v>
      </c>
      <c r="K25" s="21">
        <f>H25/I25</f>
        <v>37.333333333333336</v>
      </c>
      <c r="N25" s="15" t="s">
        <v>115</v>
      </c>
      <c r="O25" s="3">
        <f>123*1</f>
        <v>123</v>
      </c>
      <c r="P25" s="3">
        <f>30*1</f>
        <v>30</v>
      </c>
      <c r="Q25" s="19">
        <f>1.09*1</f>
        <v>1.0900000000000001</v>
      </c>
      <c r="S25" s="15" t="s">
        <v>117</v>
      </c>
      <c r="T25" s="3">
        <f>209*2</f>
        <v>418</v>
      </c>
      <c r="U25" s="3">
        <f>13*2</f>
        <v>26</v>
      </c>
      <c r="V25" s="19">
        <f>0.22*2</f>
        <v>0.44</v>
      </c>
    </row>
    <row r="26" spans="1:22" x14ac:dyDescent="0.3">
      <c r="A26" s="15" t="s">
        <v>101</v>
      </c>
      <c r="B26" s="3">
        <f>$G$6*1</f>
        <v>257</v>
      </c>
      <c r="C26" s="3">
        <f>$H$6*1</f>
        <v>9.1999999999999993</v>
      </c>
      <c r="D26" s="19">
        <f>$I$6*1</f>
        <v>0.28000000000000003</v>
      </c>
      <c r="F26" s="15"/>
      <c r="G26" s="21"/>
      <c r="H26" s="21"/>
      <c r="I26" s="22"/>
      <c r="J26" s="21"/>
      <c r="K26" s="21"/>
      <c r="N26" s="15" t="s">
        <v>97</v>
      </c>
      <c r="O26" s="3">
        <f>209*3</f>
        <v>627</v>
      </c>
      <c r="P26" s="3">
        <f>13*3</f>
        <v>39</v>
      </c>
      <c r="Q26" s="19">
        <f>0.22*3</f>
        <v>0.66</v>
      </c>
      <c r="S26" s="15" t="s">
        <v>101</v>
      </c>
      <c r="T26" s="3">
        <f>$G$6*1</f>
        <v>257</v>
      </c>
      <c r="U26" s="3">
        <f>$H$6*1</f>
        <v>9.1999999999999993</v>
      </c>
      <c r="V26" s="19">
        <f>$I$6*1</f>
        <v>0.28000000000000003</v>
      </c>
    </row>
    <row r="27" spans="1:22" x14ac:dyDescent="0.3">
      <c r="A27" s="15" t="s">
        <v>63</v>
      </c>
      <c r="B27" s="3">
        <f>$G$5</f>
        <v>185</v>
      </c>
      <c r="C27" s="3">
        <v>0</v>
      </c>
      <c r="D27" s="19">
        <f>$I$5</f>
        <v>0.33</v>
      </c>
      <c r="F27" s="15"/>
      <c r="G27" s="21"/>
      <c r="H27" s="21"/>
      <c r="I27" s="22"/>
      <c r="J27" s="21"/>
      <c r="K27" s="21"/>
      <c r="N27" s="15" t="s">
        <v>101</v>
      </c>
      <c r="O27" s="3">
        <f>$G$6*1</f>
        <v>257</v>
      </c>
      <c r="P27" s="3">
        <f>$H$6*1</f>
        <v>9.1999999999999993</v>
      </c>
      <c r="Q27" s="19">
        <f>$I$6*1</f>
        <v>0.28000000000000003</v>
      </c>
      <c r="S27" s="15" t="s">
        <v>108</v>
      </c>
      <c r="T27" s="3">
        <v>350</v>
      </c>
      <c r="U27" s="3">
        <v>11.5</v>
      </c>
      <c r="V27" s="19">
        <v>0.13</v>
      </c>
    </row>
    <row r="28" spans="1:22" x14ac:dyDescent="0.3">
      <c r="A28" s="15" t="s">
        <v>137</v>
      </c>
      <c r="B28" s="3">
        <f>123*2</f>
        <v>246</v>
      </c>
      <c r="C28" s="3">
        <f>30*2</f>
        <v>60</v>
      </c>
      <c r="D28" s="22">
        <f>1.09*2</f>
        <v>2.1800000000000002</v>
      </c>
      <c r="N28" s="15" t="s">
        <v>108</v>
      </c>
      <c r="O28" s="3">
        <v>350</v>
      </c>
      <c r="P28" s="3">
        <v>11.5</v>
      </c>
      <c r="Q28" s="19">
        <v>0.13</v>
      </c>
      <c r="S28" s="15" t="s">
        <v>109</v>
      </c>
      <c r="T28" s="3">
        <f>1*51</f>
        <v>51</v>
      </c>
      <c r="U28" s="3">
        <f>1*5.3</f>
        <v>5.3</v>
      </c>
      <c r="V28" s="4">
        <f>1*0.15</f>
        <v>0.15</v>
      </c>
    </row>
    <row r="29" spans="1:22" x14ac:dyDescent="0.3">
      <c r="A29" s="15" t="s">
        <v>139</v>
      </c>
      <c r="B29" s="3">
        <f>209*4.5</f>
        <v>940.5</v>
      </c>
      <c r="C29" s="3">
        <f>13*4.5</f>
        <v>58.5</v>
      </c>
      <c r="D29" s="19">
        <f>0.22*4.5</f>
        <v>0.99</v>
      </c>
      <c r="G29" s="33"/>
      <c r="H29" s="33"/>
      <c r="I29" s="34"/>
      <c r="N29" s="15"/>
      <c r="O29" s="3"/>
      <c r="P29" s="3"/>
      <c r="Q29" s="19"/>
      <c r="S29" s="15"/>
      <c r="T29" s="3"/>
      <c r="U29" s="3"/>
      <c r="V29" s="19"/>
    </row>
    <row r="30" spans="1:22" x14ac:dyDescent="0.3">
      <c r="A30" s="15" t="s">
        <v>138</v>
      </c>
      <c r="B30" s="3">
        <f>51*5</f>
        <v>255</v>
      </c>
      <c r="C30" s="3">
        <f>5.3*5</f>
        <v>26.5</v>
      </c>
      <c r="D30" s="19">
        <f>0.15*5</f>
        <v>0.75</v>
      </c>
      <c r="N30" s="15" t="s">
        <v>70</v>
      </c>
      <c r="O30" s="21">
        <f>SUM(O23:O28)</f>
        <v>1848.2</v>
      </c>
      <c r="P30" s="21">
        <f>SUM(P23:P28)</f>
        <v>157.29999999999998</v>
      </c>
      <c r="Q30" s="19">
        <f>SUM(Q23:Q28)</f>
        <v>3.7800000000000002</v>
      </c>
      <c r="S30" s="15" t="s">
        <v>70</v>
      </c>
      <c r="T30" s="21">
        <f>SUM(T23:T29)</f>
        <v>1812.8</v>
      </c>
      <c r="U30" s="21">
        <f t="shared" ref="U30:V30" si="11">SUM(U23:U29)</f>
        <v>153.4</v>
      </c>
      <c r="V30" s="19">
        <f t="shared" si="11"/>
        <v>3.43</v>
      </c>
    </row>
    <row r="31" spans="1:22" x14ac:dyDescent="0.3">
      <c r="A31" s="15"/>
      <c r="B31" s="3"/>
      <c r="C31" s="3"/>
      <c r="D31" s="3"/>
    </row>
    <row r="32" spans="1:22" x14ac:dyDescent="0.3">
      <c r="A32" s="15" t="s">
        <v>134</v>
      </c>
      <c r="B32" s="3">
        <f>SUM(B26:B31)</f>
        <v>1883.5</v>
      </c>
      <c r="C32" s="3">
        <f>SUM(C26:C31)</f>
        <v>154.19999999999999</v>
      </c>
      <c r="D32" s="19">
        <f>SUM(D26:D31)</f>
        <v>4.53</v>
      </c>
      <c r="N32" s="15" t="s">
        <v>96</v>
      </c>
      <c r="O32" s="15" t="s">
        <v>45</v>
      </c>
      <c r="P32" s="15" t="s">
        <v>83</v>
      </c>
      <c r="Q32" s="15" t="s">
        <v>40</v>
      </c>
      <c r="S32" s="15" t="s">
        <v>96</v>
      </c>
      <c r="T32" s="15" t="s">
        <v>45</v>
      </c>
      <c r="U32" s="15" t="s">
        <v>83</v>
      </c>
      <c r="V32" s="15" t="s">
        <v>87</v>
      </c>
    </row>
    <row r="33" spans="1:22" x14ac:dyDescent="0.3">
      <c r="M33" t="s">
        <v>121</v>
      </c>
      <c r="N33" s="15" t="s">
        <v>98</v>
      </c>
      <c r="O33" s="21">
        <f>1.4*$G$4</f>
        <v>512.4</v>
      </c>
      <c r="P33" s="21">
        <f>1.4*$H$4</f>
        <v>102.19999999999999</v>
      </c>
      <c r="Q33" s="19">
        <f>1.4*$I$4</f>
        <v>2.2399999999999998</v>
      </c>
      <c r="R33" t="s">
        <v>130</v>
      </c>
      <c r="S33" s="15" t="s">
        <v>131</v>
      </c>
      <c r="T33" s="3">
        <f>$O$12*0.7</f>
        <v>288.39999999999998</v>
      </c>
      <c r="U33" s="3">
        <f>$P$12*0.7</f>
        <v>57.4</v>
      </c>
      <c r="V33" s="19">
        <f>$Q$12*0.7</f>
        <v>1.6519999999999999</v>
      </c>
    </row>
    <row r="34" spans="1:22" x14ac:dyDescent="0.3">
      <c r="N34" s="15" t="s">
        <v>122</v>
      </c>
      <c r="O34" s="3">
        <f>47*10</f>
        <v>470</v>
      </c>
      <c r="P34" s="3">
        <f>3.3*10</f>
        <v>33</v>
      </c>
      <c r="Q34" s="19">
        <f>0.1*10</f>
        <v>1</v>
      </c>
      <c r="S34" s="15" t="s">
        <v>114</v>
      </c>
      <c r="T34" s="3">
        <f>47*5</f>
        <v>235</v>
      </c>
      <c r="U34" s="3">
        <f>3.3*5</f>
        <v>16.5</v>
      </c>
      <c r="V34" s="19">
        <f>0.1*5</f>
        <v>0.5</v>
      </c>
    </row>
    <row r="35" spans="1:22" x14ac:dyDescent="0.3">
      <c r="N35" s="15" t="s">
        <v>117</v>
      </c>
      <c r="O35" s="3">
        <f>209*2</f>
        <v>418</v>
      </c>
      <c r="P35" s="3">
        <f>13*2</f>
        <v>26</v>
      </c>
      <c r="Q35" s="19">
        <f>0.22*2</f>
        <v>0.44</v>
      </c>
      <c r="S35" s="15" t="s">
        <v>97</v>
      </c>
      <c r="T35" s="3">
        <f>209*3</f>
        <v>627</v>
      </c>
      <c r="U35" s="3">
        <f>13*3</f>
        <v>39</v>
      </c>
      <c r="V35" s="19">
        <f>0.22*3</f>
        <v>0.66</v>
      </c>
    </row>
    <row r="36" spans="1:22" x14ac:dyDescent="0.3">
      <c r="A36" s="15" t="s">
        <v>136</v>
      </c>
      <c r="B36" s="15" t="s">
        <v>45</v>
      </c>
      <c r="C36" s="15" t="s">
        <v>83</v>
      </c>
      <c r="D36" s="15" t="s">
        <v>40</v>
      </c>
      <c r="N36" s="15" t="s">
        <v>101</v>
      </c>
      <c r="O36" s="3">
        <f>$G$6*1</f>
        <v>257</v>
      </c>
      <c r="P36" s="3">
        <f>$H$6*1</f>
        <v>9.1999999999999993</v>
      </c>
      <c r="Q36" s="19">
        <f>$I$6*1</f>
        <v>0.28000000000000003</v>
      </c>
      <c r="S36" s="15" t="s">
        <v>101</v>
      </c>
      <c r="T36" s="3">
        <f>$G$6*1</f>
        <v>257</v>
      </c>
      <c r="U36" s="3">
        <f>$H$6*1</f>
        <v>9.1999999999999993</v>
      </c>
      <c r="V36" s="19">
        <f>$I$6*1</f>
        <v>0.28000000000000003</v>
      </c>
    </row>
    <row r="37" spans="1:22" x14ac:dyDescent="0.3">
      <c r="A37" s="15" t="s">
        <v>101</v>
      </c>
      <c r="B37" s="3">
        <f>$G$6*1</f>
        <v>257</v>
      </c>
      <c r="C37" s="3">
        <f>$H$6*1</f>
        <v>9.1999999999999993</v>
      </c>
      <c r="D37" s="19">
        <f>$I$6*1</f>
        <v>0.28000000000000003</v>
      </c>
      <c r="N37" s="15" t="s">
        <v>108</v>
      </c>
      <c r="O37" s="3">
        <v>350</v>
      </c>
      <c r="P37" s="3">
        <v>11.5</v>
      </c>
      <c r="Q37" s="19">
        <v>0.13</v>
      </c>
      <c r="S37" s="15" t="s">
        <v>132</v>
      </c>
      <c r="T37" s="3">
        <f>51*2.5</f>
        <v>127.5</v>
      </c>
      <c r="U37" s="3">
        <f>5.3*2.5</f>
        <v>13.25</v>
      </c>
      <c r="V37" s="5">
        <f>0.15*2.5</f>
        <v>0.375</v>
      </c>
    </row>
    <row r="38" spans="1:22" x14ac:dyDescent="0.3">
      <c r="A38" s="15" t="s">
        <v>63</v>
      </c>
      <c r="B38" s="3">
        <f>$G$5</f>
        <v>185</v>
      </c>
      <c r="C38" s="3">
        <v>0</v>
      </c>
      <c r="D38" s="19">
        <f>$I$5</f>
        <v>0.33</v>
      </c>
      <c r="N38" s="15"/>
      <c r="O38" s="3"/>
      <c r="P38" s="3"/>
      <c r="Q38" s="4"/>
      <c r="S38" s="15"/>
      <c r="T38" s="3"/>
      <c r="U38" s="3"/>
      <c r="V38" s="19"/>
    </row>
    <row r="39" spans="1:22" x14ac:dyDescent="0.3">
      <c r="A39" s="15" t="s">
        <v>137</v>
      </c>
      <c r="B39" s="3">
        <f>123*2</f>
        <v>246</v>
      </c>
      <c r="C39" s="3">
        <f>30*2</f>
        <v>60</v>
      </c>
      <c r="D39" s="22">
        <f>1.09*2</f>
        <v>2.1800000000000002</v>
      </c>
      <c r="N39" s="15"/>
      <c r="O39" s="3"/>
      <c r="P39" s="3"/>
      <c r="Q39" s="19"/>
      <c r="S39" s="15"/>
      <c r="T39" s="3"/>
      <c r="U39" s="3"/>
      <c r="V39" s="19"/>
    </row>
    <row r="40" spans="1:22" x14ac:dyDescent="0.3">
      <c r="A40" s="15" t="s">
        <v>140</v>
      </c>
      <c r="B40" s="3">
        <f>240*4</f>
        <v>960</v>
      </c>
      <c r="C40" s="3">
        <f>15*4</f>
        <v>60</v>
      </c>
      <c r="D40" s="19">
        <f>0.26*4</f>
        <v>1.04</v>
      </c>
      <c r="N40" s="15" t="s">
        <v>70</v>
      </c>
      <c r="O40" s="21">
        <f>SUM(O33:O39)</f>
        <v>2007.4</v>
      </c>
      <c r="P40" s="21">
        <f t="shared" ref="P40:Q40" si="12">SUM(P33:P39)</f>
        <v>181.89999999999998</v>
      </c>
      <c r="Q40" s="19">
        <f t="shared" si="12"/>
        <v>4.09</v>
      </c>
      <c r="S40" s="15" t="s">
        <v>70</v>
      </c>
      <c r="T40" s="3">
        <f>SUM(T33:T39)</f>
        <v>1534.9</v>
      </c>
      <c r="U40" s="3">
        <f t="shared" ref="U40:V40" si="13">SUM(U33:U39)</f>
        <v>135.35000000000002</v>
      </c>
      <c r="V40" s="19">
        <f t="shared" si="13"/>
        <v>3.4670000000000005</v>
      </c>
    </row>
    <row r="41" spans="1:22" x14ac:dyDescent="0.3">
      <c r="A41" s="15" t="s">
        <v>138</v>
      </c>
      <c r="B41" s="3">
        <f>51*5</f>
        <v>255</v>
      </c>
      <c r="C41" s="3">
        <f>5.3*5</f>
        <v>26.5</v>
      </c>
      <c r="D41" s="19">
        <f>0.15*5</f>
        <v>0.75</v>
      </c>
      <c r="F41" s="15" t="s">
        <v>106</v>
      </c>
      <c r="G41" s="15" t="s">
        <v>45</v>
      </c>
      <c r="H41" s="15" t="s">
        <v>107</v>
      </c>
      <c r="I41" s="15" t="s">
        <v>40</v>
      </c>
      <c r="S41" s="32"/>
    </row>
    <row r="42" spans="1:22" x14ac:dyDescent="0.3">
      <c r="A42" s="15"/>
      <c r="B42" s="3"/>
      <c r="C42" s="3"/>
      <c r="D42" s="3"/>
      <c r="F42" s="15" t="s">
        <v>105</v>
      </c>
      <c r="G42" s="3">
        <v>348</v>
      </c>
      <c r="H42" s="3">
        <v>9</v>
      </c>
      <c r="I42" s="3">
        <v>0.2</v>
      </c>
      <c r="S42" s="15" t="s">
        <v>133</v>
      </c>
      <c r="T42" s="15" t="s">
        <v>45</v>
      </c>
      <c r="U42" s="15" t="s">
        <v>83</v>
      </c>
      <c r="V42" s="15" t="s">
        <v>87</v>
      </c>
    </row>
    <row r="43" spans="1:22" x14ac:dyDescent="0.3">
      <c r="A43" s="15" t="s">
        <v>134</v>
      </c>
      <c r="B43" s="3">
        <f>SUM(B37:B42)</f>
        <v>1903</v>
      </c>
      <c r="C43" s="3">
        <f>SUM(C37:C42)</f>
        <v>155.69999999999999</v>
      </c>
      <c r="D43" s="19">
        <f>SUM(D37:D42)</f>
        <v>4.58</v>
      </c>
      <c r="F43" s="15" t="s">
        <v>108</v>
      </c>
      <c r="G43" s="3">
        <v>350</v>
      </c>
      <c r="H43" s="3">
        <v>11.5</v>
      </c>
      <c r="I43" s="3">
        <v>0.13</v>
      </c>
      <c r="S43" s="15" t="s">
        <v>117</v>
      </c>
      <c r="T43" s="3">
        <f>209*2</f>
        <v>418</v>
      </c>
      <c r="U43" s="3">
        <f>13*2</f>
        <v>26</v>
      </c>
      <c r="V43" s="19">
        <f>0.22*2</f>
        <v>0.44</v>
      </c>
    </row>
    <row r="44" spans="1:22" x14ac:dyDescent="0.3">
      <c r="S44" s="15" t="s">
        <v>134</v>
      </c>
      <c r="T44" s="3">
        <f>T40+T43</f>
        <v>1952.9</v>
      </c>
      <c r="U44" s="3">
        <f t="shared" ref="U44:V44" si="14">U40+U43</f>
        <v>161.35000000000002</v>
      </c>
      <c r="V44" s="3">
        <f t="shared" si="14"/>
        <v>3.9070000000000005</v>
      </c>
    </row>
    <row r="45" spans="1:22" x14ac:dyDescent="0.3">
      <c r="A45" s="15" t="s">
        <v>147</v>
      </c>
      <c r="B45" s="15" t="s">
        <v>45</v>
      </c>
      <c r="C45" s="15" t="s">
        <v>83</v>
      </c>
      <c r="D45" s="15" t="s">
        <v>87</v>
      </c>
      <c r="F45" s="15" t="s">
        <v>148</v>
      </c>
      <c r="G45" s="15" t="s">
        <v>45</v>
      </c>
      <c r="H45" s="15" t="s">
        <v>83</v>
      </c>
      <c r="I45" s="15" t="s">
        <v>87</v>
      </c>
      <c r="N45" s="15" t="s">
        <v>156</v>
      </c>
      <c r="O45" s="15" t="s">
        <v>45</v>
      </c>
      <c r="P45" s="15" t="s">
        <v>83</v>
      </c>
      <c r="Q45" s="15" t="s">
        <v>40</v>
      </c>
    </row>
    <row r="46" spans="1:22" x14ac:dyDescent="0.3">
      <c r="A46" s="15" t="s">
        <v>131</v>
      </c>
      <c r="B46" s="3">
        <f>$O$12*0.7</f>
        <v>288.39999999999998</v>
      </c>
      <c r="C46" s="3">
        <f>$P$12*0.7</f>
        <v>57.4</v>
      </c>
      <c r="D46" s="19">
        <f>$Q$12*0.7</f>
        <v>1.6519999999999999</v>
      </c>
      <c r="F46" s="15" t="s">
        <v>131</v>
      </c>
      <c r="G46" s="3">
        <f>$O$12*0.7</f>
        <v>288.39999999999998</v>
      </c>
      <c r="H46" s="3">
        <f>$P$12*0.7</f>
        <v>57.4</v>
      </c>
      <c r="I46" s="19">
        <f>$Q$12*0.7</f>
        <v>1.6519999999999999</v>
      </c>
      <c r="N46" s="15" t="s">
        <v>157</v>
      </c>
      <c r="O46" s="3">
        <f>(47*10)/3</f>
        <v>156.66666666666666</v>
      </c>
      <c r="P46" s="3">
        <f>(3.3*10)/3</f>
        <v>11</v>
      </c>
      <c r="Q46" s="19">
        <f>(0.1*10)/3</f>
        <v>0.33333333333333331</v>
      </c>
      <c r="S46" s="15" t="s">
        <v>133</v>
      </c>
      <c r="T46" s="15" t="s">
        <v>45</v>
      </c>
      <c r="U46" s="15" t="s">
        <v>83</v>
      </c>
      <c r="V46" s="15" t="s">
        <v>87</v>
      </c>
    </row>
    <row r="47" spans="1:22" x14ac:dyDescent="0.3">
      <c r="A47" s="15" t="s">
        <v>114</v>
      </c>
      <c r="B47" s="3">
        <f>47*5</f>
        <v>235</v>
      </c>
      <c r="C47" s="3">
        <f>3.3*5</f>
        <v>16.5</v>
      </c>
      <c r="D47" s="19">
        <f>0.1*5</f>
        <v>0.5</v>
      </c>
      <c r="F47" s="15" t="s">
        <v>114</v>
      </c>
      <c r="G47" s="3">
        <f>47*5</f>
        <v>235</v>
      </c>
      <c r="H47" s="3">
        <f>3.3*5</f>
        <v>16.5</v>
      </c>
      <c r="I47" s="19">
        <f>0.1*5</f>
        <v>0.5</v>
      </c>
      <c r="N47" s="15" t="s">
        <v>168</v>
      </c>
      <c r="O47" s="3">
        <f>240*3</f>
        <v>720</v>
      </c>
      <c r="P47" s="3">
        <f>15*3</f>
        <v>45</v>
      </c>
      <c r="Q47" s="19">
        <f>0.26*3</f>
        <v>0.78</v>
      </c>
      <c r="S47" s="15" t="s">
        <v>84</v>
      </c>
      <c r="T47" s="3">
        <f>209*1</f>
        <v>209</v>
      </c>
      <c r="U47" s="3">
        <f>13*1</f>
        <v>13</v>
      </c>
      <c r="V47" s="19">
        <f>0.22*1</f>
        <v>0.22</v>
      </c>
    </row>
    <row r="48" spans="1:22" x14ac:dyDescent="0.3">
      <c r="A48" s="15" t="s">
        <v>142</v>
      </c>
      <c r="B48" s="3">
        <f>240*2</f>
        <v>480</v>
      </c>
      <c r="C48" s="3">
        <f>15*2</f>
        <v>30</v>
      </c>
      <c r="D48" s="19">
        <f>0.26*2</f>
        <v>0.52</v>
      </c>
      <c r="F48" s="15" t="s">
        <v>142</v>
      </c>
      <c r="G48" s="3">
        <f>240*2</f>
        <v>480</v>
      </c>
      <c r="H48" s="3">
        <f>15*2</f>
        <v>30</v>
      </c>
      <c r="I48" s="19">
        <f>0.26*2</f>
        <v>0.52</v>
      </c>
      <c r="N48" s="15" t="s">
        <v>158</v>
      </c>
      <c r="O48" s="3">
        <f>G13*3</f>
        <v>300</v>
      </c>
      <c r="P48" s="3">
        <f>H13*3</f>
        <v>69.900000000000006</v>
      </c>
      <c r="Q48" s="19">
        <f>I13*3</f>
        <v>2.52</v>
      </c>
      <c r="S48" s="15" t="s">
        <v>135</v>
      </c>
      <c r="T48" s="3">
        <f>$G$6*0.5</f>
        <v>128.5</v>
      </c>
      <c r="U48" s="3">
        <f>$H$6*0.5</f>
        <v>4.5999999999999996</v>
      </c>
      <c r="V48" s="4">
        <f>$I$6*0.5</f>
        <v>0.14000000000000001</v>
      </c>
    </row>
    <row r="49" spans="1:22" x14ac:dyDescent="0.3">
      <c r="A49" s="15" t="s">
        <v>101</v>
      </c>
      <c r="B49" s="3">
        <f>$G$6*1</f>
        <v>257</v>
      </c>
      <c r="C49" s="3">
        <f>$H$6*1</f>
        <v>9.1999999999999993</v>
      </c>
      <c r="D49" s="19">
        <f>$I$6*1</f>
        <v>0.28000000000000003</v>
      </c>
      <c r="F49" s="15" t="s">
        <v>101</v>
      </c>
      <c r="G49" s="3">
        <f>$G$6*1</f>
        <v>257</v>
      </c>
      <c r="H49" s="3">
        <f>$H$6*1</f>
        <v>9.1999999999999993</v>
      </c>
      <c r="I49" s="19">
        <f>$I$6*1</f>
        <v>0.28000000000000003</v>
      </c>
      <c r="N49" s="15" t="s">
        <v>138</v>
      </c>
      <c r="O49" s="3">
        <f>51*5</f>
        <v>255</v>
      </c>
      <c r="P49" s="3">
        <f>5.3*5</f>
        <v>26.5</v>
      </c>
      <c r="Q49" s="19">
        <f>0.15*5</f>
        <v>0.75</v>
      </c>
      <c r="S49" s="15" t="s">
        <v>134</v>
      </c>
      <c r="T49" s="3">
        <f>T40+SUM(T47:T48)</f>
        <v>1872.4</v>
      </c>
      <c r="U49" s="3">
        <f t="shared" ref="U49:V49" si="15">U40+SUM(U47:U48)</f>
        <v>152.95000000000002</v>
      </c>
      <c r="V49" s="19">
        <f t="shared" si="15"/>
        <v>3.8270000000000004</v>
      </c>
    </row>
    <row r="50" spans="1:22" x14ac:dyDescent="0.3">
      <c r="A50" s="15" t="s">
        <v>138</v>
      </c>
      <c r="B50" s="3">
        <f>51*5</f>
        <v>255</v>
      </c>
      <c r="C50" s="3">
        <f>5.3*5</f>
        <v>26.5</v>
      </c>
      <c r="D50" s="19">
        <f>0.15*5</f>
        <v>0.75</v>
      </c>
      <c r="F50" s="15"/>
      <c r="G50" s="3"/>
      <c r="H50" s="3"/>
      <c r="I50" s="19"/>
      <c r="N50" s="15" t="s">
        <v>101</v>
      </c>
      <c r="O50" s="3">
        <f>$G$6*1</f>
        <v>257</v>
      </c>
      <c r="P50" s="3">
        <f>$H$6*1</f>
        <v>9.1999999999999993</v>
      </c>
      <c r="Q50" s="19">
        <f>$I$6*1</f>
        <v>0.28000000000000003</v>
      </c>
    </row>
    <row r="51" spans="1:22" x14ac:dyDescent="0.3">
      <c r="A51" s="15"/>
      <c r="B51" s="3"/>
      <c r="C51" s="3"/>
      <c r="D51" s="19"/>
      <c r="F51" s="15"/>
      <c r="G51" s="3"/>
      <c r="H51" s="3"/>
      <c r="I51" s="19"/>
      <c r="N51" s="15" t="s">
        <v>159</v>
      </c>
      <c r="O51" s="3">
        <f>350*2</f>
        <v>700</v>
      </c>
      <c r="P51" s="3">
        <f>11.5*2</f>
        <v>23</v>
      </c>
      <c r="Q51" s="19">
        <f>0.15*2</f>
        <v>0.3</v>
      </c>
    </row>
    <row r="52" spans="1:22" x14ac:dyDescent="0.3">
      <c r="A52" s="15"/>
      <c r="B52" s="3"/>
      <c r="C52" s="3"/>
      <c r="D52" s="19"/>
      <c r="F52" s="15"/>
      <c r="G52" s="3"/>
      <c r="H52" s="3"/>
      <c r="I52" s="19"/>
      <c r="N52" s="15"/>
      <c r="O52" s="3"/>
      <c r="P52" s="3"/>
      <c r="Q52" s="19"/>
    </row>
    <row r="53" spans="1:22" x14ac:dyDescent="0.3">
      <c r="A53" s="15" t="s">
        <v>70</v>
      </c>
      <c r="B53" s="3">
        <f>SUM(B46:B52)</f>
        <v>1515.4</v>
      </c>
      <c r="C53" s="3">
        <f t="shared" ref="C53:D53" si="16">SUM(C46:C52)</f>
        <v>139.60000000000002</v>
      </c>
      <c r="D53" s="19">
        <f t="shared" si="16"/>
        <v>3.702</v>
      </c>
      <c r="F53" s="15" t="s">
        <v>70</v>
      </c>
      <c r="G53" s="3">
        <f>SUM(G46:G52)</f>
        <v>1260.4000000000001</v>
      </c>
      <c r="H53" s="3">
        <f t="shared" ref="H53:I53" si="17">SUM(H46:H52)</f>
        <v>113.10000000000001</v>
      </c>
      <c r="I53" s="19">
        <f t="shared" si="17"/>
        <v>2.952</v>
      </c>
      <c r="N53" s="15" t="s">
        <v>134</v>
      </c>
      <c r="O53" s="3">
        <f>SUM(O46:O52)</f>
        <v>2388.6666666666665</v>
      </c>
      <c r="P53" s="3">
        <f t="shared" ref="P53" si="18">SUM(P46:P52)</f>
        <v>184.6</v>
      </c>
      <c r="Q53" s="19">
        <f>SUM(Q46:Q52)</f>
        <v>4.9633333333333329</v>
      </c>
    </row>
    <row r="55" spans="1:22" x14ac:dyDescent="0.3">
      <c r="A55" s="15" t="s">
        <v>143</v>
      </c>
      <c r="B55" s="15" t="s">
        <v>45</v>
      </c>
      <c r="C55" s="15" t="s">
        <v>83</v>
      </c>
      <c r="D55" s="15" t="s">
        <v>87</v>
      </c>
      <c r="F55" s="15" t="s">
        <v>143</v>
      </c>
      <c r="G55" s="15" t="s">
        <v>45</v>
      </c>
      <c r="H55" s="15" t="s">
        <v>83</v>
      </c>
      <c r="I55" s="15" t="s">
        <v>87</v>
      </c>
      <c r="N55" s="15" t="s">
        <v>156</v>
      </c>
      <c r="O55" s="15" t="s">
        <v>45</v>
      </c>
      <c r="P55" s="15" t="s">
        <v>83</v>
      </c>
      <c r="Q55" s="15" t="s">
        <v>40</v>
      </c>
    </row>
    <row r="56" spans="1:22" x14ac:dyDescent="0.3">
      <c r="A56" s="15"/>
      <c r="B56" s="3"/>
      <c r="C56" s="3"/>
      <c r="D56" s="19"/>
      <c r="F56" s="15" t="s">
        <v>145</v>
      </c>
      <c r="G56" s="3">
        <f>$O$12*0.35</f>
        <v>144.19999999999999</v>
      </c>
      <c r="H56" s="3">
        <f>$P$12*0.35</f>
        <v>28.7</v>
      </c>
      <c r="I56" s="19">
        <f>$Q$12*0.35</f>
        <v>0.82599999999999996</v>
      </c>
      <c r="N56" s="15" t="s">
        <v>114</v>
      </c>
      <c r="O56" s="3">
        <f>(47*5)</f>
        <v>235</v>
      </c>
      <c r="P56" s="3">
        <f>(3.3*5)</f>
        <v>16.5</v>
      </c>
      <c r="Q56" s="19">
        <f>(0.1*5)</f>
        <v>0.5</v>
      </c>
    </row>
    <row r="57" spans="1:22" x14ac:dyDescent="0.3">
      <c r="A57" s="15" t="s">
        <v>108</v>
      </c>
      <c r="B57" s="3">
        <v>350</v>
      </c>
      <c r="C57" s="3">
        <v>11.5</v>
      </c>
      <c r="D57" s="19">
        <v>0.13</v>
      </c>
      <c r="F57" s="15" t="s">
        <v>146</v>
      </c>
      <c r="G57" s="3">
        <f>47*2.5</f>
        <v>117.5</v>
      </c>
      <c r="H57" s="3">
        <f>3.3*2.5</f>
        <v>8.25</v>
      </c>
      <c r="I57" s="19">
        <f>0.1*2.5</f>
        <v>0.25</v>
      </c>
      <c r="N57" s="15" t="s">
        <v>160</v>
      </c>
      <c r="O57" s="3">
        <v>169</v>
      </c>
      <c r="P57" s="3">
        <v>15.4</v>
      </c>
      <c r="Q57" s="5">
        <v>0.47</v>
      </c>
    </row>
    <row r="58" spans="1:22" x14ac:dyDescent="0.3">
      <c r="A58" s="15"/>
      <c r="B58" s="3"/>
      <c r="C58" s="3"/>
      <c r="D58" s="3"/>
      <c r="F58" s="15" t="s">
        <v>108</v>
      </c>
      <c r="G58" s="3">
        <v>350</v>
      </c>
      <c r="H58" s="3">
        <v>11.5</v>
      </c>
      <c r="I58" s="19">
        <v>0.13</v>
      </c>
      <c r="N58" s="15" t="s">
        <v>162</v>
      </c>
      <c r="O58" s="3">
        <f>G13*3</f>
        <v>300</v>
      </c>
      <c r="P58" s="3">
        <f>H13*3</f>
        <v>69.900000000000006</v>
      </c>
      <c r="Q58" s="19">
        <f>I13*3</f>
        <v>2.52</v>
      </c>
    </row>
    <row r="59" spans="1:22" x14ac:dyDescent="0.3">
      <c r="A59" s="15" t="s">
        <v>134</v>
      </c>
      <c r="B59" s="3">
        <f>B53+SUM(B56:B58)</f>
        <v>1865.4</v>
      </c>
      <c r="C59" s="3">
        <f>C53+SUM(C56:C58)</f>
        <v>151.10000000000002</v>
      </c>
      <c r="D59" s="20">
        <f>D53+SUM(D56:D58)</f>
        <v>3.8319999999999999</v>
      </c>
      <c r="F59" s="15" t="s">
        <v>134</v>
      </c>
      <c r="G59" s="3">
        <f>G53+SUM(G56:G58)</f>
        <v>1872.1000000000001</v>
      </c>
      <c r="H59" s="3">
        <f>H53+SUM(H56:H58)</f>
        <v>161.55000000000001</v>
      </c>
      <c r="I59" s="20">
        <f>I53+SUM(I56:I58)</f>
        <v>4.1579999999999995</v>
      </c>
      <c r="N59" s="15" t="s">
        <v>161</v>
      </c>
      <c r="O59" s="3">
        <f>350*2</f>
        <v>700</v>
      </c>
      <c r="P59" s="3">
        <f>7.4*2</f>
        <v>14.8</v>
      </c>
      <c r="Q59" s="19">
        <f>0.2*2</f>
        <v>0.4</v>
      </c>
    </row>
    <row r="60" spans="1:22" x14ac:dyDescent="0.3">
      <c r="N60" s="15"/>
      <c r="O60" s="3"/>
      <c r="P60" s="3"/>
      <c r="Q60" s="19"/>
    </row>
    <row r="61" spans="1:22" x14ac:dyDescent="0.3">
      <c r="A61" s="15" t="s">
        <v>144</v>
      </c>
      <c r="B61" s="15" t="s">
        <v>45</v>
      </c>
      <c r="C61" s="15" t="s">
        <v>83</v>
      </c>
      <c r="D61" s="15" t="s">
        <v>87</v>
      </c>
      <c r="F61" s="15" t="s">
        <v>144</v>
      </c>
      <c r="G61" s="15" t="s">
        <v>45</v>
      </c>
      <c r="H61" s="15" t="s">
        <v>83</v>
      </c>
      <c r="I61" s="15" t="s">
        <v>87</v>
      </c>
      <c r="N61" s="15"/>
      <c r="O61" s="3"/>
      <c r="P61" s="3"/>
      <c r="Q61" s="3"/>
    </row>
    <row r="62" spans="1:22" x14ac:dyDescent="0.3">
      <c r="A62" s="15" t="s">
        <v>141</v>
      </c>
      <c r="B62" s="3">
        <f>240*1</f>
        <v>240</v>
      </c>
      <c r="C62" s="3">
        <f>15*1</f>
        <v>15</v>
      </c>
      <c r="D62" s="19">
        <f>0.26*1</f>
        <v>0.26</v>
      </c>
      <c r="F62" s="15" t="s">
        <v>145</v>
      </c>
      <c r="G62" s="3">
        <f>$O$12*0.35</f>
        <v>144.19999999999999</v>
      </c>
      <c r="H62" s="3">
        <f>$P$12*0.35</f>
        <v>28.7</v>
      </c>
      <c r="I62" s="19">
        <f>$Q$12*0.35</f>
        <v>0.82599999999999996</v>
      </c>
      <c r="N62" s="15" t="s">
        <v>142</v>
      </c>
      <c r="O62" s="3">
        <f>240*2</f>
        <v>480</v>
      </c>
      <c r="P62" s="3">
        <f>15*2</f>
        <v>30</v>
      </c>
      <c r="Q62" s="19">
        <f>0.26*2</f>
        <v>0.52</v>
      </c>
    </row>
    <row r="63" spans="1:22" x14ac:dyDescent="0.3">
      <c r="A63" s="15"/>
      <c r="B63" s="3"/>
      <c r="C63" s="3"/>
      <c r="D63" s="19"/>
      <c r="F63" s="15" t="s">
        <v>146</v>
      </c>
      <c r="G63" s="3">
        <f>47*2.5</f>
        <v>117.5</v>
      </c>
      <c r="H63" s="3">
        <f>3.3*2.5</f>
        <v>8.25</v>
      </c>
      <c r="I63" s="19">
        <f>0.1*2.5</f>
        <v>0.25</v>
      </c>
      <c r="N63" s="15" t="s">
        <v>134</v>
      </c>
      <c r="O63" s="3">
        <f>SUM(O56:O62)</f>
        <v>1884</v>
      </c>
      <c r="P63" s="3">
        <f>SUM(P56:P62)</f>
        <v>146.60000000000002</v>
      </c>
      <c r="Q63" s="19">
        <f>SUM(Q56:Q62)</f>
        <v>4.41</v>
      </c>
    </row>
    <row r="64" spans="1:22" x14ac:dyDescent="0.3">
      <c r="A64" s="15"/>
      <c r="B64" s="3"/>
      <c r="C64" s="3"/>
      <c r="D64" s="3"/>
      <c r="F64" s="15" t="s">
        <v>105</v>
      </c>
      <c r="G64" s="3">
        <v>348</v>
      </c>
      <c r="H64" s="3">
        <v>9</v>
      </c>
      <c r="I64" s="19">
        <v>0.2</v>
      </c>
    </row>
    <row r="65" spans="1:17" x14ac:dyDescent="0.3">
      <c r="A65" s="15" t="s">
        <v>134</v>
      </c>
      <c r="B65" s="3">
        <f>B53+SUM(B62:B64)</f>
        <v>1755.4</v>
      </c>
      <c r="C65" s="3">
        <f t="shared" ref="C65:D65" si="19">C53+SUM(C62:C64)</f>
        <v>154.60000000000002</v>
      </c>
      <c r="D65" s="19">
        <f t="shared" si="19"/>
        <v>3.9619999999999997</v>
      </c>
      <c r="F65" s="15" t="s">
        <v>134</v>
      </c>
      <c r="G65" s="3">
        <f>G53+SUM(G62:G64)</f>
        <v>1870.1000000000001</v>
      </c>
      <c r="H65" s="3">
        <f t="shared" ref="H65" si="20">H53+SUM(H62:H64)</f>
        <v>159.05000000000001</v>
      </c>
      <c r="I65" s="19">
        <f t="shared" ref="I65" si="21">I53+SUM(I62:I64)</f>
        <v>4.2279999999999998</v>
      </c>
      <c r="N65" s="15" t="s">
        <v>164</v>
      </c>
      <c r="O65" s="15" t="s">
        <v>45</v>
      </c>
      <c r="P65" s="15" t="s">
        <v>83</v>
      </c>
      <c r="Q65" s="15" t="s">
        <v>40</v>
      </c>
    </row>
    <row r="66" spans="1:17" x14ac:dyDescent="0.3">
      <c r="N66" s="15" t="s">
        <v>138</v>
      </c>
      <c r="O66" s="3">
        <f>51*5</f>
        <v>255</v>
      </c>
      <c r="P66" s="3">
        <f>5.3*5</f>
        <v>26.5</v>
      </c>
      <c r="Q66" s="19">
        <f>0.15*5</f>
        <v>0.75</v>
      </c>
    </row>
    <row r="67" spans="1:17" x14ac:dyDescent="0.3">
      <c r="A67" s="15" t="s">
        <v>149</v>
      </c>
      <c r="B67" s="15" t="s">
        <v>45</v>
      </c>
      <c r="C67" s="15" t="s">
        <v>83</v>
      </c>
      <c r="D67" s="15" t="s">
        <v>87</v>
      </c>
      <c r="F67" s="15" t="s">
        <v>149</v>
      </c>
      <c r="G67" s="15" t="s">
        <v>45</v>
      </c>
      <c r="H67" s="15" t="s">
        <v>83</v>
      </c>
      <c r="I67" s="15" t="s">
        <v>87</v>
      </c>
      <c r="N67" s="15" t="s">
        <v>101</v>
      </c>
      <c r="O67" s="3">
        <f>$G$6*1</f>
        <v>257</v>
      </c>
      <c r="P67" s="3">
        <f>$H$6*1</f>
        <v>9.1999999999999993</v>
      </c>
      <c r="Q67" s="19">
        <f>$I$6*1</f>
        <v>0.28000000000000003</v>
      </c>
    </row>
    <row r="68" spans="1:17" x14ac:dyDescent="0.3">
      <c r="A68" s="15" t="s">
        <v>150</v>
      </c>
      <c r="B68" s="3">
        <f>68*2</f>
        <v>136</v>
      </c>
      <c r="C68" s="3">
        <f>6.2*2</f>
        <v>12.4</v>
      </c>
      <c r="D68" s="19">
        <f>0.2*2</f>
        <v>0.4</v>
      </c>
      <c r="F68" s="15" t="s">
        <v>145</v>
      </c>
      <c r="G68" s="3">
        <f>$O$12*0.35</f>
        <v>144.19999999999999</v>
      </c>
      <c r="H68" s="3">
        <f>$P$12*0.35</f>
        <v>28.7</v>
      </c>
      <c r="I68" s="19">
        <f>$Q$12*0.35</f>
        <v>0.82599999999999996</v>
      </c>
      <c r="N68" s="15" t="s">
        <v>142</v>
      </c>
      <c r="O68" s="3">
        <f>240*2</f>
        <v>480</v>
      </c>
      <c r="P68" s="3">
        <f>15*2</f>
        <v>30</v>
      </c>
      <c r="Q68" s="19">
        <f>0.26*2</f>
        <v>0.52</v>
      </c>
    </row>
    <row r="69" spans="1:17" x14ac:dyDescent="0.3">
      <c r="A69" s="15"/>
      <c r="B69" s="3"/>
      <c r="C69" s="3"/>
      <c r="D69" s="3"/>
      <c r="F69" s="15" t="s">
        <v>146</v>
      </c>
      <c r="G69" s="3">
        <f>47*2.5</f>
        <v>117.5</v>
      </c>
      <c r="H69" s="3">
        <f>3.3*2.5</f>
        <v>8.25</v>
      </c>
      <c r="I69" s="19">
        <f>0.1*2.5</f>
        <v>0.25</v>
      </c>
      <c r="N69" s="15" t="s">
        <v>165</v>
      </c>
      <c r="O69" s="3">
        <f>G13*2</f>
        <v>200</v>
      </c>
      <c r="P69" s="3">
        <f>H13*2</f>
        <v>46.6</v>
      </c>
      <c r="Q69" s="19">
        <f>I13*2</f>
        <v>1.68</v>
      </c>
    </row>
    <row r="70" spans="1:17" x14ac:dyDescent="0.3">
      <c r="A70" s="15"/>
      <c r="B70" s="3"/>
      <c r="C70" s="3"/>
      <c r="D70" s="3"/>
      <c r="F70" s="15" t="s">
        <v>141</v>
      </c>
      <c r="G70" s="3">
        <f>240*1</f>
        <v>240</v>
      </c>
      <c r="H70" s="3">
        <f>15*1</f>
        <v>15</v>
      </c>
      <c r="I70" s="19">
        <f>0.26*1</f>
        <v>0.26</v>
      </c>
      <c r="N70" s="15" t="s">
        <v>166</v>
      </c>
      <c r="O70" s="3">
        <f>350*1</f>
        <v>350</v>
      </c>
      <c r="P70" s="3">
        <f>7.4*1</f>
        <v>7.4</v>
      </c>
      <c r="Q70" s="19">
        <f>0.2*1</f>
        <v>0.2</v>
      </c>
    </row>
    <row r="71" spans="1:17" x14ac:dyDescent="0.3">
      <c r="A71" s="15" t="s">
        <v>134</v>
      </c>
      <c r="B71" s="3">
        <f>B53+SUM(B68:B70)</f>
        <v>1651.4</v>
      </c>
      <c r="C71" s="3">
        <f t="shared" ref="C71:D71" si="22">C53+SUM(C68:C70)</f>
        <v>152.00000000000003</v>
      </c>
      <c r="D71" s="19">
        <f t="shared" si="22"/>
        <v>4.1020000000000003</v>
      </c>
      <c r="F71" s="15" t="s">
        <v>134</v>
      </c>
      <c r="G71" s="3">
        <f>G53+SUM(G68:G70)</f>
        <v>1762.1000000000001</v>
      </c>
      <c r="H71" s="3">
        <f t="shared" ref="H71:I71" si="23">H53+SUM(H68:H70)</f>
        <v>165.05</v>
      </c>
      <c r="I71" s="19">
        <f t="shared" si="23"/>
        <v>4.2880000000000003</v>
      </c>
      <c r="N71" s="15" t="s">
        <v>160</v>
      </c>
      <c r="O71" s="3">
        <f>169*1</f>
        <v>169</v>
      </c>
      <c r="P71" s="3">
        <f>15.4*1</f>
        <v>15.4</v>
      </c>
      <c r="Q71" s="5">
        <f>0.47*1</f>
        <v>0.47</v>
      </c>
    </row>
    <row r="72" spans="1:17" x14ac:dyDescent="0.3">
      <c r="N72" s="15" t="s">
        <v>167</v>
      </c>
      <c r="O72" s="3">
        <f>136*0.5</f>
        <v>68</v>
      </c>
      <c r="P72" s="3">
        <f>12.4*0.5</f>
        <v>6.2</v>
      </c>
      <c r="Q72" s="5">
        <f>0.49*0.5</f>
        <v>0.245</v>
      </c>
    </row>
    <row r="73" spans="1:17" x14ac:dyDescent="0.3">
      <c r="A73" s="15" t="s">
        <v>151</v>
      </c>
      <c r="B73" s="15" t="s">
        <v>45</v>
      </c>
      <c r="C73" s="15" t="s">
        <v>83</v>
      </c>
      <c r="D73" s="15" t="s">
        <v>87</v>
      </c>
      <c r="N73" s="15" t="s">
        <v>174</v>
      </c>
      <c r="O73" s="3">
        <f>(47*10)/3</f>
        <v>156.66666666666666</v>
      </c>
      <c r="P73" s="3">
        <f>(3.3*10)/3</f>
        <v>11</v>
      </c>
      <c r="Q73" s="19">
        <f>(0.1*10)/3</f>
        <v>0.33333333333333331</v>
      </c>
    </row>
    <row r="74" spans="1:17" x14ac:dyDescent="0.3">
      <c r="A74" s="15" t="s">
        <v>152</v>
      </c>
      <c r="B74" s="3">
        <v>-255</v>
      </c>
      <c r="C74" s="3">
        <v>-26.5</v>
      </c>
      <c r="D74" s="19">
        <v>-0.75</v>
      </c>
      <c r="N74" s="15" t="s">
        <v>134</v>
      </c>
      <c r="O74" s="3">
        <f>SUM(O66:O73)</f>
        <v>1935.6666666666667</v>
      </c>
      <c r="P74" s="3">
        <f>SUM(P66:P73)</f>
        <v>152.30000000000001</v>
      </c>
      <c r="Q74" s="19">
        <f>SUM(Q66:Q73)</f>
        <v>4.4783333333333335</v>
      </c>
    </row>
    <row r="75" spans="1:17" x14ac:dyDescent="0.3">
      <c r="A75" s="15" t="s">
        <v>142</v>
      </c>
      <c r="B75" s="3">
        <f>240*2</f>
        <v>480</v>
      </c>
      <c r="C75" s="3">
        <f>15*2</f>
        <v>30</v>
      </c>
      <c r="D75" s="19">
        <f>0.26*2</f>
        <v>0.52</v>
      </c>
    </row>
    <row r="76" spans="1:17" x14ac:dyDescent="0.3">
      <c r="A76" s="15" t="s">
        <v>154</v>
      </c>
      <c r="B76" s="3">
        <f>G16*1</f>
        <v>169</v>
      </c>
      <c r="C76" s="3">
        <f t="shared" ref="C76:D76" si="24">H16*1</f>
        <v>15.4</v>
      </c>
      <c r="D76" s="19">
        <f t="shared" si="24"/>
        <v>0.47</v>
      </c>
    </row>
    <row r="77" spans="1:17" x14ac:dyDescent="0.3">
      <c r="A77" s="15" t="s">
        <v>134</v>
      </c>
      <c r="B77" s="3">
        <f>B53+SUM(B74:B76)</f>
        <v>1909.4</v>
      </c>
      <c r="C77" s="3">
        <f t="shared" ref="C77:D77" si="25">C53+SUM(C74:C76)</f>
        <v>158.50000000000003</v>
      </c>
      <c r="D77" s="19">
        <f t="shared" si="25"/>
        <v>3.9420000000000002</v>
      </c>
    </row>
    <row r="80" spans="1:17" x14ac:dyDescent="0.3">
      <c r="A80" s="15" t="s">
        <v>173</v>
      </c>
      <c r="B80" s="15" t="s">
        <v>45</v>
      </c>
      <c r="C80" s="15" t="s">
        <v>83</v>
      </c>
      <c r="D80" s="15" t="s">
        <v>87</v>
      </c>
      <c r="F80" s="15" t="s">
        <v>177</v>
      </c>
      <c r="G80" s="15" t="s">
        <v>45</v>
      </c>
      <c r="H80" s="15" t="s">
        <v>83</v>
      </c>
      <c r="I80" s="15" t="s">
        <v>87</v>
      </c>
    </row>
    <row r="81" spans="1:9" x14ac:dyDescent="0.3">
      <c r="A81" s="36" t="s">
        <v>174</v>
      </c>
      <c r="B81" s="3">
        <f>(47*10)/3</f>
        <v>156.66666666666666</v>
      </c>
      <c r="C81" s="3">
        <f>(3.3*10)/3</f>
        <v>11</v>
      </c>
      <c r="D81" s="19">
        <f>(0.1*10)/3</f>
        <v>0.33333333333333331</v>
      </c>
      <c r="F81" s="36" t="s">
        <v>174</v>
      </c>
      <c r="G81" s="3">
        <f>(47*10)/3</f>
        <v>156.66666666666666</v>
      </c>
      <c r="H81" s="3">
        <f>(3.3*10)/3</f>
        <v>11</v>
      </c>
      <c r="I81" s="19">
        <f>(0.1*10)/3</f>
        <v>0.33333333333333331</v>
      </c>
    </row>
    <row r="82" spans="1:9" x14ac:dyDescent="0.3">
      <c r="A82" s="36" t="s">
        <v>138</v>
      </c>
      <c r="B82" s="3">
        <f>51*5</f>
        <v>255</v>
      </c>
      <c r="C82" s="3">
        <f>5.3*5</f>
        <v>26.5</v>
      </c>
      <c r="D82" s="19">
        <f>0.15*5</f>
        <v>0.75</v>
      </c>
      <c r="F82" s="36" t="s">
        <v>138</v>
      </c>
      <c r="G82" s="3">
        <f>51*5</f>
        <v>255</v>
      </c>
      <c r="H82" s="3">
        <f>5.3*5</f>
        <v>26.5</v>
      </c>
      <c r="I82" s="19">
        <f>0.15*5</f>
        <v>0.75</v>
      </c>
    </row>
    <row r="83" spans="1:9" x14ac:dyDescent="0.3">
      <c r="A83" s="15" t="s">
        <v>101</v>
      </c>
      <c r="B83" s="3">
        <f>$G$6*1</f>
        <v>257</v>
      </c>
      <c r="C83" s="3">
        <f>$H$6*1</f>
        <v>9.1999999999999993</v>
      </c>
      <c r="D83" s="19">
        <f>$I$6*1</f>
        <v>0.28000000000000003</v>
      </c>
      <c r="F83" s="15" t="s">
        <v>101</v>
      </c>
      <c r="G83" s="3">
        <f>$G$6*1</f>
        <v>257</v>
      </c>
      <c r="H83" s="3">
        <f>$H$6*1</f>
        <v>9.1999999999999993</v>
      </c>
      <c r="I83" s="19">
        <f>$I$6*1</f>
        <v>0.28000000000000003</v>
      </c>
    </row>
    <row r="84" spans="1:9" x14ac:dyDescent="0.3">
      <c r="A84" s="15" t="s">
        <v>168</v>
      </c>
      <c r="B84" s="3">
        <f>240*3</f>
        <v>720</v>
      </c>
      <c r="C84" s="3">
        <f>15*3</f>
        <v>45</v>
      </c>
      <c r="D84" s="19">
        <f>0.26*3</f>
        <v>0.78</v>
      </c>
      <c r="F84" s="15" t="s">
        <v>168</v>
      </c>
      <c r="G84" s="3">
        <f>240*3</f>
        <v>720</v>
      </c>
      <c r="H84" s="3">
        <f>15*3</f>
        <v>45</v>
      </c>
      <c r="I84" s="19">
        <f>0.26*3</f>
        <v>0.78</v>
      </c>
    </row>
    <row r="85" spans="1:9" x14ac:dyDescent="0.3">
      <c r="A85" s="37" t="s">
        <v>165</v>
      </c>
      <c r="B85" s="3">
        <f>100*2</f>
        <v>200</v>
      </c>
      <c r="C85" s="3">
        <f>23.3*2</f>
        <v>46.6</v>
      </c>
      <c r="D85" s="19">
        <f>0.84*2</f>
        <v>1.68</v>
      </c>
      <c r="F85" s="37" t="s">
        <v>178</v>
      </c>
      <c r="G85" s="3">
        <f>123*1</f>
        <v>123</v>
      </c>
      <c r="H85" s="3">
        <f>30*1</f>
        <v>30</v>
      </c>
      <c r="I85" s="19">
        <f>1.09*1</f>
        <v>1.0900000000000001</v>
      </c>
    </row>
    <row r="86" spans="1:9" x14ac:dyDescent="0.3">
      <c r="A86" s="37" t="s">
        <v>176</v>
      </c>
      <c r="B86" s="3">
        <f>1*331</f>
        <v>331</v>
      </c>
      <c r="C86" s="3">
        <f>1*19</f>
        <v>19</v>
      </c>
      <c r="D86" s="5">
        <f>1*0.83</f>
        <v>0.83</v>
      </c>
      <c r="F86" s="37" t="s">
        <v>176</v>
      </c>
      <c r="G86" s="3">
        <f>1*331</f>
        <v>331</v>
      </c>
      <c r="H86" s="3">
        <f>1*19</f>
        <v>19</v>
      </c>
      <c r="I86" s="5">
        <f>1*0.83</f>
        <v>0.83</v>
      </c>
    </row>
    <row r="87" spans="1:9" x14ac:dyDescent="0.3">
      <c r="A87" s="15"/>
      <c r="B87" s="3"/>
      <c r="C87" s="3"/>
      <c r="D87" s="19"/>
      <c r="F87" s="37" t="s">
        <v>180</v>
      </c>
      <c r="G87" s="21">
        <f>49*2</f>
        <v>98</v>
      </c>
      <c r="H87" s="21">
        <f>5.5*2</f>
        <v>11</v>
      </c>
      <c r="I87" s="5">
        <f>0.35*2</f>
        <v>0.7</v>
      </c>
    </row>
    <row r="88" spans="1:9" x14ac:dyDescent="0.3">
      <c r="A88" s="15"/>
      <c r="B88" s="3"/>
      <c r="C88" s="3"/>
      <c r="D88" s="19"/>
      <c r="F88" s="15"/>
      <c r="G88" s="3"/>
      <c r="H88" s="3"/>
      <c r="I88" s="19"/>
    </row>
    <row r="89" spans="1:9" x14ac:dyDescent="0.3">
      <c r="A89" s="15"/>
      <c r="B89" s="3"/>
      <c r="C89" s="3"/>
      <c r="D89" s="19"/>
      <c r="F89" s="15"/>
      <c r="G89" s="3"/>
      <c r="H89" s="3"/>
      <c r="I89" s="19"/>
    </row>
    <row r="90" spans="1:9" x14ac:dyDescent="0.3">
      <c r="A90" s="15"/>
      <c r="B90" s="3"/>
      <c r="C90" s="3"/>
      <c r="D90" s="19"/>
      <c r="F90" s="15"/>
      <c r="G90" s="3"/>
      <c r="H90" s="3"/>
      <c r="I90" s="19"/>
    </row>
    <row r="91" spans="1:9" x14ac:dyDescent="0.3">
      <c r="A91" s="15" t="s">
        <v>134</v>
      </c>
      <c r="B91" s="17">
        <f>SUM(B81:B90)</f>
        <v>1919.6666666666665</v>
      </c>
      <c r="C91" s="17">
        <f t="shared" ref="C91:D91" si="26">SUM(C81:C90)</f>
        <v>157.30000000000001</v>
      </c>
      <c r="D91" s="35">
        <f t="shared" si="26"/>
        <v>4.6533333333333333</v>
      </c>
      <c r="F91" s="15" t="s">
        <v>134</v>
      </c>
      <c r="G91" s="17">
        <f>SUM(G81:G90)</f>
        <v>1940.6666666666665</v>
      </c>
      <c r="H91" s="17">
        <f t="shared" ref="H91" si="27">SUM(H81:H90)</f>
        <v>151.69999999999999</v>
      </c>
      <c r="I91" s="35">
        <f t="shared" ref="I91" si="28">SUM(I81:I90)</f>
        <v>4.7633333333333336</v>
      </c>
    </row>
    <row r="93" spans="1:9" x14ac:dyDescent="0.3">
      <c r="A93" s="15" t="s">
        <v>173</v>
      </c>
      <c r="B93" s="15" t="s">
        <v>45</v>
      </c>
      <c r="C93" s="15" t="s">
        <v>83</v>
      </c>
      <c r="D93" s="15" t="s">
        <v>87</v>
      </c>
      <c r="F93" s="15" t="s">
        <v>177</v>
      </c>
      <c r="G93" s="15" t="s">
        <v>45</v>
      </c>
      <c r="H93" s="15" t="s">
        <v>83</v>
      </c>
      <c r="I93" s="15" t="s">
        <v>87</v>
      </c>
    </row>
    <row r="94" spans="1:9" x14ac:dyDescent="0.3">
      <c r="A94" s="36" t="s">
        <v>174</v>
      </c>
      <c r="B94" s="3">
        <f>(47*10)/3</f>
        <v>156.66666666666666</v>
      </c>
      <c r="C94" s="3">
        <f>(3.3*10)/3</f>
        <v>11</v>
      </c>
      <c r="D94" s="19">
        <f>(0.1*10)/3</f>
        <v>0.33333333333333331</v>
      </c>
      <c r="F94" s="36" t="s">
        <v>174</v>
      </c>
      <c r="G94" s="3">
        <f>(47*10)/3</f>
        <v>156.66666666666666</v>
      </c>
      <c r="H94" s="3">
        <f>(3.3*10)/3</f>
        <v>11</v>
      </c>
      <c r="I94" s="19">
        <f>(0.1*10)/3</f>
        <v>0.33333333333333331</v>
      </c>
    </row>
    <row r="95" spans="1:9" x14ac:dyDescent="0.3">
      <c r="A95" s="36" t="s">
        <v>138</v>
      </c>
      <c r="B95" s="3">
        <f>51*5</f>
        <v>255</v>
      </c>
      <c r="C95" s="3">
        <f>5.3*5</f>
        <v>26.5</v>
      </c>
      <c r="D95" s="19">
        <f>0.15*5</f>
        <v>0.75</v>
      </c>
      <c r="F95" s="36" t="s">
        <v>138</v>
      </c>
      <c r="G95" s="3">
        <f>51*5</f>
        <v>255</v>
      </c>
      <c r="H95" s="3">
        <f>5.3*5</f>
        <v>26.5</v>
      </c>
      <c r="I95" s="19">
        <f>0.15*5</f>
        <v>0.75</v>
      </c>
    </row>
    <row r="96" spans="1:9" x14ac:dyDescent="0.3">
      <c r="A96" s="15" t="s">
        <v>101</v>
      </c>
      <c r="B96" s="3">
        <f>$G$6*1</f>
        <v>257</v>
      </c>
      <c r="C96" s="3">
        <f>$H$6*1</f>
        <v>9.1999999999999993</v>
      </c>
      <c r="D96" s="19">
        <f>$I$6*1</f>
        <v>0.28000000000000003</v>
      </c>
      <c r="F96" s="15" t="s">
        <v>101</v>
      </c>
      <c r="G96" s="3">
        <f>$G$6*1</f>
        <v>257</v>
      </c>
      <c r="H96" s="3">
        <f>$H$6*1</f>
        <v>9.1999999999999993</v>
      </c>
      <c r="I96" s="19">
        <f>$I$6*1</f>
        <v>0.28000000000000003</v>
      </c>
    </row>
    <row r="97" spans="1:9" x14ac:dyDescent="0.3">
      <c r="A97" s="15" t="s">
        <v>168</v>
      </c>
      <c r="B97" s="3">
        <f>240*3</f>
        <v>720</v>
      </c>
      <c r="C97" s="3">
        <f>15*3</f>
        <v>45</v>
      </c>
      <c r="D97" s="19">
        <f>0.26*3</f>
        <v>0.78</v>
      </c>
      <c r="F97" s="15" t="s">
        <v>168</v>
      </c>
      <c r="G97" s="3">
        <f>240*3</f>
        <v>720</v>
      </c>
      <c r="H97" s="3">
        <f>15*3</f>
        <v>45</v>
      </c>
      <c r="I97" s="19">
        <f>0.26*3</f>
        <v>0.78</v>
      </c>
    </row>
    <row r="98" spans="1:9" x14ac:dyDescent="0.3">
      <c r="A98" s="37" t="s">
        <v>165</v>
      </c>
      <c r="B98" s="3">
        <f>100*2</f>
        <v>200</v>
      </c>
      <c r="C98" s="3">
        <f>23.3*2</f>
        <v>46.6</v>
      </c>
      <c r="D98" s="19">
        <f>0.84*2</f>
        <v>1.68</v>
      </c>
      <c r="F98" s="37" t="s">
        <v>178</v>
      </c>
      <c r="G98" s="3">
        <f>123*1</f>
        <v>123</v>
      </c>
      <c r="H98" s="3">
        <f>30*1</f>
        <v>30</v>
      </c>
      <c r="I98" s="19">
        <f>1.09*1</f>
        <v>1.0900000000000001</v>
      </c>
    </row>
    <row r="99" spans="1:9" x14ac:dyDescent="0.3">
      <c r="A99" s="37" t="s">
        <v>181</v>
      </c>
      <c r="B99" s="3">
        <f>169*1.4</f>
        <v>236.6</v>
      </c>
      <c r="C99" s="3">
        <f>15.4*1.4</f>
        <v>21.56</v>
      </c>
      <c r="D99" s="5">
        <f>0.47*1.4</f>
        <v>0.65799999999999992</v>
      </c>
      <c r="F99" s="37" t="s">
        <v>184</v>
      </c>
      <c r="G99" s="3">
        <f>315*1.25</f>
        <v>393.75</v>
      </c>
      <c r="H99" s="3">
        <f>22*1.25</f>
        <v>27.5</v>
      </c>
      <c r="I99" s="5">
        <f>0.9*1.25</f>
        <v>1.125</v>
      </c>
    </row>
    <row r="100" spans="1:9" x14ac:dyDescent="0.3">
      <c r="A100" s="15"/>
      <c r="B100" s="3"/>
      <c r="C100" s="3"/>
      <c r="D100" s="19"/>
      <c r="F100" s="37" t="s">
        <v>179</v>
      </c>
      <c r="G100" s="21">
        <v>49</v>
      </c>
      <c r="H100" s="21">
        <v>5.5</v>
      </c>
      <c r="I100" s="5">
        <v>0.35</v>
      </c>
    </row>
    <row r="101" spans="1:9" x14ac:dyDescent="0.3">
      <c r="A101" s="15"/>
      <c r="B101" s="3"/>
      <c r="C101" s="3"/>
      <c r="D101" s="19"/>
      <c r="F101" s="15"/>
      <c r="G101" s="3"/>
      <c r="H101" s="3"/>
      <c r="I101" s="19"/>
    </row>
    <row r="102" spans="1:9" x14ac:dyDescent="0.3">
      <c r="A102" s="15"/>
      <c r="B102" s="3"/>
      <c r="C102" s="3"/>
      <c r="D102" s="19"/>
      <c r="F102" s="15"/>
      <c r="G102" s="3"/>
      <c r="H102" s="3"/>
      <c r="I102" s="19"/>
    </row>
    <row r="103" spans="1:9" x14ac:dyDescent="0.3">
      <c r="A103" s="15"/>
      <c r="B103" s="3"/>
      <c r="C103" s="3"/>
      <c r="D103" s="19"/>
      <c r="F103" s="15"/>
      <c r="G103" s="3"/>
      <c r="H103" s="3"/>
      <c r="I103" s="19"/>
    </row>
    <row r="104" spans="1:9" x14ac:dyDescent="0.3">
      <c r="A104" s="15" t="s">
        <v>134</v>
      </c>
      <c r="B104" s="17">
        <f>SUM(B94:B103)</f>
        <v>1825.2666666666664</v>
      </c>
      <c r="C104" s="17">
        <f t="shared" ref="C104:D104" si="29">SUM(C94:C103)</f>
        <v>159.86000000000001</v>
      </c>
      <c r="D104" s="35">
        <f t="shared" si="29"/>
        <v>4.4813333333333336</v>
      </c>
      <c r="F104" s="15" t="s">
        <v>134</v>
      </c>
      <c r="G104" s="17">
        <f>SUM(G94:G103)</f>
        <v>1954.4166666666665</v>
      </c>
      <c r="H104" s="17">
        <f t="shared" ref="H104:I104" si="30">SUM(H94:H103)</f>
        <v>154.69999999999999</v>
      </c>
      <c r="I104" s="35">
        <f t="shared" si="30"/>
        <v>4.708333333333333</v>
      </c>
    </row>
    <row r="106" spans="1:9" x14ac:dyDescent="0.3">
      <c r="A106" s="15" t="s">
        <v>173</v>
      </c>
      <c r="B106" s="15" t="s">
        <v>45</v>
      </c>
      <c r="C106" s="15" t="s">
        <v>83</v>
      </c>
      <c r="D106" s="15" t="s">
        <v>87</v>
      </c>
      <c r="F106" s="15" t="s">
        <v>177</v>
      </c>
      <c r="G106" s="15" t="s">
        <v>45</v>
      </c>
      <c r="H106" s="15" t="s">
        <v>83</v>
      </c>
      <c r="I106" s="15" t="s">
        <v>87</v>
      </c>
    </row>
    <row r="107" spans="1:9" x14ac:dyDescent="0.3">
      <c r="A107" s="36" t="s">
        <v>174</v>
      </c>
      <c r="B107" s="3">
        <f>(47*10)/3</f>
        <v>156.66666666666666</v>
      </c>
      <c r="C107" s="3">
        <f>(3.3*10)/3</f>
        <v>11</v>
      </c>
      <c r="D107" s="19">
        <f>(0.1*10)/3</f>
        <v>0.33333333333333331</v>
      </c>
      <c r="F107" s="36" t="s">
        <v>174</v>
      </c>
      <c r="G107" s="3">
        <f>(47*10)/3</f>
        <v>156.66666666666666</v>
      </c>
      <c r="H107" s="3">
        <f>(3.3*10)/3</f>
        <v>11</v>
      </c>
      <c r="I107" s="19">
        <f>(0.1*10)/3</f>
        <v>0.33333333333333331</v>
      </c>
    </row>
    <row r="108" spans="1:9" x14ac:dyDescent="0.3">
      <c r="A108" s="36" t="s">
        <v>138</v>
      </c>
      <c r="B108" s="3">
        <f>51*5</f>
        <v>255</v>
      </c>
      <c r="C108" s="3">
        <f>5.3*5</f>
        <v>26.5</v>
      </c>
      <c r="D108" s="19">
        <f>0.15*5</f>
        <v>0.75</v>
      </c>
      <c r="F108" s="36" t="s">
        <v>138</v>
      </c>
      <c r="G108" s="3">
        <f>51*5</f>
        <v>255</v>
      </c>
      <c r="H108" s="3">
        <f>5.3*5</f>
        <v>26.5</v>
      </c>
      <c r="I108" s="19">
        <f>0.15*5</f>
        <v>0.75</v>
      </c>
    </row>
    <row r="109" spans="1:9" x14ac:dyDescent="0.3">
      <c r="A109" s="15" t="s">
        <v>101</v>
      </c>
      <c r="B109" s="3">
        <f>$G$6*1</f>
        <v>257</v>
      </c>
      <c r="C109" s="3">
        <f>$H$6*1</f>
        <v>9.1999999999999993</v>
      </c>
      <c r="D109" s="19">
        <f>$I$6*1</f>
        <v>0.28000000000000003</v>
      </c>
      <c r="F109" s="15" t="s">
        <v>101</v>
      </c>
      <c r="G109" s="3">
        <f>$G$6*1</f>
        <v>257</v>
      </c>
      <c r="H109" s="3">
        <f>$H$6*1</f>
        <v>9.1999999999999993</v>
      </c>
      <c r="I109" s="19">
        <f>$I$6*1</f>
        <v>0.28000000000000003</v>
      </c>
    </row>
    <row r="110" spans="1:9" x14ac:dyDescent="0.3">
      <c r="A110" s="15" t="s">
        <v>168</v>
      </c>
      <c r="B110" s="3">
        <f>240*3</f>
        <v>720</v>
      </c>
      <c r="C110" s="3">
        <f>15*3</f>
        <v>45</v>
      </c>
      <c r="D110" s="19">
        <f>0.26*3</f>
        <v>0.78</v>
      </c>
      <c r="F110" s="15" t="s">
        <v>168</v>
      </c>
      <c r="G110" s="3">
        <f>240*3</f>
        <v>720</v>
      </c>
      <c r="H110" s="3">
        <f>15*3</f>
        <v>45</v>
      </c>
      <c r="I110" s="19">
        <f>0.26*3</f>
        <v>0.78</v>
      </c>
    </row>
    <row r="111" spans="1:9" x14ac:dyDescent="0.3">
      <c r="A111" s="37" t="s">
        <v>165</v>
      </c>
      <c r="B111" s="3">
        <f>100*2</f>
        <v>200</v>
      </c>
      <c r="C111" s="3">
        <f>23.3*2</f>
        <v>46.6</v>
      </c>
      <c r="D111" s="19">
        <f>0.84*2</f>
        <v>1.68</v>
      </c>
      <c r="F111" s="37" t="s">
        <v>178</v>
      </c>
      <c r="G111" s="3">
        <f>123*1</f>
        <v>123</v>
      </c>
      <c r="H111" s="3">
        <f>30*1</f>
        <v>30</v>
      </c>
      <c r="I111" s="19">
        <f>1.09*1</f>
        <v>1.0900000000000001</v>
      </c>
    </row>
    <row r="112" spans="1:9" x14ac:dyDescent="0.3">
      <c r="A112" s="37" t="s">
        <v>185</v>
      </c>
      <c r="B112" s="3">
        <f>315*0.625</f>
        <v>196.875</v>
      </c>
      <c r="C112" s="3">
        <f>22*0.625</f>
        <v>13.75</v>
      </c>
      <c r="D112" s="5">
        <f>0.9*0.625</f>
        <v>0.5625</v>
      </c>
      <c r="F112" s="37" t="s">
        <v>138</v>
      </c>
      <c r="G112" s="3">
        <f>51*5</f>
        <v>255</v>
      </c>
      <c r="H112" s="3">
        <f>5.3*5</f>
        <v>26.5</v>
      </c>
      <c r="I112" s="19">
        <f>0.15*5</f>
        <v>0.75</v>
      </c>
    </row>
    <row r="113" spans="1:9" x14ac:dyDescent="0.3">
      <c r="A113" s="15"/>
      <c r="B113" s="3"/>
      <c r="C113" s="3"/>
      <c r="D113" s="19"/>
      <c r="F113" s="37" t="s">
        <v>185</v>
      </c>
      <c r="G113" s="3">
        <f>315*0.625</f>
        <v>196.875</v>
      </c>
      <c r="H113" s="3">
        <f>22*0.625</f>
        <v>13.75</v>
      </c>
      <c r="I113" s="5">
        <f>0.9*0.625</f>
        <v>0.5625</v>
      </c>
    </row>
    <row r="114" spans="1:9" x14ac:dyDescent="0.3">
      <c r="A114" s="15"/>
      <c r="B114" s="3"/>
      <c r="C114" s="3"/>
      <c r="D114" s="19"/>
      <c r="F114" s="15"/>
      <c r="G114" s="3"/>
      <c r="H114" s="3"/>
      <c r="I114" s="19"/>
    </row>
    <row r="115" spans="1:9" x14ac:dyDescent="0.3">
      <c r="A115" s="15"/>
      <c r="B115" s="3"/>
      <c r="C115" s="3"/>
      <c r="D115" s="19"/>
      <c r="F115" s="15"/>
      <c r="G115" s="3"/>
      <c r="H115" s="3"/>
      <c r="I115" s="19"/>
    </row>
    <row r="116" spans="1:9" x14ac:dyDescent="0.3">
      <c r="A116" s="15"/>
      <c r="B116" s="3"/>
      <c r="C116" s="3"/>
      <c r="D116" s="19"/>
      <c r="F116" s="15"/>
      <c r="G116" s="3"/>
      <c r="H116" s="3"/>
      <c r="I116" s="19"/>
    </row>
    <row r="117" spans="1:9" x14ac:dyDescent="0.3">
      <c r="A117" s="15" t="s">
        <v>134</v>
      </c>
      <c r="B117" s="17">
        <f>SUM(B107:B116)</f>
        <v>1785.5416666666665</v>
      </c>
      <c r="C117" s="17">
        <f t="shared" ref="C117:D117" si="31">SUM(C107:C116)</f>
        <v>152.05000000000001</v>
      </c>
      <c r="D117" s="35">
        <f t="shared" si="31"/>
        <v>4.3858333333333333</v>
      </c>
      <c r="F117" s="15" t="s">
        <v>134</v>
      </c>
      <c r="G117" s="17">
        <f>SUM(G107:G116)</f>
        <v>1963.5416666666665</v>
      </c>
      <c r="H117" s="17">
        <f t="shared" ref="H117:I117" si="32">SUM(H107:H116)</f>
        <v>161.94999999999999</v>
      </c>
      <c r="I117" s="35">
        <f t="shared" si="32"/>
        <v>4.5458333333333334</v>
      </c>
    </row>
    <row r="119" spans="1:9" x14ac:dyDescent="0.3">
      <c r="A119" s="15" t="s">
        <v>173</v>
      </c>
      <c r="B119" s="15" t="s">
        <v>45</v>
      </c>
      <c r="C119" s="15" t="s">
        <v>83</v>
      </c>
      <c r="D119" s="15" t="s">
        <v>87</v>
      </c>
      <c r="F119" s="15" t="s">
        <v>177</v>
      </c>
      <c r="G119" s="15" t="s">
        <v>45</v>
      </c>
      <c r="H119" s="15" t="s">
        <v>83</v>
      </c>
      <c r="I119" s="15" t="s">
        <v>87</v>
      </c>
    </row>
    <row r="120" spans="1:9" x14ac:dyDescent="0.3">
      <c r="A120" s="36" t="s">
        <v>174</v>
      </c>
      <c r="B120" s="3">
        <f>(47*10)/3</f>
        <v>156.66666666666666</v>
      </c>
      <c r="C120" s="3">
        <f>(3.3*10)/3</f>
        <v>11</v>
      </c>
      <c r="D120" s="19">
        <f>(0.1*10)/3</f>
        <v>0.33333333333333331</v>
      </c>
      <c r="F120" s="36" t="s">
        <v>174</v>
      </c>
      <c r="G120" s="3">
        <f>(47*10)/3</f>
        <v>156.66666666666666</v>
      </c>
      <c r="H120" s="3">
        <f>(3.3*10)/3</f>
        <v>11</v>
      </c>
      <c r="I120" s="19">
        <f>(0.1*10)/3</f>
        <v>0.33333333333333331</v>
      </c>
    </row>
    <row r="121" spans="1:9" x14ac:dyDescent="0.3">
      <c r="A121" s="36" t="s">
        <v>138</v>
      </c>
      <c r="B121" s="3">
        <f>51*5</f>
        <v>255</v>
      </c>
      <c r="C121" s="3">
        <f>5.3*5</f>
        <v>26.5</v>
      </c>
      <c r="D121" s="19">
        <f>0.15*5</f>
        <v>0.75</v>
      </c>
      <c r="F121" s="36" t="s">
        <v>138</v>
      </c>
      <c r="G121" s="3">
        <f>51*5</f>
        <v>255</v>
      </c>
      <c r="H121" s="3">
        <f>5.3*5</f>
        <v>26.5</v>
      </c>
      <c r="I121" s="19">
        <f>0.15*5</f>
        <v>0.75</v>
      </c>
    </row>
    <row r="122" spans="1:9" x14ac:dyDescent="0.3">
      <c r="A122" s="15" t="s">
        <v>101</v>
      </c>
      <c r="B122" s="3">
        <f>$G$6*1</f>
        <v>257</v>
      </c>
      <c r="C122" s="3">
        <f>$H$6*1</f>
        <v>9.1999999999999993</v>
      </c>
      <c r="D122" s="19">
        <f>$I$6*1</f>
        <v>0.28000000000000003</v>
      </c>
      <c r="F122" s="15" t="s">
        <v>101</v>
      </c>
      <c r="G122" s="3">
        <f>$G$6*1</f>
        <v>257</v>
      </c>
      <c r="H122" s="3">
        <f>$H$6*1</f>
        <v>9.1999999999999993</v>
      </c>
      <c r="I122" s="19">
        <f>$I$6*1</f>
        <v>0.28000000000000003</v>
      </c>
    </row>
    <row r="123" spans="1:9" x14ac:dyDescent="0.3">
      <c r="A123" s="15" t="s">
        <v>168</v>
      </c>
      <c r="B123" s="3">
        <f>240*3</f>
        <v>720</v>
      </c>
      <c r="C123" s="3">
        <f>15*3</f>
        <v>45</v>
      </c>
      <c r="D123" s="19">
        <f>0.26*3</f>
        <v>0.78</v>
      </c>
      <c r="F123" s="15" t="s">
        <v>168</v>
      </c>
      <c r="G123" s="3">
        <f>240*3</f>
        <v>720</v>
      </c>
      <c r="H123" s="3">
        <f>15*3</f>
        <v>45</v>
      </c>
      <c r="I123" s="19">
        <f>0.26*3</f>
        <v>0.78</v>
      </c>
    </row>
    <row r="124" spans="1:9" x14ac:dyDescent="0.3">
      <c r="A124" s="37" t="s">
        <v>165</v>
      </c>
      <c r="B124" s="3">
        <f>100*2</f>
        <v>200</v>
      </c>
      <c r="C124" s="3">
        <f>23.3*2</f>
        <v>46.6</v>
      </c>
      <c r="D124" s="19">
        <f>0.84*2</f>
        <v>1.68</v>
      </c>
      <c r="F124" s="37" t="s">
        <v>141</v>
      </c>
      <c r="G124" s="3">
        <f>240*1</f>
        <v>240</v>
      </c>
      <c r="H124" s="3">
        <f>15*1</f>
        <v>15</v>
      </c>
      <c r="I124" s="19">
        <f>0.26*2</f>
        <v>0.52</v>
      </c>
    </row>
    <row r="125" spans="1:9" x14ac:dyDescent="0.3">
      <c r="A125" s="37" t="s">
        <v>138</v>
      </c>
      <c r="B125" s="3">
        <f>51*5</f>
        <v>255</v>
      </c>
      <c r="C125" s="3">
        <f>5.3*5</f>
        <v>26.5</v>
      </c>
      <c r="D125" s="19">
        <f>0.15*5</f>
        <v>0.75</v>
      </c>
      <c r="F125" s="37" t="s">
        <v>178</v>
      </c>
      <c r="G125" s="3">
        <f>123*1</f>
        <v>123</v>
      </c>
      <c r="H125" s="3">
        <f>30*1</f>
        <v>30</v>
      </c>
      <c r="I125" s="19">
        <f>1.09*1</f>
        <v>1.0900000000000001</v>
      </c>
    </row>
    <row r="126" spans="1:9" x14ac:dyDescent="0.3">
      <c r="A126" s="15"/>
      <c r="B126" s="3"/>
      <c r="C126" s="3"/>
      <c r="D126" s="19"/>
      <c r="F126" s="37" t="s">
        <v>185</v>
      </c>
      <c r="G126" s="3">
        <f>315*0.625</f>
        <v>196.875</v>
      </c>
      <c r="H126" s="3">
        <f>22*0.625</f>
        <v>13.75</v>
      </c>
      <c r="I126" s="5">
        <f>0.9*0.625</f>
        <v>0.5625</v>
      </c>
    </row>
    <row r="127" spans="1:9" x14ac:dyDescent="0.3">
      <c r="A127" s="15"/>
      <c r="B127" s="3"/>
      <c r="C127" s="3"/>
      <c r="D127" s="19"/>
      <c r="F127" s="15"/>
      <c r="G127" s="3"/>
      <c r="H127" s="3"/>
      <c r="I127" s="19"/>
    </row>
    <row r="128" spans="1:9" x14ac:dyDescent="0.3">
      <c r="A128" s="15"/>
      <c r="B128" s="3"/>
      <c r="C128" s="3"/>
      <c r="D128" s="19"/>
      <c r="F128" s="15"/>
      <c r="G128" s="3"/>
      <c r="H128" s="3"/>
      <c r="I128" s="19"/>
    </row>
    <row r="129" spans="1:9" x14ac:dyDescent="0.3">
      <c r="A129" s="15"/>
      <c r="B129" s="3"/>
      <c r="C129" s="3"/>
      <c r="D129" s="19"/>
      <c r="F129" s="15"/>
      <c r="G129" s="3"/>
      <c r="H129" s="3"/>
      <c r="I129" s="19"/>
    </row>
    <row r="130" spans="1:9" x14ac:dyDescent="0.3">
      <c r="A130" s="15" t="s">
        <v>134</v>
      </c>
      <c r="B130" s="17">
        <f>SUM(B120:B129)</f>
        <v>1843.6666666666665</v>
      </c>
      <c r="C130" s="17">
        <f t="shared" ref="C130:D130" si="33">SUM(C120:C129)</f>
        <v>164.8</v>
      </c>
      <c r="D130" s="35">
        <f t="shared" si="33"/>
        <v>4.5733333333333333</v>
      </c>
      <c r="F130" s="15" t="s">
        <v>134</v>
      </c>
      <c r="G130" s="17">
        <f>SUM(G120:G129)</f>
        <v>1948.5416666666665</v>
      </c>
      <c r="H130" s="17">
        <f t="shared" ref="H130:I130" si="34">SUM(H120:H129)</f>
        <v>150.44999999999999</v>
      </c>
      <c r="I130" s="35">
        <f t="shared" si="34"/>
        <v>4.3158333333333339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2023-05-17T15:22:23Z</dcterms:modified>
</cp:coreProperties>
</file>