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0AFB5502-2C30-4346-BD01-598713DE48CB}" xr6:coauthVersionLast="47" xr6:coauthVersionMax="47" xr10:uidLastSave="{00000000-0000-0000-0000-000000000000}"/>
  <bookViews>
    <workbookView xWindow="-120" yWindow="-120" windowWidth="29040" windowHeight="15720" activeTab="2" xr2:uid="{F59D9EA6-31E6-4D8C-9410-A8BE9A94645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3" l="1"/>
  <c r="H19" i="3"/>
  <c r="G19" i="3"/>
  <c r="H18" i="3"/>
  <c r="G18" i="3"/>
  <c r="H23" i="3"/>
  <c r="I23" i="3"/>
  <c r="G23" i="3"/>
  <c r="I21" i="3"/>
  <c r="H21" i="3"/>
  <c r="G21" i="3"/>
  <c r="I20" i="3"/>
  <c r="G20" i="3"/>
  <c r="D19" i="3"/>
  <c r="C19" i="3"/>
  <c r="B19" i="3"/>
  <c r="B22" i="3"/>
  <c r="D21" i="3"/>
  <c r="C21" i="3"/>
  <c r="B21" i="3"/>
  <c r="D20" i="3"/>
  <c r="B20" i="3"/>
  <c r="C18" i="3"/>
  <c r="B18" i="3"/>
  <c r="C13" i="3"/>
  <c r="B13" i="3"/>
  <c r="D14" i="3"/>
  <c r="C14" i="3"/>
  <c r="B14" i="3"/>
  <c r="C8" i="3"/>
  <c r="B8" i="3"/>
  <c r="D9" i="3"/>
  <c r="C9" i="3"/>
  <c r="B9" i="3"/>
  <c r="J4" i="3"/>
  <c r="I4" i="3"/>
  <c r="D8" i="3" s="1"/>
  <c r="I3" i="3"/>
  <c r="K3" i="3" s="1"/>
  <c r="J3" i="3"/>
  <c r="K2" i="3"/>
  <c r="J2" i="3"/>
  <c r="F26" i="1"/>
  <c r="D26" i="1"/>
  <c r="D4" i="3"/>
  <c r="C4" i="3"/>
  <c r="B4" i="3"/>
  <c r="D3" i="3"/>
  <c r="C3" i="3"/>
  <c r="B3" i="3"/>
  <c r="D2" i="3"/>
  <c r="C2" i="3"/>
  <c r="B2" i="3"/>
  <c r="D23" i="2"/>
  <c r="B23" i="2"/>
  <c r="I25" i="2"/>
  <c r="H25" i="2"/>
  <c r="G25" i="2"/>
  <c r="I24" i="2"/>
  <c r="H24" i="2"/>
  <c r="G24" i="2"/>
  <c r="I23" i="2"/>
  <c r="G23" i="2"/>
  <c r="I22" i="2"/>
  <c r="G22" i="2"/>
  <c r="S17" i="2"/>
  <c r="R17" i="2"/>
  <c r="Q17" i="2"/>
  <c r="S16" i="2"/>
  <c r="Q16" i="2"/>
  <c r="S15" i="2"/>
  <c r="S19" i="2" s="1"/>
  <c r="E5" i="2" s="1"/>
  <c r="Q15" i="2"/>
  <c r="N24" i="2"/>
  <c r="M24" i="2"/>
  <c r="L24" i="2"/>
  <c r="N23" i="2"/>
  <c r="L23" i="2"/>
  <c r="N22" i="2"/>
  <c r="L22" i="2"/>
  <c r="D24" i="2"/>
  <c r="C24" i="2"/>
  <c r="B24" i="2"/>
  <c r="D22" i="2"/>
  <c r="B22" i="2"/>
  <c r="N17" i="2"/>
  <c r="M17" i="2"/>
  <c r="L17" i="2"/>
  <c r="N16" i="2"/>
  <c r="N15" i="2"/>
  <c r="L15" i="2"/>
  <c r="I18" i="2"/>
  <c r="H18" i="2"/>
  <c r="G18" i="2"/>
  <c r="I17" i="2"/>
  <c r="H17" i="2"/>
  <c r="G17" i="2"/>
  <c r="I16" i="2"/>
  <c r="I19" i="2" s="1"/>
  <c r="C5" i="2" s="1"/>
  <c r="I15" i="2"/>
  <c r="G15" i="2"/>
  <c r="D18" i="2"/>
  <c r="D17" i="2"/>
  <c r="D16" i="2"/>
  <c r="D15" i="2"/>
  <c r="C18" i="2"/>
  <c r="C17" i="2"/>
  <c r="B18" i="2"/>
  <c r="B17" i="2"/>
  <c r="B15" i="2"/>
  <c r="M2" i="2"/>
  <c r="M16" i="2" s="1"/>
  <c r="L2" i="2"/>
  <c r="L16" i="2" s="1"/>
  <c r="P22" i="1"/>
  <c r="K30" i="1"/>
  <c r="J30" i="1"/>
  <c r="J11" i="1"/>
  <c r="P31" i="1"/>
  <c r="O31" i="1"/>
  <c r="N31" i="1"/>
  <c r="N34" i="1" s="1"/>
  <c r="P32" i="1"/>
  <c r="O32" i="1"/>
  <c r="N32" i="1"/>
  <c r="P30" i="1"/>
  <c r="O30" i="1"/>
  <c r="N30" i="1"/>
  <c r="O29" i="1"/>
  <c r="O22" i="1"/>
  <c r="O25" i="1" s="1"/>
  <c r="N22" i="1"/>
  <c r="P23" i="1"/>
  <c r="O23" i="1"/>
  <c r="O20" i="1"/>
  <c r="J20" i="1"/>
  <c r="N23" i="1"/>
  <c r="P21" i="1"/>
  <c r="P25" i="1" s="1"/>
  <c r="O21" i="1"/>
  <c r="N21" i="1"/>
  <c r="N25" i="1" s="1"/>
  <c r="K22" i="1"/>
  <c r="J22" i="1"/>
  <c r="I22" i="1"/>
  <c r="K21" i="1"/>
  <c r="J21" i="1"/>
  <c r="I21" i="1"/>
  <c r="P13" i="1"/>
  <c r="O13" i="1"/>
  <c r="O16" i="1" s="1"/>
  <c r="N13" i="1"/>
  <c r="P12" i="1"/>
  <c r="O12" i="1"/>
  <c r="N12" i="1"/>
  <c r="P14" i="1"/>
  <c r="N14" i="1"/>
  <c r="O14" i="1"/>
  <c r="P7" i="1"/>
  <c r="O7" i="1"/>
  <c r="N7" i="1"/>
  <c r="K13" i="1"/>
  <c r="J13" i="1"/>
  <c r="I13" i="1"/>
  <c r="K12" i="1"/>
  <c r="J12" i="1"/>
  <c r="I12" i="1"/>
  <c r="I15" i="1"/>
  <c r="K5" i="1"/>
  <c r="J5" i="1"/>
  <c r="I5" i="1"/>
  <c r="K6" i="1"/>
  <c r="J6" i="1"/>
  <c r="I6" i="1"/>
  <c r="K4" i="1"/>
  <c r="J4" i="1"/>
  <c r="I4" i="1"/>
  <c r="D25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  <c r="C22" i="3" l="1"/>
  <c r="D13" i="3"/>
  <c r="D15" i="3" s="1"/>
  <c r="I18" i="3"/>
  <c r="I24" i="3" s="1"/>
  <c r="G24" i="3"/>
  <c r="H24" i="3"/>
  <c r="D10" i="3"/>
  <c r="C15" i="3"/>
  <c r="D18" i="3"/>
  <c r="D22" i="3" s="1"/>
  <c r="B15" i="3"/>
  <c r="C5" i="3"/>
  <c r="B10" i="3"/>
  <c r="B5" i="3"/>
  <c r="D5" i="3"/>
  <c r="C10" i="3"/>
  <c r="K4" i="3"/>
  <c r="N16" i="1"/>
  <c r="I7" i="1"/>
  <c r="K15" i="1"/>
  <c r="P16" i="1"/>
  <c r="J7" i="1"/>
  <c r="K7" i="1"/>
  <c r="K24" i="1"/>
  <c r="O34" i="1"/>
  <c r="C16" i="2"/>
  <c r="C19" i="2" s="1"/>
  <c r="B4" i="2" s="1"/>
  <c r="B8" i="2" s="1"/>
  <c r="D26" i="2"/>
  <c r="F5" i="2" s="1"/>
  <c r="M23" i="2"/>
  <c r="M26" i="2" s="1"/>
  <c r="H4" i="2" s="1"/>
  <c r="R19" i="2"/>
  <c r="E4" i="2" s="1"/>
  <c r="P34" i="1"/>
  <c r="B16" i="2"/>
  <c r="D19" i="2"/>
  <c r="B5" i="2" s="1"/>
  <c r="G16" i="2"/>
  <c r="G19" i="2" s="1"/>
  <c r="C3" i="2" s="1"/>
  <c r="L26" i="2"/>
  <c r="H3" i="2" s="1"/>
  <c r="R16" i="2"/>
  <c r="G26" i="2"/>
  <c r="G3" i="2" s="1"/>
  <c r="C23" i="2"/>
  <c r="C26" i="2" s="1"/>
  <c r="F4" i="2" s="1"/>
  <c r="H23" i="2"/>
  <c r="H26" i="2" s="1"/>
  <c r="G4" i="2" s="1"/>
  <c r="J15" i="1"/>
  <c r="J24" i="1"/>
  <c r="H16" i="2"/>
  <c r="H19" i="2" s="1"/>
  <c r="C4" i="2" s="1"/>
  <c r="N26" i="2"/>
  <c r="H5" i="2" s="1"/>
  <c r="Q19" i="2"/>
  <c r="E3" i="2" s="1"/>
  <c r="I26" i="2"/>
  <c r="G5" i="2" s="1"/>
  <c r="B26" i="2"/>
  <c r="F3" i="2" s="1"/>
  <c r="N19" i="2"/>
  <c r="D5" i="2" s="1"/>
  <c r="B9" i="2" s="1"/>
  <c r="M19" i="2"/>
  <c r="D4" i="2" s="1"/>
  <c r="L19" i="2"/>
  <c r="D3" i="2" s="1"/>
  <c r="B19" i="2"/>
  <c r="B3" i="2" s="1"/>
  <c r="B7" i="2" s="1"/>
  <c r="I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bertelli</author>
  </authors>
  <commentList>
    <comment ref="P3" authorId="0" shapeId="0" xr:uid="{4367CB62-7F9A-4AEB-9578-71F4155BADE4}">
      <text>
        <r>
          <rPr>
            <b/>
            <sz val="9"/>
            <color indexed="81"/>
            <rFont val="Tahoma"/>
            <charset val="1"/>
          </rPr>
          <t>tommaso bertelli:</t>
        </r>
        <r>
          <rPr>
            <sz val="9"/>
            <color indexed="81"/>
            <rFont val="Tahoma"/>
            <charset val="1"/>
          </rPr>
          <t xml:space="preserve">
Interessonte
</t>
        </r>
      </text>
    </comment>
  </commentList>
</comments>
</file>

<file path=xl/sharedStrings.xml><?xml version="1.0" encoding="utf-8"?>
<sst xmlns="http://schemas.openxmlformats.org/spreadsheetml/2006/main" count="230" uniqueCount="110">
  <si>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</si>
  <si>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</si>
  <si>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</si>
  <si>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</si>
  <si>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</si>
  <si>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</si>
  <si>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</si>
  <si>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</si>
  <si>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</si>
  <si>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</si>
  <si>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</si>
  <si>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</si>
  <si>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</si>
  <si>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</si>
  <si>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</si>
  <si>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</si>
  <si>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</si>
  <si>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</si>
  <si>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</si>
  <si>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</si>
  <si>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</si>
  <si>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</si>
  <si>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</si>
  <si>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</si>
  <si>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</si>
  <si>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</si>
  <si>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</si>
  <si>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</si>
  <si>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</si>
  <si>
    <t>gnocchi smart</t>
  </si>
  <si>
    <t>100g di pasta smart</t>
  </si>
  <si>
    <t>2 latte di tonno smart</t>
  </si>
  <si>
    <t>6 wurstel smart</t>
  </si>
  <si>
    <t xml:space="preserve">150g di pane integrale </t>
  </si>
  <si>
    <t>5 wurstel smart</t>
  </si>
  <si>
    <t>3 latte di tonno smart</t>
  </si>
  <si>
    <t>7 wurstel smart</t>
  </si>
  <si>
    <t>un terzo di bottiglia di succo smart</t>
  </si>
  <si>
    <t>150g di prosciutto cotto smart</t>
  </si>
  <si>
    <t>1 latta di tonno smart</t>
  </si>
  <si>
    <t>euro</t>
  </si>
  <si>
    <t>100g di pane integrale</t>
  </si>
  <si>
    <t>5,22 wurstel smart</t>
  </si>
  <si>
    <t>C</t>
  </si>
  <si>
    <t>media</t>
  </si>
  <si>
    <t>cal</t>
  </si>
  <si>
    <t>F</t>
  </si>
  <si>
    <t>2gg tot 12</t>
  </si>
  <si>
    <t>2gg tot 13</t>
  </si>
  <si>
    <t>per consumare i wurstel smart</t>
  </si>
  <si>
    <t>fare 2 giorni in cui seguire il C e l'F</t>
  </si>
  <si>
    <t>direttamente usando i wurtstel smart</t>
  </si>
  <si>
    <t>per fare la media con wurstel penny</t>
  </si>
  <si>
    <t>piano settimanale</t>
  </si>
  <si>
    <t>lunedì</t>
  </si>
  <si>
    <t>martedì</t>
  </si>
  <si>
    <t>mercoledì</t>
  </si>
  <si>
    <t>giovedì</t>
  </si>
  <si>
    <t>venerdì</t>
  </si>
  <si>
    <t>sabato</t>
  </si>
  <si>
    <t>domenica</t>
  </si>
  <si>
    <t>wurstel penny</t>
  </si>
  <si>
    <t>scatoletta di tonno</t>
  </si>
  <si>
    <t>succo</t>
  </si>
  <si>
    <t>fibre</t>
  </si>
  <si>
    <t>6 wurstel p</t>
  </si>
  <si>
    <t>2 tonno</t>
  </si>
  <si>
    <t xml:space="preserve">100g pane </t>
  </si>
  <si>
    <t>100g di pane</t>
  </si>
  <si>
    <t>lun</t>
  </si>
  <si>
    <t>totale</t>
  </si>
  <si>
    <t>mar</t>
  </si>
  <si>
    <t>mer</t>
  </si>
  <si>
    <t>gio</t>
  </si>
  <si>
    <t>dom</t>
  </si>
  <si>
    <t>ven</t>
  </si>
  <si>
    <t>7 wurstel p</t>
  </si>
  <si>
    <t>8 wurstel p</t>
  </si>
  <si>
    <t>media calorie</t>
  </si>
  <si>
    <t>media proteine</t>
  </si>
  <si>
    <t>media euro</t>
  </si>
  <si>
    <t>100g di popcorn</t>
  </si>
  <si>
    <t>3 scatolette di tonno</t>
  </si>
  <si>
    <t>pro</t>
  </si>
  <si>
    <t>1 wurstel penny</t>
  </si>
  <si>
    <t>4 etti di pasta smart</t>
  </si>
  <si>
    <t>proteine veg myp</t>
  </si>
  <si>
    <t>eur</t>
  </si>
  <si>
    <t>pro/cal</t>
  </si>
  <si>
    <t>pro/eur</t>
  </si>
  <si>
    <t>proteine in polvere</t>
  </si>
  <si>
    <t>dim pacco</t>
  </si>
  <si>
    <t>costo</t>
  </si>
  <si>
    <t>vegan blend</t>
  </si>
  <si>
    <t>vegan blend abbonamento</t>
  </si>
  <si>
    <t>100g prot veg myp</t>
  </si>
  <si>
    <t>100g prot veg myp abb</t>
  </si>
  <si>
    <t>test</t>
  </si>
  <si>
    <t>3 wurstel penny</t>
  </si>
  <si>
    <t>140g prot veg myp abb</t>
  </si>
  <si>
    <t>7 wurstel penny</t>
  </si>
  <si>
    <t>80g prot veg myp abb</t>
  </si>
  <si>
    <t>100g pane</t>
  </si>
  <si>
    <t>6 wurstel penny</t>
  </si>
  <si>
    <t>banana (check peso)</t>
  </si>
  <si>
    <t>1 banana</t>
  </si>
  <si>
    <t>130g prot veg myp abb</t>
  </si>
  <si>
    <t>max 100 cal di bonus</t>
  </si>
  <si>
    <t>4 wurstel penny</t>
  </si>
  <si>
    <t>100g di gnocchi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</si>
</sst>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44" fontId="0" fillId="0" borderId="1" xfId="1" applyFont="1" applyBorder="1"/>
    <xf numFmtId="44" fontId="0" fillId="0" borderId="1" xfId="0" applyNumberFormat="1" applyBorder="1"/>
    <xf numFmtId="2" fontId="0" fillId="0" borderId="1" xfId="0" applyNumberFormat="1" applyBorder="1"/>
    <xf numFmtId="44" fontId="0" fillId="0" borderId="1" xfId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/>
    <xf numFmtId="9" fontId="0" fillId="0" borderId="8" xfId="2" applyFont="1" applyBorder="1"/>
    <xf numFmtId="2" fontId="0" fillId="0" borderId="0" xfId="0" applyNumberFormat="1"/>
    <xf numFmtId="44" fontId="0" fillId="0" borderId="0" xfId="1" applyFont="1" applyBorder="1"/>
    <xf numFmtId="2" fontId="0" fillId="0" borderId="2" xfId="0" applyNumberFormat="1" applyBorder="1"/>
    <xf numFmtId="0" fontId="0" fillId="2" borderId="0" xfId="0" applyFill="1"/>
    <xf numFmtId="0" fontId="0" fillId="2" borderId="9" xfId="0" applyFill="1" applyBorder="1"/>
    <xf numFmtId="0" fontId="0" fillId="0" borderId="9" xfId="0" applyFill="1" applyBorder="1"/>
    <xf numFmtId="164" fontId="0" fillId="0" borderId="9" xfId="0" applyNumberFormat="1" applyFill="1" applyBorder="1"/>
  </cellXfs>
  <cellStyles count="3">
    <cellStyle name="Normale" xfId="0" builtinId="0"/>
    <cellStyle name="Percentuale" xfId="2" builtinId="5"/>
    <cellStyle name="Valuta" xfId="1" builtinId="4"/>
  </cellStyles>
  <dxfs count="10"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6" totalsRowShown="0" headerRowDxfId="9" headerRowBorderDxfId="8" tableBorderDxfId="7" totalsRowBorderDxfId="6">
  <autoFilter ref="A1:F26" xr:uid="{84F67106-4EFF-43B6-B540-766A1D8E564D}"/>
  <sortState xmlns:xlrd2="http://schemas.microsoft.com/office/spreadsheetml/2017/richdata2" ref="A2:F25">
    <sortCondition descending="1" ref="D1:D25"/>
  </sortState>
  <tableColumns count="6">
    <tableColumn id="1" xr3:uid="{30081959-5619-4B55-B7D9-1175EC07AC45}" name="/100g" dataDxfId="5"/>
    <tableColumn id="2" xr3:uid="{14FCB0BC-8DE4-4AA7-8660-575F63F8B8A6}" name="proteine" dataDxfId="4"/>
    <tableColumn id="3" xr3:uid="{C0B50CE8-FDFE-49A8-8945-F7C5D2CD5713}" name="calorie" dataDxfId="3"/>
    <tableColumn id="4" xr3:uid="{419A7849-565C-4737-B49A-97B34AC7F736}" name="rapporto proteine/calorie" dataDxfId="2" dataCellStyle="Percentuale">
      <calculatedColumnFormula>B2/C2</calculatedColumnFormula>
    </tableColumn>
    <tableColumn id="5" xr3:uid="{FA12BE60-94F7-4342-93BD-B6B457295831}" name="prezzo/kg" dataDxfId="1"/>
    <tableColumn id="6" xr3:uid="{616FE227-9C0F-4D3A-A972-663A04B87FDE}" name="rapporto proteine/€" dataDxfId="0">
      <calculatedColumnFormula>B2/E2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P40"/>
  <sheetViews>
    <sheetView workbookViewId="0">
      <selection activeCell="B37" sqref="B37"/>
    </sheetView>
  </sheetViews>
  <sheetFormatPr defaultRowHeight="15" x14ac:dyDescent="0.25"/>
  <cols>
    <col min="1" max="1" width="26.28515625" customWidth="1"/>
    <col min="2" max="2" width="12.28515625" customWidth="1"/>
    <col min="3" max="3" width="10.5703125" customWidth="1"/>
    <col min="4" max="4" width="26.7109375" customWidth="1"/>
    <col min="5" max="5" width="12.85546875" customWidth="1"/>
    <col min="6" max="6" width="22" customWidth="1"/>
    <col min="8" max="8" width="33.28515625" customWidth="1"/>
    <col min="13" max="13" width="31" customWidth="1"/>
  </cols>
  <sheetData>
    <row r="1" spans="1:16" x14ac:dyDescent="0.25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16" x14ac:dyDescent="0.25">
      <c r="A2" s="6" t="s">
        <v>7</v>
      </c>
      <c r="B2" s="3">
        <v>33</v>
      </c>
      <c r="C2" s="3">
        <v>150</v>
      </c>
      <c r="D2" s="14">
        <f t="shared" ref="D2:D26" si="0">B2/C2</f>
        <v>0.22</v>
      </c>
      <c r="E2" s="5">
        <v>36.200000000000003</v>
      </c>
      <c r="F2" s="13">
        <f t="shared" ref="F2:F26" si="1">B2/E2</f>
        <v>0.91160220994475127</v>
      </c>
      <c r="I2" s="17" t="s">
        <v>1</v>
      </c>
      <c r="J2" s="17" t="s">
        <v>0</v>
      </c>
      <c r="K2" s="17" t="s">
        <v>40</v>
      </c>
      <c r="N2" s="17" t="s">
        <v>1</v>
      </c>
      <c r="O2" s="17" t="s">
        <v>0</v>
      </c>
      <c r="P2" s="17" t="s">
        <v>40</v>
      </c>
    </row>
    <row r="3" spans="1:16" x14ac:dyDescent="0.25">
      <c r="A3" s="6" t="s">
        <v>3</v>
      </c>
      <c r="B3" s="3">
        <v>22</v>
      </c>
      <c r="C3" s="3">
        <v>117</v>
      </c>
      <c r="D3" s="14">
        <f t="shared" si="0"/>
        <v>0.18803418803418803</v>
      </c>
      <c r="E3" s="4">
        <v>9.74</v>
      </c>
      <c r="F3" s="13">
        <f t="shared" si="1"/>
        <v>2.2587268993839835</v>
      </c>
      <c r="H3" s="15" t="s">
        <v>37</v>
      </c>
      <c r="I3" s="3">
        <v>185</v>
      </c>
      <c r="J3" s="3">
        <v>0</v>
      </c>
      <c r="K3" s="3">
        <v>0.33</v>
      </c>
      <c r="M3" s="15" t="s">
        <v>37</v>
      </c>
      <c r="N3" s="3">
        <v>185</v>
      </c>
      <c r="O3" s="3">
        <v>0</v>
      </c>
      <c r="P3" s="3">
        <v>0.33</v>
      </c>
    </row>
    <row r="4" spans="1:16" x14ac:dyDescent="0.25">
      <c r="A4" s="6" t="s">
        <v>6</v>
      </c>
      <c r="B4" s="3">
        <v>18</v>
      </c>
      <c r="C4" s="3">
        <v>96</v>
      </c>
      <c r="D4" s="14">
        <f t="shared" si="0"/>
        <v>0.1875</v>
      </c>
      <c r="E4" s="4">
        <v>22.9</v>
      </c>
      <c r="F4" s="13">
        <f t="shared" si="1"/>
        <v>0.7860262008733625</v>
      </c>
      <c r="H4" s="15" t="s">
        <v>31</v>
      </c>
      <c r="I4" s="16">
        <f>(131)*2</f>
        <v>262</v>
      </c>
      <c r="J4" s="3">
        <f>25*2</f>
        <v>50</v>
      </c>
      <c r="K4" s="3">
        <f>1.09*2</f>
        <v>2.1800000000000002</v>
      </c>
      <c r="M4" s="15" t="s">
        <v>31</v>
      </c>
      <c r="N4" s="3">
        <v>262</v>
      </c>
      <c r="O4" s="3">
        <v>50</v>
      </c>
      <c r="P4" s="3">
        <v>2.1800000000000002</v>
      </c>
    </row>
    <row r="5" spans="1:16" x14ac:dyDescent="0.25">
      <c r="A5" s="6" t="s">
        <v>12</v>
      </c>
      <c r="B5" s="3">
        <v>20</v>
      </c>
      <c r="C5" s="3">
        <v>123</v>
      </c>
      <c r="D5" s="14">
        <f t="shared" si="0"/>
        <v>0.16260162601626016</v>
      </c>
      <c r="E5" s="5">
        <v>13.47</v>
      </c>
      <c r="F5" s="13">
        <f t="shared" si="1"/>
        <v>1.4847809948032664</v>
      </c>
      <c r="H5" s="15" t="s">
        <v>32</v>
      </c>
      <c r="I5" s="3">
        <f>$C$15*6</f>
        <v>1440</v>
      </c>
      <c r="J5" s="3">
        <f>6*$B$15</f>
        <v>90</v>
      </c>
      <c r="K5" s="5">
        <f>($E$15*0.1)*6</f>
        <v>1.6559999999999997</v>
      </c>
      <c r="M5" s="15" t="s">
        <v>32</v>
      </c>
      <c r="N5" s="3">
        <v>1440</v>
      </c>
      <c r="O5" s="3">
        <v>90</v>
      </c>
      <c r="P5" s="3">
        <v>1.6559999999999999</v>
      </c>
    </row>
    <row r="6" spans="1:16" x14ac:dyDescent="0.25">
      <c r="A6" s="6" t="s">
        <v>24</v>
      </c>
      <c r="B6" s="3">
        <v>39</v>
      </c>
      <c r="C6" s="3">
        <v>255</v>
      </c>
      <c r="D6" s="14">
        <f t="shared" si="0"/>
        <v>0.15294117647058825</v>
      </c>
      <c r="E6" s="5">
        <v>131.6</v>
      </c>
      <c r="F6" s="13">
        <f t="shared" si="1"/>
        <v>0.29635258358662614</v>
      </c>
      <c r="H6" s="15" t="s">
        <v>30</v>
      </c>
      <c r="I6" s="3">
        <f>$C$23*1</f>
        <v>350</v>
      </c>
      <c r="J6" s="3">
        <f>$B$23*1</f>
        <v>11.5</v>
      </c>
      <c r="K6" s="3">
        <f>$E$23*0.1</f>
        <v>0.129</v>
      </c>
      <c r="M6" s="15" t="s">
        <v>33</v>
      </c>
      <c r="N6" s="3">
        <v>386</v>
      </c>
      <c r="O6" s="3">
        <v>13.8</v>
      </c>
      <c r="P6" s="3">
        <v>0.42</v>
      </c>
    </row>
    <row r="7" spans="1:16" x14ac:dyDescent="0.25">
      <c r="A7" s="6" t="s">
        <v>22</v>
      </c>
      <c r="B7" s="3">
        <v>21</v>
      </c>
      <c r="C7" s="3">
        <v>171</v>
      </c>
      <c r="D7" s="14">
        <f t="shared" si="0"/>
        <v>0.12280701754385964</v>
      </c>
      <c r="E7" s="5">
        <v>26.45</v>
      </c>
      <c r="F7" s="13">
        <f t="shared" si="1"/>
        <v>0.79395085066162574</v>
      </c>
      <c r="H7" s="3"/>
      <c r="I7" s="3">
        <f>SUM(I3:I6)</f>
        <v>2237</v>
      </c>
      <c r="J7" s="3">
        <f>SUM(J3:J6)</f>
        <v>151.5</v>
      </c>
      <c r="K7" s="3">
        <f>SUM(K3:K6)</f>
        <v>4.2949999999999999</v>
      </c>
      <c r="M7" s="3"/>
      <c r="N7" s="3">
        <f>SUM(N3:N6)</f>
        <v>2273</v>
      </c>
      <c r="O7" s="3">
        <f>SUM(O3:O6)</f>
        <v>153.80000000000001</v>
      </c>
      <c r="P7" s="3">
        <f>SUM(P3:P6)</f>
        <v>4.5860000000000003</v>
      </c>
    </row>
    <row r="8" spans="1:16" x14ac:dyDescent="0.25">
      <c r="A8" s="6" t="s">
        <v>15</v>
      </c>
      <c r="B8" s="3">
        <v>28</v>
      </c>
      <c r="C8" s="3">
        <v>231</v>
      </c>
      <c r="D8" s="14">
        <f t="shared" si="0"/>
        <v>0.12121212121212122</v>
      </c>
      <c r="E8" s="5">
        <v>16.59</v>
      </c>
      <c r="F8" s="13">
        <f t="shared" si="1"/>
        <v>1.6877637130801688</v>
      </c>
    </row>
    <row r="9" spans="1:16" x14ac:dyDescent="0.25">
      <c r="A9" s="6" t="s">
        <v>4</v>
      </c>
      <c r="B9" s="3">
        <v>4.8</v>
      </c>
      <c r="C9" s="3">
        <v>41</v>
      </c>
      <c r="D9" s="14">
        <f t="shared" si="0"/>
        <v>0.11707317073170731</v>
      </c>
      <c r="E9" s="4">
        <v>1.7</v>
      </c>
      <c r="F9" s="13">
        <f t="shared" si="1"/>
        <v>2.8235294117647061</v>
      </c>
    </row>
    <row r="10" spans="1:16" x14ac:dyDescent="0.25">
      <c r="A10" s="6" t="s">
        <v>8</v>
      </c>
      <c r="B10" s="3">
        <v>27</v>
      </c>
      <c r="C10" s="3">
        <v>236</v>
      </c>
      <c r="D10" s="14">
        <f t="shared" si="0"/>
        <v>0.11440677966101695</v>
      </c>
      <c r="E10" s="5">
        <v>18.600000000000001</v>
      </c>
      <c r="F10" s="13">
        <f t="shared" si="1"/>
        <v>1.4516129032258063</v>
      </c>
      <c r="I10" s="17" t="s">
        <v>1</v>
      </c>
      <c r="J10" s="17" t="s">
        <v>0</v>
      </c>
      <c r="K10" s="17" t="s">
        <v>40</v>
      </c>
      <c r="N10" s="17" t="s">
        <v>1</v>
      </c>
      <c r="O10" s="17" t="s">
        <v>0</v>
      </c>
      <c r="P10" s="17" t="s">
        <v>40</v>
      </c>
    </row>
    <row r="11" spans="1:16" x14ac:dyDescent="0.25">
      <c r="A11" s="6" t="s">
        <v>17</v>
      </c>
      <c r="B11" s="3">
        <v>26</v>
      </c>
      <c r="C11" s="3">
        <v>258</v>
      </c>
      <c r="D11" s="14">
        <f t="shared" si="0"/>
        <v>0.10077519379844961</v>
      </c>
      <c r="E11" s="5">
        <v>15.94</v>
      </c>
      <c r="F11" s="13">
        <f t="shared" si="1"/>
        <v>1.6311166875784191</v>
      </c>
      <c r="H11" s="15" t="s">
        <v>37</v>
      </c>
      <c r="I11" s="3">
        <v>185</v>
      </c>
      <c r="J11" s="3">
        <f>0.4*3</f>
        <v>1.2000000000000002</v>
      </c>
      <c r="K11" s="3">
        <v>0.33</v>
      </c>
      <c r="M11" s="15" t="s">
        <v>37</v>
      </c>
      <c r="N11" s="3">
        <v>185</v>
      </c>
      <c r="O11" s="3">
        <v>0</v>
      </c>
      <c r="P11" s="3">
        <v>0.33</v>
      </c>
    </row>
    <row r="12" spans="1:16" x14ac:dyDescent="0.25">
      <c r="A12" s="6" t="s">
        <v>23</v>
      </c>
      <c r="B12" s="3">
        <v>12.4</v>
      </c>
      <c r="C12" s="3">
        <v>136</v>
      </c>
      <c r="D12" s="14">
        <f t="shared" si="0"/>
        <v>9.1176470588235303E-2</v>
      </c>
      <c r="E12" s="5">
        <v>4.9800000000000004</v>
      </c>
      <c r="F12" s="13">
        <f t="shared" si="1"/>
        <v>2.4899598393574296</v>
      </c>
      <c r="H12" s="15" t="s">
        <v>35</v>
      </c>
      <c r="I12" s="16">
        <f>(131)*3</f>
        <v>393</v>
      </c>
      <c r="J12" s="3">
        <f>25*3</f>
        <v>75</v>
      </c>
      <c r="K12" s="3">
        <f>1.09*3</f>
        <v>3.2700000000000005</v>
      </c>
      <c r="M12" s="15" t="s">
        <v>39</v>
      </c>
      <c r="N12" s="16">
        <f>(131)*1</f>
        <v>131</v>
      </c>
      <c r="O12" s="3">
        <f>25*1</f>
        <v>25</v>
      </c>
      <c r="P12" s="3">
        <f>1.09*1</f>
        <v>1.0900000000000001</v>
      </c>
    </row>
    <row r="13" spans="1:16" x14ac:dyDescent="0.25">
      <c r="A13" s="6" t="s">
        <v>21</v>
      </c>
      <c r="B13" s="3">
        <v>28.4</v>
      </c>
      <c r="C13" s="3">
        <v>358</v>
      </c>
      <c r="D13" s="14">
        <f t="shared" si="0"/>
        <v>7.9329608938547486E-2</v>
      </c>
      <c r="E13" s="5">
        <v>7.48</v>
      </c>
      <c r="F13" s="13">
        <f t="shared" si="1"/>
        <v>3.796791443850267</v>
      </c>
      <c r="H13" s="15" t="s">
        <v>34</v>
      </c>
      <c r="I13" s="3">
        <f>$C$15*5</f>
        <v>1200</v>
      </c>
      <c r="J13" s="3">
        <f>5*$B$15</f>
        <v>75</v>
      </c>
      <c r="K13" s="3">
        <f>($E$15*0.1)*5</f>
        <v>1.38</v>
      </c>
      <c r="M13" s="15" t="s">
        <v>32</v>
      </c>
      <c r="N13" s="3">
        <f>$C$15*6</f>
        <v>1440</v>
      </c>
      <c r="O13" s="3">
        <f>6*$B$15</f>
        <v>90</v>
      </c>
      <c r="P13" s="3">
        <f>($E$15*0.1)*6</f>
        <v>1.6559999999999997</v>
      </c>
    </row>
    <row r="14" spans="1:16" x14ac:dyDescent="0.25">
      <c r="A14" s="6" t="s">
        <v>20</v>
      </c>
      <c r="B14" s="3">
        <v>28</v>
      </c>
      <c r="C14" s="3">
        <v>382</v>
      </c>
      <c r="D14" s="14">
        <f t="shared" si="0"/>
        <v>7.3298429319371722E-2</v>
      </c>
      <c r="E14" s="5">
        <v>7.48</v>
      </c>
      <c r="F14" s="13">
        <f t="shared" si="1"/>
        <v>3.7433155080213902</v>
      </c>
      <c r="H14" s="3"/>
      <c r="I14" s="3"/>
      <c r="J14" s="3"/>
      <c r="K14" s="3"/>
      <c r="M14" s="15" t="s">
        <v>38</v>
      </c>
      <c r="N14" s="3">
        <f>123*1.5</f>
        <v>184.5</v>
      </c>
      <c r="O14" s="3">
        <f>20*1.5</f>
        <v>30</v>
      </c>
      <c r="P14" s="3">
        <f>1.347*1.5</f>
        <v>2.0205000000000002</v>
      </c>
    </row>
    <row r="15" spans="1:16" x14ac:dyDescent="0.25">
      <c r="A15" s="6" t="s">
        <v>5</v>
      </c>
      <c r="B15" s="3">
        <v>15</v>
      </c>
      <c r="C15" s="3">
        <v>240</v>
      </c>
      <c r="D15" s="14">
        <f t="shared" si="0"/>
        <v>6.25E-2</v>
      </c>
      <c r="E15" s="4">
        <v>2.76</v>
      </c>
      <c r="F15" s="13">
        <f t="shared" si="1"/>
        <v>5.4347826086956523</v>
      </c>
      <c r="H15" s="3"/>
      <c r="I15" s="3">
        <f>SUM(I11:I14)</f>
        <v>1778</v>
      </c>
      <c r="J15" s="3">
        <f>SUM(J11:J14)</f>
        <v>151.19999999999999</v>
      </c>
      <c r="K15" s="3">
        <f>SUM(K11:K14)</f>
        <v>4.9800000000000004</v>
      </c>
      <c r="M15" s="15" t="s">
        <v>33</v>
      </c>
      <c r="N15" s="3">
        <v>386</v>
      </c>
      <c r="O15" s="3">
        <v>13.8</v>
      </c>
      <c r="P15" s="3">
        <v>0.42</v>
      </c>
    </row>
    <row r="16" spans="1:16" x14ac:dyDescent="0.25">
      <c r="A16" s="6" t="s">
        <v>9</v>
      </c>
      <c r="B16" s="3">
        <v>20</v>
      </c>
      <c r="C16" s="3">
        <v>370</v>
      </c>
      <c r="D16" s="14">
        <f t="shared" si="0"/>
        <v>5.4054054054054057E-2</v>
      </c>
      <c r="E16" s="5">
        <v>9.67</v>
      </c>
      <c r="F16" s="13">
        <f t="shared" si="1"/>
        <v>2.0682523267838677</v>
      </c>
      <c r="M16" s="3"/>
      <c r="N16" s="16">
        <f>SUM(N11:N15)</f>
        <v>2326.5</v>
      </c>
      <c r="O16" s="3">
        <f>SUM(O11:O15)</f>
        <v>158.80000000000001</v>
      </c>
      <c r="P16" s="3">
        <f>SUM(P11:P15)</f>
        <v>5.5164999999999997</v>
      </c>
    </row>
    <row r="17" spans="1:16" x14ac:dyDescent="0.25">
      <c r="A17" s="6" t="s">
        <v>10</v>
      </c>
      <c r="B17" s="3">
        <v>15</v>
      </c>
      <c r="C17" s="3">
        <v>314</v>
      </c>
      <c r="D17" s="14">
        <f t="shared" si="0"/>
        <v>4.7770700636942678E-2</v>
      </c>
      <c r="E17" s="5">
        <v>3.99</v>
      </c>
      <c r="F17" s="13">
        <f t="shared" si="1"/>
        <v>3.7593984962406015</v>
      </c>
    </row>
    <row r="18" spans="1:16" x14ac:dyDescent="0.25">
      <c r="A18" s="6" t="s">
        <v>26</v>
      </c>
      <c r="B18" s="3">
        <v>13</v>
      </c>
      <c r="C18" s="3">
        <v>277</v>
      </c>
      <c r="D18" s="14">
        <f t="shared" si="0"/>
        <v>4.6931407942238268E-2</v>
      </c>
      <c r="E18" s="5">
        <v>6.86</v>
      </c>
      <c r="F18" s="13">
        <f t="shared" si="1"/>
        <v>1.8950437317784257</v>
      </c>
    </row>
    <row r="19" spans="1:16" x14ac:dyDescent="0.25">
      <c r="A19" s="6" t="s">
        <v>28</v>
      </c>
      <c r="B19" s="3">
        <v>12</v>
      </c>
      <c r="C19" s="3">
        <v>267</v>
      </c>
      <c r="D19" s="14">
        <f t="shared" si="0"/>
        <v>4.49438202247191E-2</v>
      </c>
      <c r="E19" s="5">
        <v>8.3000000000000007</v>
      </c>
      <c r="F19" s="13">
        <f t="shared" si="1"/>
        <v>1.4457831325301203</v>
      </c>
      <c r="I19" s="17" t="s">
        <v>1</v>
      </c>
      <c r="J19" s="17" t="s">
        <v>0</v>
      </c>
      <c r="K19" s="17" t="s">
        <v>40</v>
      </c>
      <c r="N19" s="17" t="s">
        <v>1</v>
      </c>
      <c r="O19" s="17" t="s">
        <v>0</v>
      </c>
      <c r="P19" s="17" t="s">
        <v>40</v>
      </c>
    </row>
    <row r="20" spans="1:16" x14ac:dyDescent="0.25">
      <c r="A20" s="6" t="s">
        <v>18</v>
      </c>
      <c r="B20" s="3">
        <v>13.5</v>
      </c>
      <c r="C20" s="3">
        <v>338</v>
      </c>
      <c r="D20" s="14">
        <f t="shared" si="0"/>
        <v>3.9940828402366867E-2</v>
      </c>
      <c r="E20" s="5">
        <v>2.1800000000000002</v>
      </c>
      <c r="F20" s="13">
        <f t="shared" si="1"/>
        <v>6.1926605504587151</v>
      </c>
      <c r="H20" s="15" t="s">
        <v>37</v>
      </c>
      <c r="I20" s="3">
        <v>185</v>
      </c>
      <c r="J20" s="3">
        <f>0.4*3</f>
        <v>1.2000000000000002</v>
      </c>
      <c r="K20" s="3">
        <v>0.33</v>
      </c>
      <c r="M20" s="15" t="s">
        <v>37</v>
      </c>
      <c r="N20" s="3">
        <v>185</v>
      </c>
      <c r="O20" s="3">
        <f>0.4*3</f>
        <v>1.2000000000000002</v>
      </c>
      <c r="P20" s="3">
        <v>0.33</v>
      </c>
    </row>
    <row r="21" spans="1:16" x14ac:dyDescent="0.25">
      <c r="A21" s="6" t="s">
        <v>27</v>
      </c>
      <c r="B21" s="3">
        <v>11</v>
      </c>
      <c r="C21" s="3">
        <v>282</v>
      </c>
      <c r="D21" s="14">
        <f t="shared" si="0"/>
        <v>3.9007092198581561E-2</v>
      </c>
      <c r="E21" s="5">
        <v>5.99</v>
      </c>
      <c r="F21" s="13">
        <f t="shared" si="1"/>
        <v>1.8363939899833055</v>
      </c>
      <c r="H21" s="15" t="s">
        <v>31</v>
      </c>
      <c r="I21" s="16">
        <f>(131)*2</f>
        <v>262</v>
      </c>
      <c r="J21" s="3">
        <f>25*2</f>
        <v>50</v>
      </c>
      <c r="K21" s="3">
        <f>1.09*2</f>
        <v>2.1800000000000002</v>
      </c>
      <c r="M21" s="15" t="s">
        <v>31</v>
      </c>
      <c r="N21" s="16">
        <f>(131)*2</f>
        <v>262</v>
      </c>
      <c r="O21" s="3">
        <f>25*2</f>
        <v>50</v>
      </c>
      <c r="P21" s="3">
        <f>1.09*2</f>
        <v>2.1800000000000002</v>
      </c>
    </row>
    <row r="22" spans="1:16" x14ac:dyDescent="0.25">
      <c r="A22" s="6" t="s">
        <v>25</v>
      </c>
      <c r="B22" s="3">
        <v>9.1999999999999993</v>
      </c>
      <c r="C22" s="3">
        <v>257</v>
      </c>
      <c r="D22" s="14">
        <f t="shared" si="0"/>
        <v>3.5797665369649803E-2</v>
      </c>
      <c r="E22" s="5">
        <v>2.83</v>
      </c>
      <c r="F22" s="13">
        <f t="shared" si="1"/>
        <v>3.250883392226148</v>
      </c>
      <c r="H22" s="15" t="s">
        <v>36</v>
      </c>
      <c r="I22" s="3">
        <f>$C$15*7</f>
        <v>1680</v>
      </c>
      <c r="J22" s="3">
        <f>7*$B$15</f>
        <v>105</v>
      </c>
      <c r="K22" s="5">
        <f>($E$15*0.1)*7</f>
        <v>1.9319999999999997</v>
      </c>
      <c r="M22" s="15" t="s">
        <v>32</v>
      </c>
      <c r="N22" s="3">
        <f>$C$15*6</f>
        <v>1440</v>
      </c>
      <c r="O22" s="3">
        <f>6*$B$15</f>
        <v>90</v>
      </c>
      <c r="P22" s="3">
        <f>($E$15*0.1)*6</f>
        <v>1.6559999999999997</v>
      </c>
    </row>
    <row r="23" spans="1:16" x14ac:dyDescent="0.25">
      <c r="A23" s="6" t="s">
        <v>19</v>
      </c>
      <c r="B23" s="3">
        <v>11.5</v>
      </c>
      <c r="C23" s="3">
        <v>350</v>
      </c>
      <c r="D23" s="14">
        <f t="shared" si="0"/>
        <v>3.2857142857142856E-2</v>
      </c>
      <c r="E23" s="5">
        <v>1.29</v>
      </c>
      <c r="F23" s="13">
        <f t="shared" si="1"/>
        <v>8.9147286821705425</v>
      </c>
      <c r="H23" s="18"/>
      <c r="I23" s="3"/>
      <c r="J23" s="3"/>
      <c r="K23" s="3"/>
      <c r="M23" s="15" t="s">
        <v>41</v>
      </c>
      <c r="N23" s="3">
        <f>257*1</f>
        <v>257</v>
      </c>
      <c r="O23" s="3">
        <f>9.2*1</f>
        <v>9.1999999999999993</v>
      </c>
      <c r="P23" s="3">
        <f>0.283*1</f>
        <v>0.28299999999999997</v>
      </c>
    </row>
    <row r="24" spans="1:16" x14ac:dyDescent="0.25">
      <c r="A24" s="6" t="s">
        <v>16</v>
      </c>
      <c r="B24" s="3">
        <v>3</v>
      </c>
      <c r="C24" s="3">
        <v>110</v>
      </c>
      <c r="D24" s="14">
        <f t="shared" si="0"/>
        <v>2.7272727272727271E-2</v>
      </c>
      <c r="E24" s="5">
        <v>2.1800000000000002</v>
      </c>
      <c r="F24" s="13">
        <f t="shared" si="1"/>
        <v>1.3761467889908257</v>
      </c>
      <c r="H24" s="3"/>
      <c r="I24" s="3">
        <f>SUM(I20:I23)</f>
        <v>2127</v>
      </c>
      <c r="J24" s="3">
        <f>SUM(J20:J23)</f>
        <v>156.19999999999999</v>
      </c>
      <c r="K24" s="3">
        <f>SUM(K20:K23)</f>
        <v>4.4420000000000002</v>
      </c>
      <c r="M24" s="3"/>
      <c r="N24" s="3"/>
      <c r="O24" s="3"/>
      <c r="P24" s="3"/>
    </row>
    <row r="25" spans="1:16" x14ac:dyDescent="0.25">
      <c r="A25" s="10" t="s">
        <v>29</v>
      </c>
      <c r="B25" s="11">
        <v>4.5</v>
      </c>
      <c r="C25" s="11">
        <v>174</v>
      </c>
      <c r="D25" s="14">
        <f t="shared" si="0"/>
        <v>2.5862068965517241E-2</v>
      </c>
      <c r="E25" s="12">
        <v>1</v>
      </c>
      <c r="F25" s="13">
        <f t="shared" si="1"/>
        <v>4.5</v>
      </c>
      <c r="M25" s="3"/>
      <c r="N25" s="3">
        <f>SUM(N20:N24)</f>
        <v>2144</v>
      </c>
      <c r="O25" s="3">
        <f>SUM(O20:O24)</f>
        <v>150.39999999999998</v>
      </c>
      <c r="P25" s="3">
        <f>SUM(P20:P24)</f>
        <v>4.4490000000000007</v>
      </c>
    </row>
    <row r="26" spans="1:16" x14ac:dyDescent="0.25">
      <c r="A26" s="10" t="s">
        <v>86</v>
      </c>
      <c r="B26" s="11">
        <v>81</v>
      </c>
      <c r="C26" s="11">
        <v>340</v>
      </c>
      <c r="D26" s="27">
        <f t="shared" si="0"/>
        <v>0.23823529411764705</v>
      </c>
      <c r="E26" s="12">
        <v>26</v>
      </c>
      <c r="F26" s="13">
        <f t="shared" si="1"/>
        <v>3.1153846153846154</v>
      </c>
    </row>
    <row r="27" spans="1:16" x14ac:dyDescent="0.25">
      <c r="D27" s="1"/>
      <c r="E27" s="2"/>
      <c r="J27" s="15" t="s">
        <v>45</v>
      </c>
      <c r="K27" s="15" t="s">
        <v>40</v>
      </c>
    </row>
    <row r="28" spans="1:16" x14ac:dyDescent="0.25">
      <c r="D28" s="1"/>
      <c r="E28" s="2"/>
      <c r="H28" t="s">
        <v>52</v>
      </c>
      <c r="I28" s="15" t="s">
        <v>43</v>
      </c>
      <c r="J28" s="3">
        <v>1778</v>
      </c>
      <c r="K28" s="3">
        <v>4.9800000000000004</v>
      </c>
      <c r="N28" s="17" t="s">
        <v>1</v>
      </c>
      <c r="O28" s="17" t="s">
        <v>0</v>
      </c>
      <c r="P28" s="17" t="s">
        <v>40</v>
      </c>
    </row>
    <row r="29" spans="1:16" x14ac:dyDescent="0.25">
      <c r="D29" s="1"/>
      <c r="E29" s="2"/>
      <c r="H29" t="s">
        <v>47</v>
      </c>
      <c r="I29" s="15" t="s">
        <v>46</v>
      </c>
      <c r="J29" s="3">
        <v>2144</v>
      </c>
      <c r="K29" s="3">
        <v>4.4489999999999998</v>
      </c>
      <c r="M29" s="15" t="s">
        <v>37</v>
      </c>
      <c r="N29" s="3">
        <v>185</v>
      </c>
      <c r="O29" s="3">
        <f>0.4*3</f>
        <v>1.2000000000000002</v>
      </c>
      <c r="P29" s="3">
        <v>0.33</v>
      </c>
    </row>
    <row r="30" spans="1:16" x14ac:dyDescent="0.25">
      <c r="D30" s="1"/>
      <c r="E30" s="2"/>
      <c r="H30" t="s">
        <v>48</v>
      </c>
      <c r="I30" s="15" t="s">
        <v>44</v>
      </c>
      <c r="J30" s="15">
        <f>AVERAGE(J28:J29)</f>
        <v>1961</v>
      </c>
      <c r="K30" s="15">
        <f>AVERAGE(K28:K29)</f>
        <v>4.7145000000000001</v>
      </c>
      <c r="M30" s="15" t="s">
        <v>31</v>
      </c>
      <c r="N30" s="16">
        <f>(131)*2</f>
        <v>262</v>
      </c>
      <c r="O30" s="3">
        <f>25*2</f>
        <v>50</v>
      </c>
      <c r="P30" s="3">
        <f>1.09*2</f>
        <v>2.1800000000000002</v>
      </c>
    </row>
    <row r="31" spans="1:16" x14ac:dyDescent="0.25">
      <c r="M31" s="15" t="s">
        <v>42</v>
      </c>
      <c r="N31" s="3">
        <f>$C$15*5.22</f>
        <v>1252.8</v>
      </c>
      <c r="O31" s="3">
        <f>5.22*$B$15</f>
        <v>78.3</v>
      </c>
      <c r="P31" s="3">
        <f>($E$15*0.1)*5.22</f>
        <v>1.4407199999999998</v>
      </c>
    </row>
    <row r="32" spans="1:16" x14ac:dyDescent="0.25">
      <c r="M32" s="15" t="s">
        <v>41</v>
      </c>
      <c r="N32" s="3">
        <f>257*1</f>
        <v>257</v>
      </c>
      <c r="O32" s="3">
        <f>9.2*1</f>
        <v>9.1999999999999993</v>
      </c>
      <c r="P32" s="3">
        <f>0.283*1</f>
        <v>0.28299999999999997</v>
      </c>
    </row>
    <row r="33" spans="3:16" x14ac:dyDescent="0.25">
      <c r="C33" s="1"/>
      <c r="D33" s="2"/>
      <c r="H33" t="s">
        <v>49</v>
      </c>
      <c r="M33" s="3"/>
      <c r="N33" s="3"/>
      <c r="O33" s="3"/>
      <c r="P33" s="3"/>
    </row>
    <row r="34" spans="3:16" x14ac:dyDescent="0.25">
      <c r="C34" s="1"/>
      <c r="D34" s="2"/>
      <c r="H34" t="s">
        <v>50</v>
      </c>
      <c r="M34" s="3"/>
      <c r="N34" s="3">
        <f>SUM(N29:N33)</f>
        <v>1956.8</v>
      </c>
      <c r="O34" s="3">
        <f>SUM(O29:O33)</f>
        <v>138.69999999999999</v>
      </c>
      <c r="P34" s="3">
        <f>SUM(P29:P33)</f>
        <v>4.2337199999999999</v>
      </c>
    </row>
    <row r="35" spans="3:16" x14ac:dyDescent="0.25">
      <c r="C35" s="1"/>
      <c r="D35" s="2"/>
      <c r="H35" t="s">
        <v>51</v>
      </c>
    </row>
    <row r="36" spans="3:16" x14ac:dyDescent="0.25">
      <c r="C36" s="1"/>
      <c r="D36" s="2"/>
    </row>
    <row r="37" spans="3:16" x14ac:dyDescent="0.25">
      <c r="E37" s="2"/>
    </row>
    <row r="38" spans="3:16" x14ac:dyDescent="0.25">
      <c r="E38" s="2"/>
    </row>
    <row r="39" spans="3:16" x14ac:dyDescent="0.25">
      <c r="E39" s="2"/>
    </row>
    <row r="40" spans="3:16" x14ac:dyDescent="0.25">
      <c r="E4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59B3-5361-4003-B0C2-E8CD91BFF358}">
  <dimension ref="A1:X26"/>
  <sheetViews>
    <sheetView workbookViewId="0">
      <selection activeCell="K5" sqref="K5:O5"/>
    </sheetView>
  </sheetViews>
  <sheetFormatPr defaultRowHeight="15" x14ac:dyDescent="0.25"/>
  <cols>
    <col min="1" max="1" width="18.7109375" customWidth="1"/>
    <col min="4" max="4" width="10.42578125" customWidth="1"/>
    <col min="11" max="11" width="18.42578125" customWidth="1"/>
    <col min="21" max="21" width="22.42578125" customWidth="1"/>
    <col min="23" max="23" width="12.42578125" customWidth="1"/>
    <col min="24" max="24" width="9.85546875" customWidth="1"/>
  </cols>
  <sheetData>
    <row r="1" spans="1:24" x14ac:dyDescent="0.25">
      <c r="K1" s="15"/>
      <c r="L1" s="15" t="s">
        <v>1</v>
      </c>
      <c r="M1" s="15" t="s">
        <v>0</v>
      </c>
      <c r="N1" s="15" t="s">
        <v>64</v>
      </c>
      <c r="O1" s="15" t="s">
        <v>40</v>
      </c>
      <c r="U1" s="23"/>
      <c r="V1" s="23"/>
      <c r="W1" s="24"/>
      <c r="X1" s="23"/>
    </row>
    <row r="2" spans="1:24" x14ac:dyDescent="0.25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15" t="s">
        <v>60</v>
      </c>
      <c r="K2" s="15" t="s">
        <v>61</v>
      </c>
      <c r="L2" s="3">
        <f>0.87*240</f>
        <v>208.8</v>
      </c>
      <c r="M2" s="3">
        <f>15*0.87</f>
        <v>13.05</v>
      </c>
      <c r="N2" s="3"/>
      <c r="O2" s="19">
        <v>0.22</v>
      </c>
    </row>
    <row r="3" spans="1:24" x14ac:dyDescent="0.25">
      <c r="A3" s="15" t="s">
        <v>1</v>
      </c>
      <c r="B3" s="3">
        <f>B19</f>
        <v>1940.8000000000002</v>
      </c>
      <c r="C3" s="3">
        <f>G19</f>
        <v>1940.8000000000002</v>
      </c>
      <c r="D3" s="3">
        <f>L19</f>
        <v>1892.6000000000001</v>
      </c>
      <c r="E3" s="3">
        <f>Q19</f>
        <v>1892.6000000000001</v>
      </c>
      <c r="F3" s="3">
        <f>B26</f>
        <v>2101.4</v>
      </c>
      <c r="G3" s="3">
        <f>G26</f>
        <v>1940.8000000000002</v>
      </c>
      <c r="H3" s="3">
        <f>L26</f>
        <v>1892.6000000000001</v>
      </c>
      <c r="K3" s="15" t="s">
        <v>62</v>
      </c>
      <c r="L3" s="3">
        <v>123</v>
      </c>
      <c r="M3" s="3">
        <v>30</v>
      </c>
      <c r="N3" s="3"/>
      <c r="O3" s="19">
        <v>1.0900000000000001</v>
      </c>
      <c r="V3" s="25"/>
      <c r="W3" s="25"/>
      <c r="X3" s="25"/>
    </row>
    <row r="4" spans="1:24" x14ac:dyDescent="0.25">
      <c r="A4" s="15" t="s">
        <v>0</v>
      </c>
      <c r="B4" s="3">
        <f>C19</f>
        <v>147.5</v>
      </c>
      <c r="C4" s="3">
        <f>H19</f>
        <v>147.5</v>
      </c>
      <c r="D4" s="3">
        <f>M19</f>
        <v>151.35000000000002</v>
      </c>
      <c r="E4" s="3">
        <f>R19</f>
        <v>151.35000000000002</v>
      </c>
      <c r="F4" s="3">
        <f>C26</f>
        <v>164.4</v>
      </c>
      <c r="G4" s="3">
        <f>H26</f>
        <v>147.5</v>
      </c>
      <c r="H4" s="3">
        <f>M26</f>
        <v>151.35000000000002</v>
      </c>
      <c r="K4" s="15" t="s">
        <v>63</v>
      </c>
      <c r="L4" s="3">
        <v>185</v>
      </c>
      <c r="M4" s="3"/>
      <c r="N4" s="3"/>
      <c r="O4" s="19">
        <v>0.33</v>
      </c>
    </row>
    <row r="5" spans="1:24" x14ac:dyDescent="0.25">
      <c r="A5" s="15" t="s">
        <v>40</v>
      </c>
      <c r="B5" s="20">
        <f>D19</f>
        <v>4.1100000000000003</v>
      </c>
      <c r="C5" s="20">
        <f>I19</f>
        <v>4.1100000000000003</v>
      </c>
      <c r="D5" s="20">
        <f>N19</f>
        <v>4.0500000000000007</v>
      </c>
      <c r="E5" s="20">
        <f>S19</f>
        <v>4.0500000000000007</v>
      </c>
      <c r="F5" s="20">
        <f>D26</f>
        <v>4.2699999999999996</v>
      </c>
      <c r="G5" s="20">
        <f>I26</f>
        <v>4.1100000000000003</v>
      </c>
      <c r="H5" s="20">
        <f>N26</f>
        <v>4.0500000000000007</v>
      </c>
      <c r="K5" s="15" t="s">
        <v>68</v>
      </c>
      <c r="L5" s="3">
        <v>257</v>
      </c>
      <c r="M5" s="3">
        <v>9.1999999999999993</v>
      </c>
      <c r="N5" s="3">
        <v>7.2</v>
      </c>
      <c r="O5" s="19">
        <v>0.28000000000000003</v>
      </c>
    </row>
    <row r="6" spans="1:24" x14ac:dyDescent="0.25">
      <c r="K6" s="15" t="s">
        <v>81</v>
      </c>
      <c r="L6" s="3">
        <v>371</v>
      </c>
      <c r="M6" s="3"/>
      <c r="N6" s="3"/>
      <c r="O6" s="22">
        <v>0.17</v>
      </c>
    </row>
    <row r="7" spans="1:24" x14ac:dyDescent="0.25">
      <c r="A7" s="15" t="s">
        <v>78</v>
      </c>
      <c r="B7" s="21">
        <f>AVERAGE(B3:H3)</f>
        <v>1943.0857142857144</v>
      </c>
    </row>
    <row r="8" spans="1:24" x14ac:dyDescent="0.25">
      <c r="A8" s="15" t="s">
        <v>79</v>
      </c>
      <c r="B8" s="21">
        <f t="shared" ref="B8:B9" si="0">AVERAGE(B4:H4)</f>
        <v>151.56428571428572</v>
      </c>
    </row>
    <row r="9" spans="1:24" x14ac:dyDescent="0.25">
      <c r="A9" s="15" t="s">
        <v>80</v>
      </c>
      <c r="B9" s="19">
        <f t="shared" si="0"/>
        <v>4.1071428571428568</v>
      </c>
    </row>
    <row r="14" spans="1:24" x14ac:dyDescent="0.25">
      <c r="A14" s="15" t="s">
        <v>69</v>
      </c>
      <c r="B14" s="15" t="s">
        <v>1</v>
      </c>
      <c r="C14" s="15" t="s">
        <v>0</v>
      </c>
      <c r="D14" s="15" t="s">
        <v>40</v>
      </c>
      <c r="F14" s="15" t="s">
        <v>71</v>
      </c>
      <c r="G14" s="15" t="s">
        <v>1</v>
      </c>
      <c r="H14" s="15" t="s">
        <v>0</v>
      </c>
      <c r="I14" s="15" t="s">
        <v>40</v>
      </c>
      <c r="K14" s="15" t="s">
        <v>72</v>
      </c>
      <c r="L14" s="15" t="s">
        <v>1</v>
      </c>
      <c r="M14" s="15" t="s">
        <v>0</v>
      </c>
      <c r="N14" s="15" t="s">
        <v>40</v>
      </c>
      <c r="P14" s="15" t="s">
        <v>73</v>
      </c>
      <c r="Q14" s="15" t="s">
        <v>1</v>
      </c>
      <c r="R14" s="15" t="s">
        <v>0</v>
      </c>
      <c r="S14" s="15" t="s">
        <v>40</v>
      </c>
    </row>
    <row r="15" spans="1:24" x14ac:dyDescent="0.25">
      <c r="A15" s="15" t="s">
        <v>63</v>
      </c>
      <c r="B15" s="3">
        <f>$L$4</f>
        <v>185</v>
      </c>
      <c r="C15" s="3">
        <v>0</v>
      </c>
      <c r="D15" s="20">
        <f>$O$4</f>
        <v>0.33</v>
      </c>
      <c r="F15" s="15" t="s">
        <v>63</v>
      </c>
      <c r="G15" s="3">
        <f>$L$4</f>
        <v>185</v>
      </c>
      <c r="H15" s="3">
        <v>0</v>
      </c>
      <c r="I15" s="20">
        <f>$O$4</f>
        <v>0.33</v>
      </c>
      <c r="K15" s="15" t="s">
        <v>63</v>
      </c>
      <c r="L15" s="3">
        <f>$L$4</f>
        <v>185</v>
      </c>
      <c r="M15" s="3">
        <v>0</v>
      </c>
      <c r="N15" s="20">
        <f>$O$4</f>
        <v>0.33</v>
      </c>
      <c r="P15" s="15" t="s">
        <v>63</v>
      </c>
      <c r="Q15" s="3">
        <f>$L$4</f>
        <v>185</v>
      </c>
      <c r="R15" s="3">
        <v>0</v>
      </c>
      <c r="S15" s="20">
        <f>$O$4</f>
        <v>0.33</v>
      </c>
    </row>
    <row r="16" spans="1:24" x14ac:dyDescent="0.25">
      <c r="A16" s="15" t="s">
        <v>65</v>
      </c>
      <c r="B16" s="3">
        <f>$L$2*6</f>
        <v>1252.8000000000002</v>
      </c>
      <c r="C16" s="3">
        <f>$M$2*6</f>
        <v>78.300000000000011</v>
      </c>
      <c r="D16" s="20">
        <f>$O$2*6</f>
        <v>1.32</v>
      </c>
      <c r="F16" s="15" t="s">
        <v>65</v>
      </c>
      <c r="G16" s="3">
        <f>$L$2*6</f>
        <v>1252.8000000000002</v>
      </c>
      <c r="H16" s="3">
        <f>$M$2*6</f>
        <v>78.300000000000011</v>
      </c>
      <c r="I16" s="20">
        <f>$O$2*6</f>
        <v>1.32</v>
      </c>
      <c r="K16" s="15" t="s">
        <v>76</v>
      </c>
      <c r="L16" s="3">
        <f>$L$2*7</f>
        <v>1461.6000000000001</v>
      </c>
      <c r="M16" s="3">
        <f>$M$2*7</f>
        <v>91.350000000000009</v>
      </c>
      <c r="N16" s="20">
        <f>$O$2*7</f>
        <v>1.54</v>
      </c>
      <c r="P16" s="15" t="s">
        <v>76</v>
      </c>
      <c r="Q16" s="3">
        <f>$L$2*7</f>
        <v>1461.6000000000001</v>
      </c>
      <c r="R16" s="3">
        <f>$M$2*7</f>
        <v>91.350000000000009</v>
      </c>
      <c r="S16" s="20">
        <f>$O$2*7</f>
        <v>1.54</v>
      </c>
    </row>
    <row r="17" spans="1:19" x14ac:dyDescent="0.25">
      <c r="A17" s="15" t="s">
        <v>66</v>
      </c>
      <c r="B17" s="3">
        <f>$L$3*2</f>
        <v>246</v>
      </c>
      <c r="C17" s="3">
        <f>$M$3*2</f>
        <v>60</v>
      </c>
      <c r="D17" s="20">
        <f>$O$3*2</f>
        <v>2.1800000000000002</v>
      </c>
      <c r="F17" s="15" t="s">
        <v>66</v>
      </c>
      <c r="G17" s="3">
        <f>$L$3*2</f>
        <v>246</v>
      </c>
      <c r="H17" s="3">
        <f>$M$3*2</f>
        <v>60</v>
      </c>
      <c r="I17" s="20">
        <f>$O$3*2</f>
        <v>2.1800000000000002</v>
      </c>
      <c r="K17" s="15" t="s">
        <v>66</v>
      </c>
      <c r="L17" s="3">
        <f>$L$3*2</f>
        <v>246</v>
      </c>
      <c r="M17" s="3">
        <f>$M$3*2</f>
        <v>60</v>
      </c>
      <c r="N17" s="20">
        <f>$O$3*2</f>
        <v>2.1800000000000002</v>
      </c>
      <c r="P17" s="15" t="s">
        <v>66</v>
      </c>
      <c r="Q17" s="3">
        <f>$L$3*2</f>
        <v>246</v>
      </c>
      <c r="R17" s="3">
        <f>$M$3*2</f>
        <v>60</v>
      </c>
      <c r="S17" s="20">
        <f>$O$3*2</f>
        <v>2.1800000000000002</v>
      </c>
    </row>
    <row r="18" spans="1:19" x14ac:dyDescent="0.25">
      <c r="A18" s="15" t="s">
        <v>67</v>
      </c>
      <c r="B18" s="3">
        <f>$L$5</f>
        <v>257</v>
      </c>
      <c r="C18" s="3">
        <f>$M$5</f>
        <v>9.1999999999999993</v>
      </c>
      <c r="D18" s="20">
        <f>$O$5</f>
        <v>0.28000000000000003</v>
      </c>
      <c r="F18" s="15" t="s">
        <v>67</v>
      </c>
      <c r="G18" s="3">
        <f>$L$5</f>
        <v>257</v>
      </c>
      <c r="H18" s="3">
        <f>$M$5</f>
        <v>9.1999999999999993</v>
      </c>
      <c r="I18" s="20">
        <f>$O$5</f>
        <v>0.28000000000000003</v>
      </c>
      <c r="K18" s="15"/>
      <c r="L18" s="3">
        <v>0</v>
      </c>
      <c r="M18" s="3">
        <v>0</v>
      </c>
      <c r="N18" s="20">
        <v>0</v>
      </c>
      <c r="P18" s="15"/>
      <c r="Q18" s="3">
        <v>0</v>
      </c>
      <c r="R18" s="3">
        <v>0</v>
      </c>
      <c r="S18" s="20">
        <v>0</v>
      </c>
    </row>
    <row r="19" spans="1:19" x14ac:dyDescent="0.25">
      <c r="A19" s="15" t="s">
        <v>70</v>
      </c>
      <c r="B19" s="3">
        <f>SUM(B15:B18)</f>
        <v>1940.8000000000002</v>
      </c>
      <c r="C19" s="3">
        <f>SUM(C15:C18)</f>
        <v>147.5</v>
      </c>
      <c r="D19" s="20">
        <f>SUM(D15:D18)</f>
        <v>4.1100000000000003</v>
      </c>
      <c r="F19" s="15" t="s">
        <v>70</v>
      </c>
      <c r="G19" s="3">
        <f>SUM(G15:G18)</f>
        <v>1940.8000000000002</v>
      </c>
      <c r="H19" s="3">
        <f>SUM(H15:H18)</f>
        <v>147.5</v>
      </c>
      <c r="I19" s="20">
        <f>SUM(I15:I18)</f>
        <v>4.1100000000000003</v>
      </c>
      <c r="K19" s="15" t="s">
        <v>70</v>
      </c>
      <c r="L19" s="3">
        <f>SUM(L15:L18)</f>
        <v>1892.6000000000001</v>
      </c>
      <c r="M19" s="3">
        <f>SUM(M15:M18)</f>
        <v>151.35000000000002</v>
      </c>
      <c r="N19" s="20">
        <f>SUM(N15:N18)</f>
        <v>4.0500000000000007</v>
      </c>
      <c r="P19" s="15" t="s">
        <v>70</v>
      </c>
      <c r="Q19" s="3">
        <f>SUM(Q15:Q18)</f>
        <v>1892.6000000000001</v>
      </c>
      <c r="R19" s="3">
        <f>SUM(R15:R18)</f>
        <v>151.35000000000002</v>
      </c>
      <c r="S19" s="20">
        <f>SUM(S15:S18)</f>
        <v>4.0500000000000007</v>
      </c>
    </row>
    <row r="21" spans="1:19" x14ac:dyDescent="0.25">
      <c r="A21" s="15" t="s">
        <v>75</v>
      </c>
      <c r="B21" s="15" t="s">
        <v>1</v>
      </c>
      <c r="C21" s="15" t="s">
        <v>0</v>
      </c>
      <c r="D21" s="15" t="s">
        <v>40</v>
      </c>
      <c r="F21" s="15" t="s">
        <v>71</v>
      </c>
      <c r="G21" s="15" t="s">
        <v>1</v>
      </c>
      <c r="H21" s="15" t="s">
        <v>0</v>
      </c>
      <c r="I21" s="15" t="s">
        <v>40</v>
      </c>
      <c r="K21" s="15" t="s">
        <v>74</v>
      </c>
      <c r="L21" s="15" t="s">
        <v>1</v>
      </c>
      <c r="M21" s="15" t="s">
        <v>0</v>
      </c>
      <c r="N21" s="15" t="s">
        <v>40</v>
      </c>
    </row>
    <row r="22" spans="1:19" x14ac:dyDescent="0.25">
      <c r="A22" s="15" t="s">
        <v>63</v>
      </c>
      <c r="B22" s="3">
        <f>$L$4</f>
        <v>185</v>
      </c>
      <c r="C22" s="3">
        <v>0</v>
      </c>
      <c r="D22" s="20">
        <f>$O$4</f>
        <v>0.33</v>
      </c>
      <c r="F22" s="15" t="s">
        <v>63</v>
      </c>
      <c r="G22" s="3">
        <f>$L$4</f>
        <v>185</v>
      </c>
      <c r="H22" s="3">
        <v>0</v>
      </c>
      <c r="I22" s="20">
        <f>$O$4</f>
        <v>0.33</v>
      </c>
      <c r="K22" s="15" t="s">
        <v>63</v>
      </c>
      <c r="L22" s="3">
        <f>$L$4</f>
        <v>185</v>
      </c>
      <c r="M22" s="3">
        <v>0</v>
      </c>
      <c r="N22" s="20">
        <f>$O$4</f>
        <v>0.33</v>
      </c>
    </row>
    <row r="23" spans="1:19" x14ac:dyDescent="0.25">
      <c r="A23" s="15" t="s">
        <v>77</v>
      </c>
      <c r="B23" s="3">
        <f>$L$2*8</f>
        <v>1670.4</v>
      </c>
      <c r="C23" s="3">
        <f>$M$2*8</f>
        <v>104.4</v>
      </c>
      <c r="D23" s="20">
        <f>$O$2*8</f>
        <v>1.76</v>
      </c>
      <c r="F23" s="15" t="s">
        <v>65</v>
      </c>
      <c r="G23" s="3">
        <f>$L$2*6</f>
        <v>1252.8000000000002</v>
      </c>
      <c r="H23" s="3">
        <f>$M$2*6</f>
        <v>78.300000000000011</v>
      </c>
      <c r="I23" s="20">
        <f>$O$2*6</f>
        <v>1.32</v>
      </c>
      <c r="K23" s="15" t="s">
        <v>76</v>
      </c>
      <c r="L23" s="3">
        <f>$L$2*7</f>
        <v>1461.6000000000001</v>
      </c>
      <c r="M23" s="3">
        <f>$M$2*7</f>
        <v>91.350000000000009</v>
      </c>
      <c r="N23" s="20">
        <f>$O$2*7</f>
        <v>1.54</v>
      </c>
    </row>
    <row r="24" spans="1:19" x14ac:dyDescent="0.25">
      <c r="A24" s="15" t="s">
        <v>66</v>
      </c>
      <c r="B24" s="3">
        <f>$L$3*2</f>
        <v>246</v>
      </c>
      <c r="C24" s="3">
        <f>$M$3*2</f>
        <v>60</v>
      </c>
      <c r="D24" s="20">
        <f>$O$3*2</f>
        <v>2.1800000000000002</v>
      </c>
      <c r="F24" s="15" t="s">
        <v>66</v>
      </c>
      <c r="G24" s="3">
        <f>$L$3*2</f>
        <v>246</v>
      </c>
      <c r="H24" s="3">
        <f>$M$3*2</f>
        <v>60</v>
      </c>
      <c r="I24" s="20">
        <f>$O$3*2</f>
        <v>2.1800000000000002</v>
      </c>
      <c r="K24" s="15" t="s">
        <v>66</v>
      </c>
      <c r="L24" s="3">
        <f>$L$3*2</f>
        <v>246</v>
      </c>
      <c r="M24" s="3">
        <f>$M$3*2</f>
        <v>60</v>
      </c>
      <c r="N24" s="20">
        <f>$O$3*2</f>
        <v>2.1800000000000002</v>
      </c>
    </row>
    <row r="25" spans="1:19" x14ac:dyDescent="0.25">
      <c r="A25" s="15"/>
      <c r="B25" s="3">
        <v>0</v>
      </c>
      <c r="C25" s="3">
        <v>0</v>
      </c>
      <c r="D25" s="20">
        <v>0</v>
      </c>
      <c r="F25" s="15" t="s">
        <v>67</v>
      </c>
      <c r="G25" s="3">
        <f>$L$5</f>
        <v>257</v>
      </c>
      <c r="H25" s="3">
        <f>$M$5</f>
        <v>9.1999999999999993</v>
      </c>
      <c r="I25" s="20">
        <f>$O$5</f>
        <v>0.28000000000000003</v>
      </c>
      <c r="K25" s="15"/>
      <c r="L25" s="3">
        <v>0</v>
      </c>
      <c r="M25" s="3">
        <v>0</v>
      </c>
      <c r="N25" s="20">
        <v>0</v>
      </c>
    </row>
    <row r="26" spans="1:19" x14ac:dyDescent="0.25">
      <c r="A26" s="15" t="s">
        <v>70</v>
      </c>
      <c r="B26" s="3">
        <f>SUM(B22:B25)</f>
        <v>2101.4</v>
      </c>
      <c r="C26" s="3">
        <f>SUM(C22:C25)</f>
        <v>164.4</v>
      </c>
      <c r="D26" s="20">
        <f>SUM(D22:D25)</f>
        <v>4.2699999999999996</v>
      </c>
      <c r="F26" s="15" t="s">
        <v>70</v>
      </c>
      <c r="G26" s="3">
        <f>SUM(G22:G25)</f>
        <v>1940.8000000000002</v>
      </c>
      <c r="H26" s="3">
        <f>SUM(H22:H25)</f>
        <v>147.5</v>
      </c>
      <c r="I26" s="20">
        <f>SUM(I22:I25)</f>
        <v>4.1100000000000003</v>
      </c>
      <c r="K26" s="15" t="s">
        <v>70</v>
      </c>
      <c r="L26" s="3">
        <f>SUM(L22:L25)</f>
        <v>1892.6000000000001</v>
      </c>
      <c r="M26" s="3">
        <f>SUM(M22:M25)</f>
        <v>151.35000000000002</v>
      </c>
      <c r="N26" s="20">
        <f>SUM(N22:N25)</f>
        <v>4.0500000000000007</v>
      </c>
    </row>
  </sheetData>
  <phoneticPr fontId="2" type="noConversion"/>
  <pageMargins left="0.7" right="0.7" top="0.75" bottom="0.75" header="0.3" footer="0.3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6A85-44F0-41EA-9C90-606DC79AD939}">
  <dimension ref="A1:P26"/>
  <sheetViews>
    <sheetView tabSelected="1" workbookViewId="0">
      <selection activeCell="F9" sqref="F9"/>
    </sheetView>
  </sheetViews>
  <sheetFormatPr defaultRowHeight="15" x14ac:dyDescent="0.25"/>
  <cols>
    <col min="1" max="1" width="21.28515625" customWidth="1"/>
    <col min="2" max="2" width="9.28515625" bestFit="1" customWidth="1"/>
    <col min="3" max="4" width="9" bestFit="1" customWidth="1"/>
    <col min="6" max="6" width="21.28515625" customWidth="1"/>
    <col min="14" max="14" width="22.28515625" customWidth="1"/>
    <col min="15" max="15" width="9.85546875" customWidth="1"/>
  </cols>
  <sheetData>
    <row r="1" spans="1:16" x14ac:dyDescent="0.25">
      <c r="B1" t="s">
        <v>45</v>
      </c>
      <c r="C1" t="s">
        <v>83</v>
      </c>
      <c r="D1" t="s">
        <v>40</v>
      </c>
      <c r="F1" s="3"/>
      <c r="G1" s="15" t="s">
        <v>45</v>
      </c>
      <c r="H1" s="15" t="s">
        <v>83</v>
      </c>
      <c r="I1" s="15" t="s">
        <v>87</v>
      </c>
      <c r="J1" s="15" t="s">
        <v>88</v>
      </c>
      <c r="K1" s="15" t="s">
        <v>89</v>
      </c>
      <c r="N1" t="s">
        <v>90</v>
      </c>
      <c r="O1" t="s">
        <v>91</v>
      </c>
      <c r="P1" t="s">
        <v>92</v>
      </c>
    </row>
    <row r="2" spans="1:16" x14ac:dyDescent="0.25">
      <c r="A2" t="s">
        <v>82</v>
      </c>
      <c r="B2">
        <f>123*3</f>
        <v>369</v>
      </c>
      <c r="C2">
        <f>30*3</f>
        <v>90</v>
      </c>
      <c r="D2" s="26">
        <f>1.09*3</f>
        <v>3.2700000000000005</v>
      </c>
      <c r="F2" s="15" t="s">
        <v>62</v>
      </c>
      <c r="G2" s="3">
        <v>123</v>
      </c>
      <c r="H2" s="3">
        <v>30</v>
      </c>
      <c r="I2" s="4">
        <v>1.0900000000000001</v>
      </c>
      <c r="J2" s="3">
        <f>H2/G2</f>
        <v>0.24390243902439024</v>
      </c>
      <c r="K2" s="21">
        <f>H2/I2</f>
        <v>27.52293577981651</v>
      </c>
      <c r="N2" t="s">
        <v>93</v>
      </c>
      <c r="O2">
        <v>2.5</v>
      </c>
      <c r="P2">
        <v>65</v>
      </c>
    </row>
    <row r="3" spans="1:16" x14ac:dyDescent="0.25">
      <c r="A3" t="s">
        <v>85</v>
      </c>
      <c r="B3">
        <f>350*4</f>
        <v>1400</v>
      </c>
      <c r="C3">
        <f>11.5*4</f>
        <v>46</v>
      </c>
      <c r="D3" s="26">
        <f>0.13*4</f>
        <v>0.52</v>
      </c>
      <c r="F3" s="15" t="s">
        <v>95</v>
      </c>
      <c r="G3" s="3">
        <v>340</v>
      </c>
      <c r="H3" s="3">
        <v>81</v>
      </c>
      <c r="I3" s="5">
        <f>P2/25</f>
        <v>2.6</v>
      </c>
      <c r="J3" s="3">
        <f>H3/G3</f>
        <v>0.23823529411764705</v>
      </c>
      <c r="K3" s="21">
        <f>H3/I3</f>
        <v>31.153846153846153</v>
      </c>
      <c r="N3" t="s">
        <v>94</v>
      </c>
      <c r="O3">
        <v>2.5</v>
      </c>
      <c r="P3">
        <v>40</v>
      </c>
    </row>
    <row r="4" spans="1:16" x14ac:dyDescent="0.25">
      <c r="A4" t="s">
        <v>84</v>
      </c>
      <c r="B4">
        <f>209*1</f>
        <v>209</v>
      </c>
      <c r="C4">
        <f>13*1</f>
        <v>13</v>
      </c>
      <c r="D4" s="26">
        <f>0.22*1</f>
        <v>0.22</v>
      </c>
      <c r="F4" s="15" t="s">
        <v>96</v>
      </c>
      <c r="G4" s="3">
        <v>340</v>
      </c>
      <c r="H4" s="3">
        <v>73</v>
      </c>
      <c r="I4" s="5">
        <f>P3/25</f>
        <v>1.6</v>
      </c>
      <c r="J4" s="3">
        <f t="shared" ref="J4" si="0">H4/G4</f>
        <v>0.21470588235294116</v>
      </c>
      <c r="K4" s="30">
        <f t="shared" ref="K4" si="1">H4/I4</f>
        <v>45.625</v>
      </c>
    </row>
    <row r="5" spans="1:16" x14ac:dyDescent="0.25">
      <c r="B5">
        <f>SUM(B2:B4)</f>
        <v>1978</v>
      </c>
      <c r="C5">
        <f t="shared" ref="C5:D5" si="2">SUM(C2:C4)</f>
        <v>149</v>
      </c>
      <c r="D5" s="26">
        <f t="shared" si="2"/>
        <v>4.0100000000000007</v>
      </c>
      <c r="F5" s="15" t="s">
        <v>63</v>
      </c>
      <c r="G5" s="3">
        <v>185</v>
      </c>
      <c r="H5" s="3"/>
      <c r="I5" s="5">
        <v>0.33</v>
      </c>
      <c r="J5" s="29"/>
      <c r="K5" s="28"/>
    </row>
    <row r="6" spans="1:16" x14ac:dyDescent="0.25">
      <c r="F6" s="15" t="s">
        <v>68</v>
      </c>
      <c r="G6" s="3">
        <v>257</v>
      </c>
      <c r="H6" s="3">
        <v>9.1999999999999993</v>
      </c>
      <c r="I6" s="19">
        <v>0.28000000000000003</v>
      </c>
      <c r="J6" s="29"/>
    </row>
    <row r="7" spans="1:16" x14ac:dyDescent="0.25">
      <c r="A7" s="15" t="s">
        <v>97</v>
      </c>
      <c r="B7" s="15" t="s">
        <v>45</v>
      </c>
      <c r="C7" s="15" t="s">
        <v>83</v>
      </c>
      <c r="D7" s="15" t="s">
        <v>40</v>
      </c>
      <c r="F7" s="15" t="s">
        <v>30</v>
      </c>
      <c r="G7" s="3">
        <v>350</v>
      </c>
      <c r="H7" s="3">
        <v>11.5</v>
      </c>
      <c r="I7" s="5">
        <v>0.13</v>
      </c>
    </row>
    <row r="8" spans="1:16" x14ac:dyDescent="0.25">
      <c r="A8" s="15" t="s">
        <v>99</v>
      </c>
      <c r="B8" s="3">
        <f>1.4*G4</f>
        <v>475.99999999999994</v>
      </c>
      <c r="C8" s="3">
        <f>1.4*H4</f>
        <v>102.19999999999999</v>
      </c>
      <c r="D8" s="5">
        <f>1.4*I4</f>
        <v>2.2399999999999998</v>
      </c>
      <c r="F8" s="15" t="s">
        <v>104</v>
      </c>
      <c r="G8" s="3">
        <v>75</v>
      </c>
      <c r="H8" s="3">
        <v>1.5</v>
      </c>
      <c r="I8" s="5">
        <v>0.18</v>
      </c>
    </row>
    <row r="9" spans="1:16" x14ac:dyDescent="0.25">
      <c r="A9" s="15" t="s">
        <v>98</v>
      </c>
      <c r="B9" s="3">
        <f>209*3</f>
        <v>627</v>
      </c>
      <c r="C9" s="3">
        <f>13*3</f>
        <v>39</v>
      </c>
      <c r="D9" s="4">
        <f>0.22*3</f>
        <v>0.66</v>
      </c>
      <c r="F9" s="32" t="s">
        <v>109</v>
      </c>
      <c r="G9" s="33">
        <v>174</v>
      </c>
      <c r="H9" s="33">
        <v>4.5</v>
      </c>
      <c r="I9" s="34">
        <v>0.1</v>
      </c>
    </row>
    <row r="10" spans="1:16" x14ac:dyDescent="0.25">
      <c r="A10" s="15" t="s">
        <v>70</v>
      </c>
      <c r="B10" s="3">
        <f>SUM(B8:B9)</f>
        <v>1103</v>
      </c>
      <c r="C10" s="3">
        <f>SUM(C8:C9)</f>
        <v>141.19999999999999</v>
      </c>
      <c r="D10" s="5">
        <f>SUM(D8:D9)</f>
        <v>2.9</v>
      </c>
    </row>
    <row r="12" spans="1:16" x14ac:dyDescent="0.25">
      <c r="A12" s="15" t="s">
        <v>97</v>
      </c>
      <c r="B12" s="15" t="s">
        <v>45</v>
      </c>
      <c r="C12" s="15" t="s">
        <v>83</v>
      </c>
      <c r="D12" s="15" t="s">
        <v>40</v>
      </c>
    </row>
    <row r="13" spans="1:16" x14ac:dyDescent="0.25">
      <c r="A13" s="15" t="s">
        <v>101</v>
      </c>
      <c r="B13" s="21">
        <f>0.8*G4</f>
        <v>272</v>
      </c>
      <c r="C13" s="21">
        <f t="shared" ref="C13:D13" si="3">0.8*H4</f>
        <v>58.400000000000006</v>
      </c>
      <c r="D13" s="5">
        <f t="shared" si="3"/>
        <v>1.2800000000000002</v>
      </c>
    </row>
    <row r="14" spans="1:16" x14ac:dyDescent="0.25">
      <c r="A14" s="15" t="s">
        <v>100</v>
      </c>
      <c r="B14" s="3">
        <f>209*7</f>
        <v>1463</v>
      </c>
      <c r="C14" s="3">
        <f>13*7</f>
        <v>91</v>
      </c>
      <c r="D14" s="4">
        <f>0.22*7</f>
        <v>1.54</v>
      </c>
    </row>
    <row r="15" spans="1:16" x14ac:dyDescent="0.25">
      <c r="A15" s="15" t="s">
        <v>70</v>
      </c>
      <c r="B15" s="3">
        <f>SUM(B13:B14)</f>
        <v>1735</v>
      </c>
      <c r="C15" s="3">
        <f>SUM(C13:C14)</f>
        <v>149.4</v>
      </c>
      <c r="D15" s="5">
        <f>SUM(D13:D14)</f>
        <v>2.8200000000000003</v>
      </c>
    </row>
    <row r="17" spans="1:9" x14ac:dyDescent="0.25">
      <c r="A17" s="15" t="s">
        <v>97</v>
      </c>
      <c r="B17" s="15" t="s">
        <v>45</v>
      </c>
      <c r="C17" s="15" t="s">
        <v>83</v>
      </c>
      <c r="D17" s="15" t="s">
        <v>40</v>
      </c>
      <c r="F17" s="15" t="s">
        <v>97</v>
      </c>
      <c r="G17" s="15" t="s">
        <v>45</v>
      </c>
      <c r="H17" s="15" t="s">
        <v>83</v>
      </c>
      <c r="I17" s="15" t="s">
        <v>40</v>
      </c>
    </row>
    <row r="18" spans="1:9" x14ac:dyDescent="0.25">
      <c r="A18" s="15" t="s">
        <v>101</v>
      </c>
      <c r="B18" s="21">
        <f>0.8*G4</f>
        <v>272</v>
      </c>
      <c r="C18" s="21">
        <f t="shared" ref="C18:D18" si="4">0.8*H4</f>
        <v>58.400000000000006</v>
      </c>
      <c r="D18" s="5">
        <f t="shared" si="4"/>
        <v>1.2800000000000002</v>
      </c>
      <c r="F18" s="15" t="s">
        <v>106</v>
      </c>
      <c r="G18" s="21">
        <f>1.3*$G$4</f>
        <v>442</v>
      </c>
      <c r="H18" s="21">
        <f>1.3*$H$4</f>
        <v>94.9</v>
      </c>
      <c r="I18" s="5">
        <f>1.3*$I$4</f>
        <v>2.08</v>
      </c>
    </row>
    <row r="19" spans="1:9" x14ac:dyDescent="0.25">
      <c r="A19" s="15" t="s">
        <v>103</v>
      </c>
      <c r="B19" s="3">
        <f>209*6</f>
        <v>1254</v>
      </c>
      <c r="C19" s="3">
        <f>13*6</f>
        <v>78</v>
      </c>
      <c r="D19" s="4">
        <f>0.22*6</f>
        <v>1.32</v>
      </c>
      <c r="F19" s="15" t="s">
        <v>108</v>
      </c>
      <c r="G19" s="3">
        <f>209*4</f>
        <v>836</v>
      </c>
      <c r="H19" s="3">
        <f>13*4</f>
        <v>52</v>
      </c>
      <c r="I19" s="4">
        <f>0.22*4</f>
        <v>0.88</v>
      </c>
    </row>
    <row r="20" spans="1:9" x14ac:dyDescent="0.25">
      <c r="A20" s="15" t="s">
        <v>63</v>
      </c>
      <c r="B20" s="3">
        <f>$G$5</f>
        <v>185</v>
      </c>
      <c r="C20" s="3">
        <v>0</v>
      </c>
      <c r="D20" s="4">
        <f>$I$5</f>
        <v>0.33</v>
      </c>
      <c r="F20" s="15" t="s">
        <v>63</v>
      </c>
      <c r="G20" s="3">
        <f>$G$5</f>
        <v>185</v>
      </c>
      <c r="H20" s="3">
        <v>0</v>
      </c>
      <c r="I20" s="4">
        <f>$I$5</f>
        <v>0.33</v>
      </c>
    </row>
    <row r="21" spans="1:9" x14ac:dyDescent="0.25">
      <c r="A21" s="15" t="s">
        <v>102</v>
      </c>
      <c r="B21" s="3">
        <f>$G$6*1</f>
        <v>257</v>
      </c>
      <c r="C21" s="3">
        <f>$H$6*1</f>
        <v>9.1999999999999993</v>
      </c>
      <c r="D21" s="4">
        <f>$I$6*1</f>
        <v>0.28000000000000003</v>
      </c>
      <c r="F21" s="15" t="s">
        <v>102</v>
      </c>
      <c r="G21" s="3">
        <f>$G$6*1</f>
        <v>257</v>
      </c>
      <c r="H21" s="3">
        <f>$H$6*1</f>
        <v>9.1999999999999993</v>
      </c>
      <c r="I21" s="4">
        <f>$I$6*1</f>
        <v>0.28000000000000003</v>
      </c>
    </row>
    <row r="22" spans="1:9" x14ac:dyDescent="0.25">
      <c r="A22" s="15" t="s">
        <v>70</v>
      </c>
      <c r="B22" s="21">
        <f>SUM(B18:B21)</f>
        <v>1968</v>
      </c>
      <c r="C22" s="21">
        <f t="shared" ref="C22:D22" si="5">SUM(C18:C21)</f>
        <v>145.6</v>
      </c>
      <c r="D22" s="5">
        <f t="shared" si="5"/>
        <v>3.2100000000000009</v>
      </c>
      <c r="F22" s="15"/>
      <c r="G22" s="21"/>
      <c r="H22" s="21"/>
      <c r="I22" s="19"/>
    </row>
    <row r="23" spans="1:9" x14ac:dyDescent="0.25">
      <c r="F23" s="15" t="s">
        <v>105</v>
      </c>
      <c r="G23" s="21">
        <f>1*G8</f>
        <v>75</v>
      </c>
      <c r="H23" s="21">
        <f t="shared" ref="H23:I23" si="6">1*H8</f>
        <v>1.5</v>
      </c>
      <c r="I23" s="19">
        <f t="shared" si="6"/>
        <v>0.18</v>
      </c>
    </row>
    <row r="24" spans="1:9" x14ac:dyDescent="0.25">
      <c r="F24" s="15" t="s">
        <v>70</v>
      </c>
      <c r="G24" s="21">
        <f>SUM(G18:G23)</f>
        <v>1795</v>
      </c>
      <c r="H24" s="21">
        <f>SUM(H18:H23)</f>
        <v>157.6</v>
      </c>
      <c r="I24" s="19">
        <f>SUM(I18:I23)</f>
        <v>3.7500000000000004</v>
      </c>
    </row>
    <row r="26" spans="1:9" x14ac:dyDescent="0.25">
      <c r="F26" s="31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2023-01-13T09:29:24Z</dcterms:modified>
</cp:coreProperties>
</file>