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FD8CF402-4C43-49C4-901A-BD33F8860EBF}" xr6:coauthVersionLast="47" xr6:coauthVersionMax="47" xr10:uidLastSave="{00000000-0000-0000-0000-000000000000}"/>
  <bookViews>
    <workbookView xWindow="-108" yWindow="-108" windowWidth="23256" windowHeight="12456" activeTab="2" xr2:uid="{F59D9EA6-31E6-4D8C-9410-A8BE9A94645C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" i="3" l="1"/>
  <c r="P50" i="3"/>
  <c r="O50" i="3"/>
  <c r="Q49" i="3"/>
  <c r="P49" i="3"/>
  <c r="O49" i="3"/>
  <c r="Q47" i="3"/>
  <c r="P47" i="3"/>
  <c r="O47" i="3"/>
  <c r="Q72" i="3"/>
  <c r="P72" i="3"/>
  <c r="O72" i="3"/>
  <c r="Q71" i="3"/>
  <c r="P71" i="3"/>
  <c r="O71" i="3"/>
  <c r="Q69" i="3"/>
  <c r="P69" i="3"/>
  <c r="O69" i="3"/>
  <c r="Q70" i="3"/>
  <c r="P70" i="3"/>
  <c r="O70" i="3"/>
  <c r="Q68" i="3"/>
  <c r="P68" i="3"/>
  <c r="O68" i="3"/>
  <c r="Q67" i="3"/>
  <c r="P67" i="3"/>
  <c r="O67" i="3"/>
  <c r="Q73" i="3"/>
  <c r="Q66" i="3"/>
  <c r="P66" i="3"/>
  <c r="O66" i="3"/>
  <c r="K17" i="3"/>
  <c r="J17" i="3"/>
  <c r="O62" i="3"/>
  <c r="P62" i="3"/>
  <c r="Q62" i="3"/>
  <c r="Q63" i="3" s="1"/>
  <c r="Q59" i="3"/>
  <c r="P59" i="3"/>
  <c r="O58" i="3"/>
  <c r="P58" i="3"/>
  <c r="Q58" i="3"/>
  <c r="Q56" i="3"/>
  <c r="P56" i="3"/>
  <c r="O56" i="3"/>
  <c r="O59" i="3"/>
  <c r="O48" i="3"/>
  <c r="P48" i="3"/>
  <c r="Q48" i="3"/>
  <c r="Q51" i="3"/>
  <c r="P51" i="3"/>
  <c r="O51" i="3"/>
  <c r="Q46" i="3"/>
  <c r="P46" i="3"/>
  <c r="O46" i="3"/>
  <c r="D75" i="3"/>
  <c r="C75" i="3"/>
  <c r="B75" i="3"/>
  <c r="C76" i="3"/>
  <c r="D76" i="3"/>
  <c r="B76" i="3"/>
  <c r="K16" i="3"/>
  <c r="J16" i="3"/>
  <c r="B68" i="3"/>
  <c r="C68" i="3"/>
  <c r="D68" i="3"/>
  <c r="D62" i="3"/>
  <c r="C62" i="3"/>
  <c r="B62" i="3"/>
  <c r="D50" i="3"/>
  <c r="C50" i="3"/>
  <c r="B50" i="3"/>
  <c r="I70" i="3"/>
  <c r="H70" i="3"/>
  <c r="G70" i="3"/>
  <c r="I69" i="3"/>
  <c r="H69" i="3"/>
  <c r="G69" i="3"/>
  <c r="H68" i="3"/>
  <c r="G68" i="3"/>
  <c r="I63" i="3"/>
  <c r="H63" i="3"/>
  <c r="G63" i="3"/>
  <c r="H62" i="3"/>
  <c r="G62" i="3"/>
  <c r="I57" i="3"/>
  <c r="H57" i="3"/>
  <c r="G57" i="3"/>
  <c r="I47" i="3"/>
  <c r="H47" i="3"/>
  <c r="G47" i="3"/>
  <c r="H46" i="3"/>
  <c r="G46" i="3"/>
  <c r="H56" i="3"/>
  <c r="G56" i="3"/>
  <c r="I49" i="3"/>
  <c r="H49" i="3"/>
  <c r="G49" i="3"/>
  <c r="I48" i="3"/>
  <c r="H48" i="3"/>
  <c r="G48" i="3"/>
  <c r="B46" i="3"/>
  <c r="C46" i="3"/>
  <c r="B47" i="3"/>
  <c r="C47" i="3"/>
  <c r="D47" i="3"/>
  <c r="D48" i="3"/>
  <c r="C48" i="3"/>
  <c r="B48" i="3"/>
  <c r="D49" i="3"/>
  <c r="C49" i="3"/>
  <c r="B49" i="3"/>
  <c r="U33" i="3"/>
  <c r="T33" i="3"/>
  <c r="D40" i="3"/>
  <c r="C40" i="3"/>
  <c r="B40" i="3"/>
  <c r="D41" i="3"/>
  <c r="C41" i="3"/>
  <c r="B41" i="3"/>
  <c r="D39" i="3"/>
  <c r="C39" i="3"/>
  <c r="B39" i="3"/>
  <c r="D38" i="3"/>
  <c r="B38" i="3"/>
  <c r="D37" i="3"/>
  <c r="C37" i="3"/>
  <c r="B37" i="3"/>
  <c r="D29" i="3"/>
  <c r="C29" i="3"/>
  <c r="B29" i="3"/>
  <c r="D30" i="3"/>
  <c r="C30" i="3"/>
  <c r="B30" i="3"/>
  <c r="D28" i="3"/>
  <c r="C28" i="3"/>
  <c r="B28" i="3"/>
  <c r="D27" i="3"/>
  <c r="B27" i="3"/>
  <c r="D26" i="3"/>
  <c r="C26" i="3"/>
  <c r="B26" i="3"/>
  <c r="V48" i="3"/>
  <c r="U48" i="3"/>
  <c r="T48" i="3"/>
  <c r="V47" i="3"/>
  <c r="U47" i="3"/>
  <c r="T47" i="3"/>
  <c r="V43" i="3"/>
  <c r="U43" i="3"/>
  <c r="T43" i="3"/>
  <c r="V37" i="3"/>
  <c r="U37" i="3"/>
  <c r="T37" i="3"/>
  <c r="T36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K3" i="3" s="1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Q25" i="3"/>
  <c r="P25" i="3"/>
  <c r="O25" i="3"/>
  <c r="Q26" i="3"/>
  <c r="P26" i="3"/>
  <c r="O26" i="3"/>
  <c r="Q24" i="3"/>
  <c r="P24" i="3"/>
  <c r="O24" i="3"/>
  <c r="P23" i="3"/>
  <c r="O23" i="3"/>
  <c r="Q27" i="3"/>
  <c r="P27" i="3"/>
  <c r="O27" i="3"/>
  <c r="K14" i="3"/>
  <c r="J14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B23" i="2"/>
  <c r="I25" i="2"/>
  <c r="H25" i="2"/>
  <c r="G25" i="2"/>
  <c r="I24" i="2"/>
  <c r="H24" i="2"/>
  <c r="G24" i="2"/>
  <c r="I23" i="2"/>
  <c r="G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O63" i="3" l="1"/>
  <c r="P73" i="3"/>
  <c r="O73" i="3"/>
  <c r="P63" i="3"/>
  <c r="C53" i="3"/>
  <c r="C59" i="3" s="1"/>
  <c r="G53" i="3"/>
  <c r="G71" i="3" s="1"/>
  <c r="O53" i="3"/>
  <c r="B53" i="3"/>
  <c r="B71" i="3" s="1"/>
  <c r="B32" i="3"/>
  <c r="P53" i="3"/>
  <c r="B77" i="3"/>
  <c r="C71" i="3"/>
  <c r="B59" i="3"/>
  <c r="C32" i="3"/>
  <c r="I56" i="3"/>
  <c r="I62" i="3"/>
  <c r="H53" i="3"/>
  <c r="H71" i="3" s="1"/>
  <c r="C43" i="3"/>
  <c r="D46" i="3"/>
  <c r="D53" i="3" s="1"/>
  <c r="I68" i="3"/>
  <c r="D32" i="3"/>
  <c r="C65" i="3"/>
  <c r="I46" i="3"/>
  <c r="I53" i="3" s="1"/>
  <c r="H59" i="3"/>
  <c r="Q23" i="3"/>
  <c r="Q30" i="3" s="1"/>
  <c r="I15" i="1"/>
  <c r="V33" i="3"/>
  <c r="V40" i="3" s="1"/>
  <c r="V44" i="3" s="1"/>
  <c r="D43" i="3"/>
  <c r="B43" i="3"/>
  <c r="S19" i="2"/>
  <c r="E5" i="2" s="1"/>
  <c r="N25" i="1"/>
  <c r="Q16" i="2"/>
  <c r="Q19" i="2" s="1"/>
  <c r="E3" i="2" s="1"/>
  <c r="O16" i="1"/>
  <c r="O25" i="1"/>
  <c r="N34" i="1"/>
  <c r="L23" i="2"/>
  <c r="L26" i="2" s="1"/>
  <c r="H3" i="2" s="1"/>
  <c r="P25" i="1"/>
  <c r="I19" i="2"/>
  <c r="C5" i="2" s="1"/>
  <c r="T40" i="3"/>
  <c r="T44" i="3" s="1"/>
  <c r="U40" i="3"/>
  <c r="U44" i="3" s="1"/>
  <c r="V23" i="3"/>
  <c r="V30" i="3" s="1"/>
  <c r="Q33" i="3"/>
  <c r="Q40" i="3" s="1"/>
  <c r="O30" i="3"/>
  <c r="B22" i="3"/>
  <c r="O40" i="3"/>
  <c r="P40" i="3"/>
  <c r="T30" i="3"/>
  <c r="U30" i="3"/>
  <c r="P30" i="3"/>
  <c r="C22" i="3"/>
  <c r="D13" i="3"/>
  <c r="D15" i="3" s="1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D19" i="2"/>
  <c r="B5" i="2" s="1"/>
  <c r="G16" i="2"/>
  <c r="G19" i="2" s="1"/>
  <c r="C3" i="2" s="1"/>
  <c r="R16" i="2"/>
  <c r="R19" i="2" s="1"/>
  <c r="E4" i="2" s="1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I26" i="2"/>
  <c r="G5" i="2" s="1"/>
  <c r="B26" i="2"/>
  <c r="F3" i="2" s="1"/>
  <c r="N19" i="2"/>
  <c r="D5" i="2" s="1"/>
  <c r="M19" i="2"/>
  <c r="D4" i="2" s="1"/>
  <c r="L19" i="2"/>
  <c r="D3" i="2" s="1"/>
  <c r="I24" i="1"/>
  <c r="G59" i="3" l="1"/>
  <c r="C77" i="3"/>
  <c r="G65" i="3"/>
  <c r="B65" i="3"/>
  <c r="I71" i="3"/>
  <c r="D71" i="3"/>
  <c r="D77" i="3"/>
  <c r="D59" i="3"/>
  <c r="D65" i="3"/>
  <c r="I59" i="3"/>
  <c r="H65" i="3"/>
  <c r="I65" i="3"/>
  <c r="B7" i="2"/>
  <c r="B9" i="2"/>
  <c r="V49" i="3"/>
  <c r="U49" i="3"/>
  <c r="T49" i="3"/>
  <c r="B8" i="2"/>
  <c r="Q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<sst xmlns="http://schemas.openxmlformats.org/spreadsheetml/2006/main" count="427" uniqueCount="169">
  <si>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</si>
  <si>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</si>
  <si>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</si>
  <si>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</si>
  <si>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</si>
  <si>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</si>
  <si>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</si>
  <si>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</si>
  <si>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</si>
  <si>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</si>
  <si>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</si>
  <si>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</si>
  <si>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</si>
  <si>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</si>
  <si>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</si>
  <si>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</si>
  <si>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</si>
  <si>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</si>
  <si>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</si>
  <si>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</si>
  <si>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</si>
  <si>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</si>
  <si>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</si>
  <si>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</si>
  <si>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</si>
  <si>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</si>
  <si>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</si>
  <si>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</si>
  <si>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</si>
  <si>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</si>
  <si>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</si>
  <si>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</si>
  <si>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</si>
  <si>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</si>
  <si>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</si>
  <si>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</si>
  <si>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</si>
  <si>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</si>
  <si>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</si>
  <si>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</si>
  <si>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</si>
  <si>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</si>
  <si>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</si>
  <si>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</si>
  <si>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</si>
  <si>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</si>
  <si>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</si>
  <si>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</si>
  <si>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</si>
  <si>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</si>
  <si>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</si>
  <si>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</si>
  <si>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</si>
  <si>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</si>
  <si>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</si>
  <si>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</si>
  <si>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</si>
  <si>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</si>
  <si>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</si>
  <si>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</si>
  <si>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</si>
  <si>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</si>
  <si>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</si>
  <si>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</si>
  <si>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</si>
  <si>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</si>
  <si>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</si>
  <si>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</si>
  <si>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</si>
  <si>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</si>
  <si>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</si>
  <si>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</si>
  <si>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</si>
  <si>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</si>
  <si>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</si>
  <si>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</si>
  <si>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</si>
  <si>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</si>
  <si>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</si>
  <si>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</si>
  <si>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</si>
  <si>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</si>
  <si>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</si>
  <si>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</si>
  <si>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</si>
  <si>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</si>
  <si>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</si>
  <si>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</si>
  <si>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</si>
  <si>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</si>
  <si>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</si>
  <si>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</si>
  <si>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</si>
  <si>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</si>
  <si>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</si>
  <si>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</si>
  <si>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</si>
  <si>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</si>
  <si>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</si>
  <si>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</si>
  <si>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</si>
  <si>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</si>
  <si>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</si>
  <si>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</si>
  <si>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</si>
  <si>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</si>
  <si>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</si>
  <si>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</si>
  <si>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</si>
  <si>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</si>
  <si>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</si>
  <si>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</si>
  <si>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</si>
  <si>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</si>
  <si>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</si>
  <si>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</si>
  <si>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</si>
  <si>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</si>
  <si>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</si>
  <si>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</si>
  <si>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</si>
  <si>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</si>
  <si>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</si>
  <si>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</si>
  <si>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</si>
  <si>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</si>
  <si>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</si>
  <si>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</si>
  <si>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</si>
  <si>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</si>
  <si>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</si>
  <si>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</si>
  <si>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</si>
  <si>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</si>
  <si>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</si>
  <si>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</si>
  <si>
    <t>temporaneo</t>
  </si>
  <si>
    <t>2 scat tonno</t>
  </si>
  <si>
    <t>500g yogurt bianco s</t>
  </si>
  <si>
    <t>4,5 wurstel penny</t>
  </si>
  <si>
    <t>4 wurstel smart maxi</t>
  </si>
  <si>
    <t>1 wurstel smart maxi</t>
  </si>
  <si>
    <t>2 wurstel smart maxi</t>
  </si>
  <si>
    <t>cena 1</t>
  </si>
  <si>
    <t>cena 2</t>
  </si>
  <si>
    <t>35g prot whey no g</t>
  </si>
  <si>
    <t>250ml latte esse</t>
  </si>
  <si>
    <t>test 1</t>
  </si>
  <si>
    <t>test 2</t>
  </si>
  <si>
    <t>cena 3</t>
  </si>
  <si>
    <t>2 uova smart</t>
  </si>
  <si>
    <t>cena 4</t>
  </si>
  <si>
    <t>no yogurt</t>
  </si>
  <si>
    <t>100g sottilette sm (5 fette)</t>
  </si>
  <si>
    <t>5 sottilette smart</t>
  </si>
  <si>
    <t>100g petto di pollo smart</t>
  </si>
  <si>
    <t>random</t>
  </si>
  <si>
    <t>1/3L latte esse</t>
  </si>
  <si>
    <t>300g petto di pollo</t>
  </si>
  <si>
    <t>200g riso</t>
  </si>
  <si>
    <t>100g sott sm (5 fette)</t>
  </si>
  <si>
    <t>200g riso basm smart</t>
  </si>
  <si>
    <t>400g petto di pollo sm</t>
  </si>
  <si>
    <t>100g fuso di tacchino</t>
  </si>
  <si>
    <t>test 3</t>
  </si>
  <si>
    <t>200g petto di pollo</t>
  </si>
  <si>
    <t>100g riso basm smart</t>
  </si>
  <si>
    <t>1 uovo smart</t>
  </si>
  <si>
    <t>3 wurstel smart maxi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</si>
</sst>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8" xfId="0" applyFill="1" applyBorder="1"/>
    <xf numFmtId="2" fontId="0" fillId="0" borderId="8" xfId="0" applyNumberFormat="1" applyBorder="1"/>
    <xf numFmtId="2" fontId="0" fillId="0" borderId="1" xfId="1" applyNumberFormat="1" applyFont="1" applyBorder="1"/>
    <xf numFmtId="0" fontId="0" fillId="0" borderId="9" xfId="0" applyBorder="1"/>
    <xf numFmtId="2" fontId="0" fillId="0" borderId="0" xfId="0" applyNumberFormat="1"/>
    <xf numFmtId="164" fontId="0" fillId="0" borderId="0" xfId="1" applyNumberFormat="1" applyFont="1" applyFill="1" applyBorder="1"/>
    <xf numFmtId="44" fontId="0" fillId="0" borderId="0" xfId="1" applyFont="1" applyFill="1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B12" sqref="B12"/>
    </sheetView>
  </sheetViews>
  <sheetFormatPr defaultRowHeight="14.4" x14ac:dyDescent="0.3"/>
  <cols>
    <col min="1" max="1" width="26.33203125" customWidth="1"/>
    <col min="2" max="2" width="12.33203125" customWidth="1"/>
    <col min="3" max="3" width="10.5546875" customWidth="1"/>
    <col min="4" max="4" width="26.6640625" customWidth="1"/>
    <col min="5" max="5" width="12.88671875" customWidth="1"/>
    <col min="6" max="6" width="22" customWidth="1"/>
    <col min="8" max="8" width="33.33203125" customWidth="1"/>
    <col min="13" max="13" width="31" customWidth="1"/>
  </cols>
  <sheetData>
    <row r="1" spans="1:16" x14ac:dyDescent="0.3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3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3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3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3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3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3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3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3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3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3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3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3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3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3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3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3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3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3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3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3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3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3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3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3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3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3">
      <c r="D27" s="1"/>
      <c r="E27" s="2"/>
      <c r="J27" s="15" t="s">
        <v>45</v>
      </c>
      <c r="K27" s="15" t="s">
        <v>40</v>
      </c>
    </row>
    <row r="28" spans="1:16" x14ac:dyDescent="0.3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3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3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3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3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3">
      <c r="C33" s="1"/>
      <c r="D33" s="2"/>
      <c r="H33" t="s">
        <v>49</v>
      </c>
      <c r="M33" s="3"/>
      <c r="N33" s="3"/>
      <c r="O33" s="3"/>
      <c r="P33" s="3"/>
    </row>
    <row r="34" spans="3:16" x14ac:dyDescent="0.3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3">
      <c r="C35" s="1"/>
      <c r="D35" s="2"/>
      <c r="H35" t="s">
        <v>51</v>
      </c>
    </row>
    <row r="36" spans="3:16" x14ac:dyDescent="0.3">
      <c r="C36" s="1"/>
      <c r="D36" s="2"/>
    </row>
    <row r="37" spans="3:16" x14ac:dyDescent="0.3">
      <c r="E37" s="2"/>
    </row>
    <row r="38" spans="3:16" x14ac:dyDescent="0.3">
      <c r="E38" s="2"/>
    </row>
    <row r="39" spans="3:16" x14ac:dyDescent="0.3">
      <c r="E39" s="2"/>
    </row>
    <row r="40" spans="3:16" x14ac:dyDescent="0.3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D36" sqref="D36"/>
    </sheetView>
  </sheetViews>
  <sheetFormatPr defaultRowHeight="14.4" x14ac:dyDescent="0.3"/>
  <cols>
    <col min="1" max="1" width="18.6640625" customWidth="1"/>
    <col min="4" max="4" width="10.44140625" customWidth="1"/>
    <col min="11" max="11" width="18.44140625" customWidth="1"/>
    <col min="21" max="21" width="22.44140625" customWidth="1"/>
    <col min="23" max="23" width="12.44140625" customWidth="1"/>
    <col min="24" max="24" width="9.88671875" customWidth="1"/>
  </cols>
  <sheetData>
    <row r="1" spans="1:24" x14ac:dyDescent="0.3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3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3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3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3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3">
      <c r="K6" s="15" t="s">
        <v>81</v>
      </c>
      <c r="L6" s="3">
        <v>371</v>
      </c>
      <c r="M6" s="3"/>
      <c r="N6" s="3"/>
      <c r="O6" s="22">
        <v>0.17</v>
      </c>
    </row>
    <row r="7" spans="1:24" x14ac:dyDescent="0.3">
      <c r="A7" s="15" t="s">
        <v>78</v>
      </c>
      <c r="B7" s="21">
        <f>AVERAGE(B3:H3)</f>
        <v>1943.0857142857144</v>
      </c>
    </row>
    <row r="8" spans="1:24" x14ac:dyDescent="0.3">
      <c r="A8" s="15" t="s">
        <v>79</v>
      </c>
      <c r="B8" s="21">
        <f t="shared" ref="B8:B9" si="0">AVERAGE(B4:H4)</f>
        <v>151.56428571428572</v>
      </c>
    </row>
    <row r="9" spans="1:24" x14ac:dyDescent="0.3">
      <c r="A9" s="15" t="s">
        <v>80</v>
      </c>
      <c r="B9" s="19">
        <f t="shared" si="0"/>
        <v>4.1071428571428568</v>
      </c>
    </row>
    <row r="14" spans="1:24" x14ac:dyDescent="0.3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3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3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3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3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3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3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3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3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3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3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3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77"/>
  <sheetViews>
    <sheetView tabSelected="1" topLeftCell="A26" zoomScale="93" workbookViewId="0">
      <selection activeCell="M44" sqref="M44"/>
    </sheetView>
  </sheetViews>
  <sheetFormatPr defaultRowHeight="14.4" x14ac:dyDescent="0.3"/>
  <cols>
    <col min="1" max="1" width="21.33203125" customWidth="1"/>
    <col min="2" max="2" width="9.33203125" bestFit="1" customWidth="1"/>
    <col min="3" max="4" width="9" bestFit="1" customWidth="1"/>
    <col min="6" max="6" width="22.77734375" customWidth="1"/>
    <col min="14" max="14" width="22.33203125" customWidth="1"/>
    <col min="15" max="15" width="9.88671875" customWidth="1"/>
    <col min="19" max="19" width="21.33203125" customWidth="1"/>
    <col min="20" max="20" width="9.6640625" bestFit="1" customWidth="1"/>
  </cols>
  <sheetData>
    <row r="1" spans="1:19" x14ac:dyDescent="0.3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3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3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123</v>
      </c>
      <c r="O3" s="3">
        <v>2.5</v>
      </c>
      <c r="P3" s="3">
        <v>40</v>
      </c>
    </row>
    <row r="4" spans="1:19" x14ac:dyDescent="0.3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126</v>
      </c>
      <c r="O4" s="3">
        <v>2.5</v>
      </c>
      <c r="P4" s="3">
        <v>40</v>
      </c>
    </row>
    <row r="5" spans="1:19" x14ac:dyDescent="0.3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17" si="3">H5/G5</f>
        <v>0</v>
      </c>
      <c r="K5" s="28">
        <f t="shared" ref="K5:K17" si="4">H5/I5</f>
        <v>0</v>
      </c>
      <c r="N5" s="15" t="s">
        <v>127</v>
      </c>
      <c r="O5" s="3">
        <v>2.5</v>
      </c>
      <c r="P5" s="3">
        <v>59</v>
      </c>
    </row>
    <row r="6" spans="1:19" x14ac:dyDescent="0.3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128</v>
      </c>
      <c r="O6" s="3">
        <v>2.5</v>
      </c>
      <c r="P6" s="3">
        <v>59</v>
      </c>
    </row>
    <row r="7" spans="1:19" x14ac:dyDescent="0.3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3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129</v>
      </c>
      <c r="N8" s="15" t="s">
        <v>124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3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104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125</v>
      </c>
      <c r="O9" s="3">
        <v>366</v>
      </c>
      <c r="P9" s="3">
        <v>73</v>
      </c>
      <c r="Q9" s="3">
        <f>P3/(O3*10)</f>
        <v>1.6</v>
      </c>
      <c r="R9" s="31">
        <f>P9/O9</f>
        <v>0.19945355191256831</v>
      </c>
      <c r="S9" s="19">
        <f>P9/Q9</f>
        <v>45.625</v>
      </c>
    </row>
    <row r="10" spans="1:19" x14ac:dyDescent="0.3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109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126</v>
      </c>
      <c r="O10" s="3">
        <v>340</v>
      </c>
      <c r="P10" s="3">
        <v>81</v>
      </c>
      <c r="Q10" s="3">
        <f t="shared" ref="Q10:Q12" si="5">P4/(O4*10)</f>
        <v>1.6</v>
      </c>
      <c r="R10" s="31">
        <f t="shared" ref="R10:R12" si="6">P10/O10</f>
        <v>0.23823529411764705</v>
      </c>
      <c r="S10" s="19">
        <f t="shared" ref="S10:S12" si="7">P10/Q10</f>
        <v>50.625</v>
      </c>
    </row>
    <row r="11" spans="1:19" x14ac:dyDescent="0.3">
      <c r="F11" s="15" t="s">
        <v>110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127</v>
      </c>
      <c r="O11" s="3">
        <v>366</v>
      </c>
      <c r="P11" s="3">
        <v>73</v>
      </c>
      <c r="Q11" s="3">
        <f t="shared" si="5"/>
        <v>2.36</v>
      </c>
      <c r="R11" s="31">
        <f t="shared" si="6"/>
        <v>0.19945355191256831</v>
      </c>
      <c r="S11" s="19">
        <f t="shared" si="7"/>
        <v>30.932203389830509</v>
      </c>
    </row>
    <row r="12" spans="1:19" x14ac:dyDescent="0.3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111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128</v>
      </c>
      <c r="O12" s="3">
        <v>412</v>
      </c>
      <c r="P12" s="3">
        <v>82</v>
      </c>
      <c r="Q12" s="3">
        <f t="shared" si="5"/>
        <v>2.36</v>
      </c>
      <c r="R12" s="31">
        <f t="shared" si="6"/>
        <v>0.19902912621359223</v>
      </c>
      <c r="S12" s="19">
        <f t="shared" si="7"/>
        <v>34.745762711864408</v>
      </c>
    </row>
    <row r="13" spans="1:19" x14ac:dyDescent="0.3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155</v>
      </c>
      <c r="G13" s="3">
        <v>100</v>
      </c>
      <c r="H13" s="3">
        <v>23.3</v>
      </c>
      <c r="I13" s="5">
        <v>0.84</v>
      </c>
      <c r="J13" s="21">
        <f t="shared" si="3"/>
        <v>0.23300000000000001</v>
      </c>
      <c r="K13" s="21">
        <f t="shared" si="4"/>
        <v>27.738095238095241</v>
      </c>
    </row>
    <row r="14" spans="1:19" x14ac:dyDescent="0.3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112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3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29" t="s">
        <v>116</v>
      </c>
      <c r="G15" s="11">
        <v>136</v>
      </c>
      <c r="H15" s="11">
        <v>12.4</v>
      </c>
      <c r="I15" s="12">
        <v>0.49</v>
      </c>
      <c r="J15" s="30">
        <f t="shared" si="3"/>
        <v>9.1176470588235303E-2</v>
      </c>
      <c r="K15" s="30">
        <f t="shared" si="4"/>
        <v>25.306122448979593</v>
      </c>
    </row>
    <row r="16" spans="1:19" x14ac:dyDescent="0.3">
      <c r="F16" s="15" t="s">
        <v>153</v>
      </c>
      <c r="G16" s="3">
        <v>169</v>
      </c>
      <c r="H16" s="3">
        <v>15.4</v>
      </c>
      <c r="I16" s="5">
        <v>0.47</v>
      </c>
      <c r="J16" s="21">
        <f t="shared" si="3"/>
        <v>9.1124260355029588E-2</v>
      </c>
      <c r="K16" s="21">
        <f t="shared" si="4"/>
        <v>32.765957446808514</v>
      </c>
    </row>
    <row r="17" spans="1:22" x14ac:dyDescent="0.3">
      <c r="A17" s="15" t="s">
        <v>96</v>
      </c>
      <c r="B17" s="15" t="s">
        <v>45</v>
      </c>
      <c r="C17" s="15" t="s">
        <v>83</v>
      </c>
      <c r="D17" s="15" t="s">
        <v>40</v>
      </c>
      <c r="F17" s="15" t="s">
        <v>163</v>
      </c>
      <c r="G17" s="3">
        <v>126</v>
      </c>
      <c r="H17" s="3">
        <v>17.899999999999999</v>
      </c>
      <c r="I17" s="5">
        <v>0.4</v>
      </c>
      <c r="J17" s="21">
        <f t="shared" si="3"/>
        <v>0.14206349206349206</v>
      </c>
      <c r="K17" s="21">
        <f t="shared" si="4"/>
        <v>44.749999999999993</v>
      </c>
    </row>
    <row r="18" spans="1:22" x14ac:dyDescent="0.3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</row>
    <row r="19" spans="1:22" x14ac:dyDescent="0.3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</row>
    <row r="20" spans="1:22" x14ac:dyDescent="0.3">
      <c r="A20" s="15" t="s">
        <v>63</v>
      </c>
      <c r="B20" s="3">
        <f>$G$5</f>
        <v>185</v>
      </c>
      <c r="C20" s="3">
        <v>0</v>
      </c>
      <c r="D20" s="4">
        <f>$I$5</f>
        <v>0.33</v>
      </c>
    </row>
    <row r="21" spans="1:22" x14ac:dyDescent="0.3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S21" t="s">
        <v>119</v>
      </c>
    </row>
    <row r="22" spans="1:22" x14ac:dyDescent="0.3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3">
      <c r="G23" s="33"/>
      <c r="H23" s="33"/>
      <c r="I23" s="2"/>
      <c r="N23" s="15" t="s">
        <v>113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118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3">
      <c r="I24" s="34"/>
      <c r="N24" s="15" t="s">
        <v>114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120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3">
      <c r="A25" s="15" t="s">
        <v>136</v>
      </c>
      <c r="B25" s="15" t="s">
        <v>45</v>
      </c>
      <c r="C25" s="15" t="s">
        <v>83</v>
      </c>
      <c r="D25" s="15" t="s">
        <v>40</v>
      </c>
      <c r="I25" s="34"/>
      <c r="N25" s="15" t="s">
        <v>115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117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3">
      <c r="A26" s="15" t="s">
        <v>101</v>
      </c>
      <c r="B26" s="3">
        <f>$G$6*1</f>
        <v>257</v>
      </c>
      <c r="C26" s="3">
        <f>$H$6*1</f>
        <v>9.1999999999999993</v>
      </c>
      <c r="D26" s="19">
        <f>$I$6*1</f>
        <v>0.28000000000000003</v>
      </c>
      <c r="I26" s="34"/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3">
      <c r="A27" s="15" t="s">
        <v>63</v>
      </c>
      <c r="B27" s="3">
        <f>$G$5</f>
        <v>185</v>
      </c>
      <c r="C27" s="3">
        <v>0</v>
      </c>
      <c r="D27" s="19">
        <f>$I$5</f>
        <v>0.33</v>
      </c>
      <c r="G27" s="33"/>
      <c r="H27" s="33"/>
      <c r="I27" s="35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108</v>
      </c>
      <c r="T27" s="3">
        <v>350</v>
      </c>
      <c r="U27" s="3">
        <v>11.5</v>
      </c>
      <c r="V27" s="19">
        <v>0.13</v>
      </c>
    </row>
    <row r="28" spans="1:22" x14ac:dyDescent="0.3">
      <c r="A28" s="15" t="s">
        <v>137</v>
      </c>
      <c r="B28" s="3">
        <f>123*2</f>
        <v>246</v>
      </c>
      <c r="C28" s="3">
        <f>30*2</f>
        <v>60</v>
      </c>
      <c r="D28" s="22">
        <f>1.09*2</f>
        <v>2.1800000000000002</v>
      </c>
      <c r="G28" s="33"/>
      <c r="H28" s="33"/>
      <c r="I28" s="35"/>
      <c r="N28" s="15" t="s">
        <v>108</v>
      </c>
      <c r="O28" s="3">
        <v>350</v>
      </c>
      <c r="P28" s="3">
        <v>11.5</v>
      </c>
      <c r="Q28" s="19">
        <v>0.13</v>
      </c>
      <c r="S28" s="15" t="s">
        <v>109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3">
      <c r="A29" s="15" t="s">
        <v>139</v>
      </c>
      <c r="B29" s="3">
        <f>209*4.5</f>
        <v>940.5</v>
      </c>
      <c r="C29" s="3">
        <f>13*4.5</f>
        <v>58.5</v>
      </c>
      <c r="D29" s="19">
        <f>0.22*4.5</f>
        <v>0.99</v>
      </c>
      <c r="G29" s="33"/>
      <c r="H29" s="33"/>
      <c r="I29" s="35"/>
      <c r="N29" s="15"/>
      <c r="O29" s="3"/>
      <c r="P29" s="3"/>
      <c r="Q29" s="19"/>
      <c r="S29" s="15"/>
      <c r="T29" s="3"/>
      <c r="U29" s="3"/>
      <c r="V29" s="19"/>
    </row>
    <row r="30" spans="1:22" x14ac:dyDescent="0.3">
      <c r="A30" s="15" t="s">
        <v>138</v>
      </c>
      <c r="B30" s="3">
        <f>51*5</f>
        <v>255</v>
      </c>
      <c r="C30" s="3">
        <f>5.3*5</f>
        <v>26.5</v>
      </c>
      <c r="D30" s="19">
        <f>0.15*5</f>
        <v>0.75</v>
      </c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3">
      <c r="A31" s="15"/>
      <c r="B31" s="3"/>
      <c r="C31" s="3"/>
      <c r="D31" s="3"/>
    </row>
    <row r="32" spans="1:22" x14ac:dyDescent="0.3">
      <c r="A32" s="15" t="s">
        <v>134</v>
      </c>
      <c r="B32" s="3">
        <f>SUM(B26:B31)</f>
        <v>1883.5</v>
      </c>
      <c r="C32" s="3">
        <f>SUM(C26:C31)</f>
        <v>154.19999999999999</v>
      </c>
      <c r="D32" s="19">
        <f>SUM(D26:D31)</f>
        <v>4.53</v>
      </c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1:22" x14ac:dyDescent="0.3">
      <c r="F33" s="15" t="s">
        <v>106</v>
      </c>
      <c r="G33" s="15" t="s">
        <v>45</v>
      </c>
      <c r="H33" s="15" t="s">
        <v>107</v>
      </c>
      <c r="I33" s="15" t="s">
        <v>40</v>
      </c>
      <c r="M33" t="s">
        <v>121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130</v>
      </c>
      <c r="S33" s="15" t="s">
        <v>131</v>
      </c>
      <c r="T33" s="3">
        <f>$O$12*0.7</f>
        <v>288.39999999999998</v>
      </c>
      <c r="U33" s="3">
        <f>$P$12*0.7</f>
        <v>57.4</v>
      </c>
      <c r="V33" s="19">
        <f>$Q$12*0.7</f>
        <v>1.6519999999999999</v>
      </c>
    </row>
    <row r="34" spans="1:22" x14ac:dyDescent="0.3">
      <c r="F34" s="15" t="s">
        <v>105</v>
      </c>
      <c r="G34" s="3">
        <v>348</v>
      </c>
      <c r="H34" s="3">
        <v>9</v>
      </c>
      <c r="I34" s="3">
        <v>0.2</v>
      </c>
      <c r="N34" s="15" t="s">
        <v>122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114</v>
      </c>
      <c r="T34" s="3">
        <f>47*5</f>
        <v>235</v>
      </c>
      <c r="U34" s="3">
        <f>3.3*5</f>
        <v>16.5</v>
      </c>
      <c r="V34" s="19">
        <f>0.1*5</f>
        <v>0.5</v>
      </c>
    </row>
    <row r="35" spans="1:22" x14ac:dyDescent="0.3">
      <c r="F35" s="15" t="s">
        <v>108</v>
      </c>
      <c r="G35" s="3">
        <v>350</v>
      </c>
      <c r="H35" s="3">
        <v>11.5</v>
      </c>
      <c r="I35" s="3">
        <v>0.13</v>
      </c>
      <c r="N35" s="15" t="s">
        <v>117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1:22" x14ac:dyDescent="0.3">
      <c r="A36" s="15" t="s">
        <v>136</v>
      </c>
      <c r="B36" s="15" t="s">
        <v>45</v>
      </c>
      <c r="C36" s="15" t="s">
        <v>83</v>
      </c>
      <c r="D36" s="15" t="s">
        <v>40</v>
      </c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1:22" x14ac:dyDescent="0.3">
      <c r="A37" s="15" t="s">
        <v>101</v>
      </c>
      <c r="B37" s="3">
        <f>$G$6*1</f>
        <v>257</v>
      </c>
      <c r="C37" s="3">
        <f>$H$6*1</f>
        <v>9.1999999999999993</v>
      </c>
      <c r="D37" s="19">
        <f>$I$6*1</f>
        <v>0.28000000000000003</v>
      </c>
      <c r="N37" s="15" t="s">
        <v>108</v>
      </c>
      <c r="O37" s="3">
        <v>350</v>
      </c>
      <c r="P37" s="3">
        <v>11.5</v>
      </c>
      <c r="Q37" s="19">
        <v>0.13</v>
      </c>
      <c r="S37" s="15" t="s">
        <v>132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1:22" x14ac:dyDescent="0.3">
      <c r="A38" s="15" t="s">
        <v>63</v>
      </c>
      <c r="B38" s="3">
        <f>$G$5</f>
        <v>185</v>
      </c>
      <c r="C38" s="3">
        <v>0</v>
      </c>
      <c r="D38" s="19">
        <f>$I$5</f>
        <v>0.33</v>
      </c>
      <c r="N38" s="15"/>
      <c r="O38" s="3"/>
      <c r="P38" s="3"/>
      <c r="Q38" s="4"/>
      <c r="S38" s="15"/>
      <c r="T38" s="3"/>
      <c r="U38" s="3"/>
      <c r="V38" s="19"/>
    </row>
    <row r="39" spans="1:22" x14ac:dyDescent="0.3">
      <c r="A39" s="15" t="s">
        <v>137</v>
      </c>
      <c r="B39" s="3">
        <f>123*2</f>
        <v>246</v>
      </c>
      <c r="C39" s="3">
        <f>30*2</f>
        <v>60</v>
      </c>
      <c r="D39" s="22">
        <f>1.09*2</f>
        <v>2.1800000000000002</v>
      </c>
      <c r="N39" s="15"/>
      <c r="O39" s="3"/>
      <c r="P39" s="3"/>
      <c r="Q39" s="19"/>
      <c r="S39" s="15"/>
      <c r="T39" s="3"/>
      <c r="U39" s="3"/>
      <c r="V39" s="19"/>
    </row>
    <row r="40" spans="1:22" x14ac:dyDescent="0.3">
      <c r="A40" s="15" t="s">
        <v>140</v>
      </c>
      <c r="B40" s="3">
        <f>240*4</f>
        <v>960</v>
      </c>
      <c r="C40" s="3">
        <f>15*4</f>
        <v>60</v>
      </c>
      <c r="D40" s="19">
        <f>0.26*4</f>
        <v>1.04</v>
      </c>
      <c r="N40" s="15" t="s">
        <v>70</v>
      </c>
      <c r="O40" s="21">
        <f>SUM(O33:O39)</f>
        <v>2007.4</v>
      </c>
      <c r="P40" s="21">
        <f t="shared" ref="P40:Q40" si="12">SUM(P33:P39)</f>
        <v>181.89999999999998</v>
      </c>
      <c r="Q40" s="19">
        <f t="shared" si="12"/>
        <v>4.09</v>
      </c>
      <c r="S40" s="15" t="s">
        <v>70</v>
      </c>
      <c r="T40" s="3">
        <f>SUM(T33:T39)</f>
        <v>1534.9</v>
      </c>
      <c r="U40" s="3">
        <f t="shared" ref="U40:V40" si="13">SUM(U33:U39)</f>
        <v>135.35000000000002</v>
      </c>
      <c r="V40" s="19">
        <f t="shared" si="13"/>
        <v>3.4670000000000005</v>
      </c>
    </row>
    <row r="41" spans="1:22" x14ac:dyDescent="0.3">
      <c r="A41" s="15" t="s">
        <v>138</v>
      </c>
      <c r="B41" s="3">
        <f>51*5</f>
        <v>255</v>
      </c>
      <c r="C41" s="3">
        <f>5.3*5</f>
        <v>26.5</v>
      </c>
      <c r="D41" s="19">
        <f>0.15*5</f>
        <v>0.75</v>
      </c>
      <c r="S41" s="32"/>
    </row>
    <row r="42" spans="1:22" x14ac:dyDescent="0.3">
      <c r="A42" s="15"/>
      <c r="B42" s="3"/>
      <c r="C42" s="3"/>
      <c r="D42" s="3"/>
      <c r="S42" s="15" t="s">
        <v>133</v>
      </c>
      <c r="T42" s="15" t="s">
        <v>45</v>
      </c>
      <c r="U42" s="15" t="s">
        <v>83</v>
      </c>
      <c r="V42" s="15" t="s">
        <v>87</v>
      </c>
    </row>
    <row r="43" spans="1:22" x14ac:dyDescent="0.3">
      <c r="A43" s="15" t="s">
        <v>134</v>
      </c>
      <c r="B43" s="3">
        <f>SUM(B37:B42)</f>
        <v>1903</v>
      </c>
      <c r="C43" s="3">
        <f>SUM(C37:C42)</f>
        <v>155.69999999999999</v>
      </c>
      <c r="D43" s="19">
        <f>SUM(D37:D42)</f>
        <v>4.58</v>
      </c>
      <c r="S43" s="15" t="s">
        <v>117</v>
      </c>
      <c r="T43" s="3">
        <f>209*2</f>
        <v>418</v>
      </c>
      <c r="U43" s="3">
        <f>13*2</f>
        <v>26</v>
      </c>
      <c r="V43" s="19">
        <f>0.22*2</f>
        <v>0.44</v>
      </c>
    </row>
    <row r="44" spans="1:22" x14ac:dyDescent="0.3">
      <c r="S44" s="15" t="s">
        <v>134</v>
      </c>
      <c r="T44" s="3">
        <f>T40+T43</f>
        <v>1952.9</v>
      </c>
      <c r="U44" s="3">
        <f t="shared" ref="U44:V44" si="14">U40+U43</f>
        <v>161.35000000000002</v>
      </c>
      <c r="V44" s="3">
        <f t="shared" si="14"/>
        <v>3.9070000000000005</v>
      </c>
    </row>
    <row r="45" spans="1:22" x14ac:dyDescent="0.3">
      <c r="A45" s="15" t="s">
        <v>147</v>
      </c>
      <c r="B45" s="15" t="s">
        <v>45</v>
      </c>
      <c r="C45" s="15" t="s">
        <v>83</v>
      </c>
      <c r="D45" s="15" t="s">
        <v>87</v>
      </c>
      <c r="F45" s="15" t="s">
        <v>148</v>
      </c>
      <c r="G45" s="15" t="s">
        <v>45</v>
      </c>
      <c r="H45" s="15" t="s">
        <v>83</v>
      </c>
      <c r="I45" s="15" t="s">
        <v>87</v>
      </c>
      <c r="N45" s="15" t="s">
        <v>156</v>
      </c>
      <c r="O45" s="15" t="s">
        <v>45</v>
      </c>
      <c r="P45" s="15" t="s">
        <v>83</v>
      </c>
      <c r="Q45" s="15" t="s">
        <v>40</v>
      </c>
    </row>
    <row r="46" spans="1:22" x14ac:dyDescent="0.3">
      <c r="A46" s="15" t="s">
        <v>131</v>
      </c>
      <c r="B46" s="3">
        <f>$O$12*0.7</f>
        <v>288.39999999999998</v>
      </c>
      <c r="C46" s="3">
        <f>$P$12*0.7</f>
        <v>57.4</v>
      </c>
      <c r="D46" s="19">
        <f>$Q$12*0.7</f>
        <v>1.6519999999999999</v>
      </c>
      <c r="F46" s="15" t="s">
        <v>131</v>
      </c>
      <c r="G46" s="3">
        <f>$O$12*0.7</f>
        <v>288.39999999999998</v>
      </c>
      <c r="H46" s="3">
        <f>$P$12*0.7</f>
        <v>57.4</v>
      </c>
      <c r="I46" s="19">
        <f>$Q$12*0.7</f>
        <v>1.6519999999999999</v>
      </c>
      <c r="N46" s="15" t="s">
        <v>157</v>
      </c>
      <c r="O46" s="3">
        <f>(47*10)/3</f>
        <v>156.66666666666666</v>
      </c>
      <c r="P46" s="3">
        <f>(3.3*10)/3</f>
        <v>11</v>
      </c>
      <c r="Q46" s="19">
        <f>(0.1*10)/3</f>
        <v>0.33333333333333331</v>
      </c>
      <c r="S46" s="15" t="s">
        <v>133</v>
      </c>
      <c r="T46" s="15" t="s">
        <v>45</v>
      </c>
      <c r="U46" s="15" t="s">
        <v>83</v>
      </c>
      <c r="V46" s="15" t="s">
        <v>87</v>
      </c>
    </row>
    <row r="47" spans="1:22" x14ac:dyDescent="0.3">
      <c r="A47" s="15" t="s">
        <v>114</v>
      </c>
      <c r="B47" s="3">
        <f>47*5</f>
        <v>235</v>
      </c>
      <c r="C47" s="3">
        <f>3.3*5</f>
        <v>16.5</v>
      </c>
      <c r="D47" s="19">
        <f>0.1*5</f>
        <v>0.5</v>
      </c>
      <c r="F47" s="15" t="s">
        <v>114</v>
      </c>
      <c r="G47" s="3">
        <f>47*5</f>
        <v>235</v>
      </c>
      <c r="H47" s="3">
        <f>3.3*5</f>
        <v>16.5</v>
      </c>
      <c r="I47" s="19">
        <f>0.1*5</f>
        <v>0.5</v>
      </c>
      <c r="N47" s="15" t="s">
        <v>168</v>
      </c>
      <c r="O47" s="3">
        <f>240*3</f>
        <v>720</v>
      </c>
      <c r="P47" s="3">
        <f>15*3</f>
        <v>45</v>
      </c>
      <c r="Q47" s="19">
        <f>0.26*3</f>
        <v>0.78</v>
      </c>
      <c r="S47" s="15" t="s">
        <v>84</v>
      </c>
      <c r="T47" s="3">
        <f>209*1</f>
        <v>209</v>
      </c>
      <c r="U47" s="3">
        <f>13*1</f>
        <v>13</v>
      </c>
      <c r="V47" s="19">
        <f>0.22*1</f>
        <v>0.22</v>
      </c>
    </row>
    <row r="48" spans="1:22" x14ac:dyDescent="0.3">
      <c r="A48" s="15" t="s">
        <v>142</v>
      </c>
      <c r="B48" s="3">
        <f>240*2</f>
        <v>480</v>
      </c>
      <c r="C48" s="3">
        <f>15*2</f>
        <v>30</v>
      </c>
      <c r="D48" s="19">
        <f>0.26*2</f>
        <v>0.52</v>
      </c>
      <c r="F48" s="15" t="s">
        <v>142</v>
      </c>
      <c r="G48" s="3">
        <f>240*2</f>
        <v>480</v>
      </c>
      <c r="H48" s="3">
        <f>15*2</f>
        <v>30</v>
      </c>
      <c r="I48" s="19">
        <f>0.26*2</f>
        <v>0.52</v>
      </c>
      <c r="N48" s="15" t="s">
        <v>158</v>
      </c>
      <c r="O48" s="3">
        <f>G13*3</f>
        <v>300</v>
      </c>
      <c r="P48" s="3">
        <f>H13*3</f>
        <v>69.900000000000006</v>
      </c>
      <c r="Q48" s="19">
        <f>I13*3</f>
        <v>2.52</v>
      </c>
      <c r="S48" s="15" t="s">
        <v>135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:22" x14ac:dyDescent="0.3">
      <c r="A49" s="15" t="s">
        <v>101</v>
      </c>
      <c r="B49" s="3">
        <f>$G$6*1</f>
        <v>257</v>
      </c>
      <c r="C49" s="3">
        <f>$H$6*1</f>
        <v>9.1999999999999993</v>
      </c>
      <c r="D49" s="19">
        <f>$I$6*1</f>
        <v>0.28000000000000003</v>
      </c>
      <c r="F49" s="15" t="s">
        <v>101</v>
      </c>
      <c r="G49" s="3">
        <f>$G$6*1</f>
        <v>257</v>
      </c>
      <c r="H49" s="3">
        <f>$H$6*1</f>
        <v>9.1999999999999993</v>
      </c>
      <c r="I49" s="19">
        <f>$I$6*1</f>
        <v>0.28000000000000003</v>
      </c>
      <c r="N49" s="15" t="s">
        <v>138</v>
      </c>
      <c r="O49" s="3">
        <f>51*5</f>
        <v>255</v>
      </c>
      <c r="P49" s="3">
        <f>5.3*5</f>
        <v>26.5</v>
      </c>
      <c r="Q49" s="19">
        <f>0.15*5</f>
        <v>0.75</v>
      </c>
      <c r="S49" s="15" t="s">
        <v>134</v>
      </c>
      <c r="T49" s="3">
        <f>T40+SUM(T47:T48)</f>
        <v>1872.4</v>
      </c>
      <c r="U49" s="3">
        <f t="shared" ref="U49:V49" si="15">U40+SUM(U47:U48)</f>
        <v>152.95000000000002</v>
      </c>
      <c r="V49" s="19">
        <f t="shared" si="15"/>
        <v>3.8270000000000004</v>
      </c>
    </row>
    <row r="50" spans="1:22" x14ac:dyDescent="0.3">
      <c r="A50" s="15" t="s">
        <v>138</v>
      </c>
      <c r="B50" s="3">
        <f>51*5</f>
        <v>255</v>
      </c>
      <c r="C50" s="3">
        <f>5.3*5</f>
        <v>26.5</v>
      </c>
      <c r="D50" s="19">
        <f>0.15*5</f>
        <v>0.75</v>
      </c>
      <c r="F50" s="15"/>
      <c r="G50" s="3"/>
      <c r="H50" s="3"/>
      <c r="I50" s="19"/>
      <c r="N50" s="15" t="s">
        <v>101</v>
      </c>
      <c r="O50" s="3">
        <f>$G$6*1</f>
        <v>257</v>
      </c>
      <c r="P50" s="3">
        <f>$H$6*1</f>
        <v>9.1999999999999993</v>
      </c>
      <c r="Q50" s="19">
        <f>$I$6*1</f>
        <v>0.28000000000000003</v>
      </c>
    </row>
    <row r="51" spans="1:22" x14ac:dyDescent="0.3">
      <c r="A51" s="15"/>
      <c r="B51" s="3"/>
      <c r="C51" s="3"/>
      <c r="D51" s="19"/>
      <c r="F51" s="15"/>
      <c r="G51" s="3"/>
      <c r="H51" s="3"/>
      <c r="I51" s="19"/>
      <c r="N51" s="15" t="s">
        <v>159</v>
      </c>
      <c r="O51" s="3">
        <f>350*2</f>
        <v>700</v>
      </c>
      <c r="P51" s="3">
        <f>11.5*2</f>
        <v>23</v>
      </c>
      <c r="Q51" s="19">
        <f>0.15*2</f>
        <v>0.3</v>
      </c>
    </row>
    <row r="52" spans="1:22" x14ac:dyDescent="0.3">
      <c r="A52" s="15"/>
      <c r="B52" s="3"/>
      <c r="C52" s="3"/>
      <c r="D52" s="19"/>
      <c r="F52" s="15"/>
      <c r="G52" s="3"/>
      <c r="H52" s="3"/>
      <c r="I52" s="19"/>
      <c r="N52" s="15"/>
      <c r="O52" s="3"/>
      <c r="P52" s="3"/>
      <c r="Q52" s="19"/>
    </row>
    <row r="53" spans="1:22" x14ac:dyDescent="0.3">
      <c r="A53" s="15" t="s">
        <v>70</v>
      </c>
      <c r="B53" s="3">
        <f>SUM(B46:B52)</f>
        <v>1515.4</v>
      </c>
      <c r="C53" s="3">
        <f t="shared" ref="C53:D53" si="16">SUM(C46:C52)</f>
        <v>139.60000000000002</v>
      </c>
      <c r="D53" s="19">
        <f t="shared" si="16"/>
        <v>3.702</v>
      </c>
      <c r="F53" s="15" t="s">
        <v>70</v>
      </c>
      <c r="G53" s="3">
        <f>SUM(G46:G52)</f>
        <v>1260.4000000000001</v>
      </c>
      <c r="H53" s="3">
        <f t="shared" ref="H53:I53" si="17">SUM(H46:H52)</f>
        <v>113.10000000000001</v>
      </c>
      <c r="I53" s="19">
        <f t="shared" si="17"/>
        <v>2.952</v>
      </c>
      <c r="N53" s="15" t="s">
        <v>134</v>
      </c>
      <c r="O53" s="3">
        <f>SUM(O46:O52)</f>
        <v>2388.6666666666665</v>
      </c>
      <c r="P53" s="3">
        <f t="shared" ref="P53" si="18">SUM(P46:P52)</f>
        <v>184.6</v>
      </c>
      <c r="Q53" s="19">
        <f>SUM(Q46:Q52)</f>
        <v>4.9633333333333329</v>
      </c>
    </row>
    <row r="55" spans="1:22" x14ac:dyDescent="0.3">
      <c r="A55" s="15" t="s">
        <v>143</v>
      </c>
      <c r="B55" s="15" t="s">
        <v>45</v>
      </c>
      <c r="C55" s="15" t="s">
        <v>83</v>
      </c>
      <c r="D55" s="15" t="s">
        <v>87</v>
      </c>
      <c r="F55" s="15" t="s">
        <v>143</v>
      </c>
      <c r="G55" s="15" t="s">
        <v>45</v>
      </c>
      <c r="H55" s="15" t="s">
        <v>83</v>
      </c>
      <c r="I55" s="15" t="s">
        <v>87</v>
      </c>
      <c r="N55" s="15" t="s">
        <v>156</v>
      </c>
      <c r="O55" s="15" t="s">
        <v>45</v>
      </c>
      <c r="P55" s="15" t="s">
        <v>83</v>
      </c>
      <c r="Q55" s="15" t="s">
        <v>40</v>
      </c>
    </row>
    <row r="56" spans="1:22" x14ac:dyDescent="0.3">
      <c r="A56" s="15"/>
      <c r="B56" s="3"/>
      <c r="C56" s="3"/>
      <c r="D56" s="19"/>
      <c r="F56" s="15" t="s">
        <v>145</v>
      </c>
      <c r="G56" s="3">
        <f>$O$12*0.35</f>
        <v>144.19999999999999</v>
      </c>
      <c r="H56" s="3">
        <f>$P$12*0.35</f>
        <v>28.7</v>
      </c>
      <c r="I56" s="19">
        <f>$Q$12*0.35</f>
        <v>0.82599999999999996</v>
      </c>
      <c r="N56" s="15" t="s">
        <v>114</v>
      </c>
      <c r="O56" s="3">
        <f>(47*5)</f>
        <v>235</v>
      </c>
      <c r="P56" s="3">
        <f>(3.3*5)</f>
        <v>16.5</v>
      </c>
      <c r="Q56" s="19">
        <f>(0.1*5)</f>
        <v>0.5</v>
      </c>
    </row>
    <row r="57" spans="1:22" x14ac:dyDescent="0.3">
      <c r="A57" s="15" t="s">
        <v>108</v>
      </c>
      <c r="B57" s="3">
        <v>350</v>
      </c>
      <c r="C57" s="3">
        <v>11.5</v>
      </c>
      <c r="D57" s="19">
        <v>0.13</v>
      </c>
      <c r="F57" s="15" t="s">
        <v>146</v>
      </c>
      <c r="G57" s="3">
        <f>47*2.5</f>
        <v>117.5</v>
      </c>
      <c r="H57" s="3">
        <f>3.3*2.5</f>
        <v>8.25</v>
      </c>
      <c r="I57" s="19">
        <f>0.1*2.5</f>
        <v>0.25</v>
      </c>
      <c r="N57" s="15" t="s">
        <v>160</v>
      </c>
      <c r="O57" s="3">
        <v>169</v>
      </c>
      <c r="P57" s="3">
        <v>15.4</v>
      </c>
      <c r="Q57" s="5">
        <v>0.47</v>
      </c>
    </row>
    <row r="58" spans="1:22" x14ac:dyDescent="0.3">
      <c r="A58" s="15"/>
      <c r="B58" s="3"/>
      <c r="C58" s="3"/>
      <c r="D58" s="3"/>
      <c r="F58" s="15" t="s">
        <v>108</v>
      </c>
      <c r="G58" s="3">
        <v>350</v>
      </c>
      <c r="H58" s="3">
        <v>11.5</v>
      </c>
      <c r="I58" s="19">
        <v>0.13</v>
      </c>
      <c r="N58" s="15" t="s">
        <v>162</v>
      </c>
      <c r="O58" s="3">
        <f>G13*3</f>
        <v>300</v>
      </c>
      <c r="P58" s="3">
        <f>H13*3</f>
        <v>69.900000000000006</v>
      </c>
      <c r="Q58" s="19">
        <f>I13*3</f>
        <v>2.52</v>
      </c>
    </row>
    <row r="59" spans="1:22" x14ac:dyDescent="0.3">
      <c r="A59" s="15" t="s">
        <v>134</v>
      </c>
      <c r="B59" s="3">
        <f>B53+SUM(B56:B58)</f>
        <v>1865.4</v>
      </c>
      <c r="C59" s="3">
        <f>C53+SUM(C56:C58)</f>
        <v>151.10000000000002</v>
      </c>
      <c r="D59" s="20">
        <f>D53+SUM(D56:D58)</f>
        <v>3.8319999999999999</v>
      </c>
      <c r="F59" s="15" t="s">
        <v>134</v>
      </c>
      <c r="G59" s="3">
        <f>G53+SUM(G56:G58)</f>
        <v>1872.1000000000001</v>
      </c>
      <c r="H59" s="3">
        <f>H53+SUM(H56:H58)</f>
        <v>161.55000000000001</v>
      </c>
      <c r="I59" s="20">
        <f>I53+SUM(I56:I58)</f>
        <v>4.1579999999999995</v>
      </c>
      <c r="N59" s="15" t="s">
        <v>161</v>
      </c>
      <c r="O59" s="3">
        <f>350*2</f>
        <v>700</v>
      </c>
      <c r="P59" s="3">
        <f>7.4*2</f>
        <v>14.8</v>
      </c>
      <c r="Q59" s="19">
        <f>0.2*2</f>
        <v>0.4</v>
      </c>
    </row>
    <row r="60" spans="1:22" x14ac:dyDescent="0.3">
      <c r="N60" s="15"/>
      <c r="O60" s="3"/>
      <c r="P60" s="3"/>
      <c r="Q60" s="19"/>
    </row>
    <row r="61" spans="1:22" x14ac:dyDescent="0.3">
      <c r="A61" s="15" t="s">
        <v>144</v>
      </c>
      <c r="B61" s="15" t="s">
        <v>45</v>
      </c>
      <c r="C61" s="15" t="s">
        <v>83</v>
      </c>
      <c r="D61" s="15" t="s">
        <v>87</v>
      </c>
      <c r="F61" s="15" t="s">
        <v>144</v>
      </c>
      <c r="G61" s="15" t="s">
        <v>45</v>
      </c>
      <c r="H61" s="15" t="s">
        <v>83</v>
      </c>
      <c r="I61" s="15" t="s">
        <v>87</v>
      </c>
      <c r="N61" s="15"/>
      <c r="O61" s="3"/>
      <c r="P61" s="3"/>
      <c r="Q61" s="3"/>
    </row>
    <row r="62" spans="1:22" x14ac:dyDescent="0.3">
      <c r="A62" s="15" t="s">
        <v>141</v>
      </c>
      <c r="B62" s="3">
        <f>240*1</f>
        <v>240</v>
      </c>
      <c r="C62" s="3">
        <f>15*1</f>
        <v>15</v>
      </c>
      <c r="D62" s="19">
        <f>0.26*1</f>
        <v>0.26</v>
      </c>
      <c r="F62" s="15" t="s">
        <v>145</v>
      </c>
      <c r="G62" s="3">
        <f>$O$12*0.35</f>
        <v>144.19999999999999</v>
      </c>
      <c r="H62" s="3">
        <f>$P$12*0.35</f>
        <v>28.7</v>
      </c>
      <c r="I62" s="19">
        <f>$Q$12*0.35</f>
        <v>0.82599999999999996</v>
      </c>
      <c r="N62" s="15" t="s">
        <v>142</v>
      </c>
      <c r="O62" s="3">
        <f>240*2</f>
        <v>480</v>
      </c>
      <c r="P62" s="3">
        <f>15*2</f>
        <v>30</v>
      </c>
      <c r="Q62" s="19">
        <f>0.26*2</f>
        <v>0.52</v>
      </c>
    </row>
    <row r="63" spans="1:22" x14ac:dyDescent="0.3">
      <c r="A63" s="15"/>
      <c r="B63" s="3"/>
      <c r="C63" s="3"/>
      <c r="D63" s="19"/>
      <c r="F63" s="15" t="s">
        <v>146</v>
      </c>
      <c r="G63" s="3">
        <f>47*2.5</f>
        <v>117.5</v>
      </c>
      <c r="H63" s="3">
        <f>3.3*2.5</f>
        <v>8.25</v>
      </c>
      <c r="I63" s="19">
        <f>0.1*2.5</f>
        <v>0.25</v>
      </c>
      <c r="N63" s="15" t="s">
        <v>134</v>
      </c>
      <c r="O63" s="3">
        <f>SUM(O56:O62)</f>
        <v>1884</v>
      </c>
      <c r="P63" s="3">
        <f>SUM(P56:P62)</f>
        <v>146.60000000000002</v>
      </c>
      <c r="Q63" s="19">
        <f>SUM(Q56:Q62)</f>
        <v>4.41</v>
      </c>
    </row>
    <row r="64" spans="1:22" x14ac:dyDescent="0.3">
      <c r="A64" s="15"/>
      <c r="B64" s="3"/>
      <c r="C64" s="3"/>
      <c r="D64" s="3"/>
      <c r="F64" s="15" t="s">
        <v>105</v>
      </c>
      <c r="G64" s="3">
        <v>348</v>
      </c>
      <c r="H64" s="3">
        <v>9</v>
      </c>
      <c r="I64" s="19">
        <v>0.2</v>
      </c>
    </row>
    <row r="65" spans="1:17" x14ac:dyDescent="0.3">
      <c r="A65" s="15" t="s">
        <v>134</v>
      </c>
      <c r="B65" s="3">
        <f>B53+SUM(B62:B64)</f>
        <v>1755.4</v>
      </c>
      <c r="C65" s="3">
        <f t="shared" ref="C65:D65" si="19">C53+SUM(C62:C64)</f>
        <v>154.60000000000002</v>
      </c>
      <c r="D65" s="19">
        <f t="shared" si="19"/>
        <v>3.9619999999999997</v>
      </c>
      <c r="F65" s="15" t="s">
        <v>134</v>
      </c>
      <c r="G65" s="3">
        <f>G53+SUM(G62:G64)</f>
        <v>1870.1000000000001</v>
      </c>
      <c r="H65" s="3">
        <f t="shared" ref="H65" si="20">H53+SUM(H62:H64)</f>
        <v>159.05000000000001</v>
      </c>
      <c r="I65" s="19">
        <f t="shared" ref="I65" si="21">I53+SUM(I62:I64)</f>
        <v>4.2279999999999998</v>
      </c>
      <c r="N65" s="15" t="s">
        <v>164</v>
      </c>
      <c r="O65" s="15" t="s">
        <v>45</v>
      </c>
      <c r="P65" s="15" t="s">
        <v>83</v>
      </c>
      <c r="Q65" s="15" t="s">
        <v>40</v>
      </c>
    </row>
    <row r="66" spans="1:17" x14ac:dyDescent="0.3">
      <c r="N66" s="15" t="s">
        <v>138</v>
      </c>
      <c r="O66" s="3">
        <f>51*5</f>
        <v>255</v>
      </c>
      <c r="P66" s="3">
        <f>5.3*5</f>
        <v>26.5</v>
      </c>
      <c r="Q66" s="19">
        <f>0.15*5</f>
        <v>0.75</v>
      </c>
    </row>
    <row r="67" spans="1:17" x14ac:dyDescent="0.3">
      <c r="A67" s="15" t="s">
        <v>149</v>
      </c>
      <c r="B67" s="15" t="s">
        <v>45</v>
      </c>
      <c r="C67" s="15" t="s">
        <v>83</v>
      </c>
      <c r="D67" s="15" t="s">
        <v>87</v>
      </c>
      <c r="F67" s="15" t="s">
        <v>149</v>
      </c>
      <c r="G67" s="15" t="s">
        <v>45</v>
      </c>
      <c r="H67" s="15" t="s">
        <v>83</v>
      </c>
      <c r="I67" s="15" t="s">
        <v>87</v>
      </c>
      <c r="N67" s="15" t="s">
        <v>101</v>
      </c>
      <c r="O67" s="3">
        <f>$G$6*1</f>
        <v>257</v>
      </c>
      <c r="P67" s="3">
        <f>$H$6*1</f>
        <v>9.1999999999999993</v>
      </c>
      <c r="Q67" s="19">
        <f>$I$6*1</f>
        <v>0.28000000000000003</v>
      </c>
    </row>
    <row r="68" spans="1:17" x14ac:dyDescent="0.3">
      <c r="A68" s="15" t="s">
        <v>150</v>
      </c>
      <c r="B68" s="3">
        <f>68*2</f>
        <v>136</v>
      </c>
      <c r="C68" s="3">
        <f>6.2*2</f>
        <v>12.4</v>
      </c>
      <c r="D68" s="19">
        <f>0.2*2</f>
        <v>0.4</v>
      </c>
      <c r="F68" s="15" t="s">
        <v>145</v>
      </c>
      <c r="G68" s="3">
        <f>$O$12*0.35</f>
        <v>144.19999999999999</v>
      </c>
      <c r="H68" s="3">
        <f>$P$12*0.35</f>
        <v>28.7</v>
      </c>
      <c r="I68" s="19">
        <f>$Q$12*0.35</f>
        <v>0.82599999999999996</v>
      </c>
      <c r="N68" s="15" t="s">
        <v>142</v>
      </c>
      <c r="O68" s="3">
        <f>240*2</f>
        <v>480</v>
      </c>
      <c r="P68" s="3">
        <f>15*2</f>
        <v>30</v>
      </c>
      <c r="Q68" s="19">
        <f>0.26*2</f>
        <v>0.52</v>
      </c>
    </row>
    <row r="69" spans="1:17" x14ac:dyDescent="0.3">
      <c r="A69" s="15"/>
      <c r="B69" s="3"/>
      <c r="C69" s="3"/>
      <c r="D69" s="3"/>
      <c r="F69" s="15" t="s">
        <v>146</v>
      </c>
      <c r="G69" s="3">
        <f>47*2.5</f>
        <v>117.5</v>
      </c>
      <c r="H69" s="3">
        <f>3.3*2.5</f>
        <v>8.25</v>
      </c>
      <c r="I69" s="19">
        <f>0.1*2.5</f>
        <v>0.25</v>
      </c>
      <c r="N69" s="15" t="s">
        <v>165</v>
      </c>
      <c r="O69" s="3">
        <f>G13*2</f>
        <v>200</v>
      </c>
      <c r="P69" s="3">
        <f>H13*2</f>
        <v>46.6</v>
      </c>
      <c r="Q69" s="19">
        <f>I13*2</f>
        <v>1.68</v>
      </c>
    </row>
    <row r="70" spans="1:17" x14ac:dyDescent="0.3">
      <c r="A70" s="15"/>
      <c r="B70" s="3"/>
      <c r="C70" s="3"/>
      <c r="D70" s="3"/>
      <c r="F70" s="15" t="s">
        <v>141</v>
      </c>
      <c r="G70" s="3">
        <f>240*1</f>
        <v>240</v>
      </c>
      <c r="H70" s="3">
        <f>15*1</f>
        <v>15</v>
      </c>
      <c r="I70" s="19">
        <f>0.26*1</f>
        <v>0.26</v>
      </c>
      <c r="N70" s="15" t="s">
        <v>166</v>
      </c>
      <c r="O70" s="3">
        <f>350*1</f>
        <v>350</v>
      </c>
      <c r="P70" s="3">
        <f>7.4*1</f>
        <v>7.4</v>
      </c>
      <c r="Q70" s="19">
        <f>0.2*1</f>
        <v>0.2</v>
      </c>
    </row>
    <row r="71" spans="1:17" x14ac:dyDescent="0.3">
      <c r="A71" s="15" t="s">
        <v>134</v>
      </c>
      <c r="B71" s="3">
        <f>B53+SUM(B68:B70)</f>
        <v>1651.4</v>
      </c>
      <c r="C71" s="3">
        <f t="shared" ref="C71:D71" si="22">C53+SUM(C68:C70)</f>
        <v>152.00000000000003</v>
      </c>
      <c r="D71" s="19">
        <f t="shared" si="22"/>
        <v>4.1020000000000003</v>
      </c>
      <c r="F71" s="15" t="s">
        <v>134</v>
      </c>
      <c r="G71" s="3">
        <f>G53+SUM(G68:G70)</f>
        <v>1762.1000000000001</v>
      </c>
      <c r="H71" s="3">
        <f t="shared" ref="H71:I71" si="23">H53+SUM(H68:H70)</f>
        <v>165.05</v>
      </c>
      <c r="I71" s="19">
        <f t="shared" si="23"/>
        <v>4.2880000000000003</v>
      </c>
      <c r="N71" s="15" t="s">
        <v>160</v>
      </c>
      <c r="O71" s="3">
        <f>169*1</f>
        <v>169</v>
      </c>
      <c r="P71" s="3">
        <f>15.4*1</f>
        <v>15.4</v>
      </c>
      <c r="Q71" s="5">
        <f>0.47*1</f>
        <v>0.47</v>
      </c>
    </row>
    <row r="72" spans="1:17" x14ac:dyDescent="0.3">
      <c r="N72" s="29" t="s">
        <v>167</v>
      </c>
      <c r="O72" s="11">
        <f>136*0.5</f>
        <v>68</v>
      </c>
      <c r="P72" s="11">
        <f>12.4*0.5</f>
        <v>6.2</v>
      </c>
      <c r="Q72" s="12">
        <f>0.49*0.5</f>
        <v>0.245</v>
      </c>
    </row>
    <row r="73" spans="1:17" x14ac:dyDescent="0.3">
      <c r="A73" s="15" t="s">
        <v>151</v>
      </c>
      <c r="B73" s="15" t="s">
        <v>45</v>
      </c>
      <c r="C73" s="15" t="s">
        <v>83</v>
      </c>
      <c r="D73" s="15" t="s">
        <v>87</v>
      </c>
      <c r="N73" s="15" t="s">
        <v>134</v>
      </c>
      <c r="O73" s="3">
        <f>SUM(O66:O72)</f>
        <v>1779</v>
      </c>
      <c r="P73" s="3">
        <f t="shared" ref="P73:Q73" si="24">SUM(P66:P72)</f>
        <v>141.30000000000001</v>
      </c>
      <c r="Q73" s="19">
        <f t="shared" si="24"/>
        <v>4.1450000000000005</v>
      </c>
    </row>
    <row r="74" spans="1:17" x14ac:dyDescent="0.3">
      <c r="A74" s="15" t="s">
        <v>152</v>
      </c>
      <c r="B74" s="3">
        <v>-255</v>
      </c>
      <c r="C74" s="3">
        <v>-26.5</v>
      </c>
      <c r="D74" s="19">
        <v>-0.75</v>
      </c>
    </row>
    <row r="75" spans="1:17" x14ac:dyDescent="0.3">
      <c r="A75" s="15" t="s">
        <v>142</v>
      </c>
      <c r="B75" s="3">
        <f>240*2</f>
        <v>480</v>
      </c>
      <c r="C75" s="3">
        <f>15*2</f>
        <v>30</v>
      </c>
      <c r="D75" s="19">
        <f>0.26*2</f>
        <v>0.52</v>
      </c>
    </row>
    <row r="76" spans="1:17" x14ac:dyDescent="0.3">
      <c r="A76" s="15" t="s">
        <v>154</v>
      </c>
      <c r="B76" s="3">
        <f>G16*1</f>
        <v>169</v>
      </c>
      <c r="C76" s="3">
        <f t="shared" ref="C76:D76" si="25">H16*1</f>
        <v>15.4</v>
      </c>
      <c r="D76" s="19">
        <f t="shared" si="25"/>
        <v>0.47</v>
      </c>
    </row>
    <row r="77" spans="1:17" x14ac:dyDescent="0.3">
      <c r="A77" s="15" t="s">
        <v>134</v>
      </c>
      <c r="B77" s="3">
        <f>B53+SUM(B74:B76)</f>
        <v>1909.4</v>
      </c>
      <c r="C77" s="3">
        <f t="shared" ref="C77:D77" si="26">C53+SUM(C74:C76)</f>
        <v>158.50000000000003</v>
      </c>
      <c r="D77" s="19">
        <f t="shared" si="26"/>
        <v>3.9420000000000002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2023-05-03T06:38:50Z</dcterms:modified>
</cp:coreProperties>
</file>