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a\Documents\uni\extra\"/>
    </mc:Choice>
  </mc:AlternateContent>
  <xr:revisionPtr revIDLastSave="0" documentId="13_ncr:1_{E4380F78-90DA-4B51-BF6C-B13696643A36}" xr6:coauthVersionLast="47" xr6:coauthVersionMax="47" xr10:uidLastSave="{00000000-0000-0000-0000-000000000000}"/>
  <bookViews>
    <workbookView xWindow="-108" yWindow="-108" windowWidth="23256" windowHeight="13896" activeTab="4" xr2:uid="{F59D9EA6-31E6-4D8C-9410-A8BE9A94645C}"/>
  </bookViews>
  <sheets>
    <sheet name="Foglio1" sheetId="1" r:id="rId1"/>
    <sheet name="Foglio2" sheetId="2" r:id="rId2"/>
    <sheet name="Foglio3" sheetId="3" r:id="rId3"/>
    <sheet name="Foglio4" sheetId="4" r:id="rId4"/>
    <sheet name="lean bulk last semest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4" l="1"/>
  <c r="N10" i="4"/>
  <c r="K10" i="4"/>
  <c r="I10" i="4"/>
  <c r="N9" i="4"/>
  <c r="I9" i="4"/>
  <c r="J10" i="4"/>
  <c r="K8" i="4"/>
  <c r="J8" i="4"/>
  <c r="I8" i="4"/>
  <c r="K7" i="4"/>
  <c r="J7" i="4"/>
  <c r="I7" i="4"/>
  <c r="K6" i="4"/>
  <c r="J6" i="4"/>
  <c r="J11" i="4" s="1"/>
  <c r="I6" i="4"/>
  <c r="K5" i="4"/>
  <c r="J5" i="4"/>
  <c r="I5" i="4"/>
  <c r="O10" i="4"/>
  <c r="P8" i="4"/>
  <c r="O8" i="4"/>
  <c r="N8" i="4"/>
  <c r="P7" i="4"/>
  <c r="O7" i="4"/>
  <c r="N7" i="4"/>
  <c r="P6" i="4"/>
  <c r="O6" i="4"/>
  <c r="N6" i="4"/>
  <c r="P5" i="4"/>
  <c r="O5" i="4"/>
  <c r="O11" i="4" s="1"/>
  <c r="N5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E2" i="4"/>
  <c r="K26" i="3"/>
  <c r="J26" i="3"/>
  <c r="I126" i="3"/>
  <c r="H126" i="3"/>
  <c r="G126" i="3"/>
  <c r="I124" i="3"/>
  <c r="H124" i="3"/>
  <c r="G124" i="3"/>
  <c r="I125" i="3"/>
  <c r="H125" i="3"/>
  <c r="G125" i="3"/>
  <c r="I123" i="3"/>
  <c r="H123" i="3"/>
  <c r="G123" i="3"/>
  <c r="I122" i="3"/>
  <c r="H122" i="3"/>
  <c r="G122" i="3"/>
  <c r="I121" i="3"/>
  <c r="H121" i="3"/>
  <c r="G121" i="3"/>
  <c r="I120" i="3"/>
  <c r="I130" i="3" s="1"/>
  <c r="H120" i="3"/>
  <c r="G120" i="3"/>
  <c r="D125" i="3"/>
  <c r="C125" i="3"/>
  <c r="B125" i="3"/>
  <c r="D124" i="3"/>
  <c r="C124" i="3"/>
  <c r="B124" i="3"/>
  <c r="D123" i="3"/>
  <c r="C123" i="3"/>
  <c r="B123" i="3"/>
  <c r="D122" i="3"/>
  <c r="C122" i="3"/>
  <c r="B122" i="3"/>
  <c r="D121" i="3"/>
  <c r="C121" i="3"/>
  <c r="B121" i="3"/>
  <c r="D120" i="3"/>
  <c r="C120" i="3"/>
  <c r="B120" i="3"/>
  <c r="I113" i="3"/>
  <c r="H113" i="3"/>
  <c r="G113" i="3"/>
  <c r="I112" i="3"/>
  <c r="H112" i="3"/>
  <c r="G112" i="3"/>
  <c r="I111" i="3"/>
  <c r="H111" i="3"/>
  <c r="G111" i="3"/>
  <c r="I110" i="3"/>
  <c r="H110" i="3"/>
  <c r="G110" i="3"/>
  <c r="I109" i="3"/>
  <c r="H109" i="3"/>
  <c r="G109" i="3"/>
  <c r="I108" i="3"/>
  <c r="H108" i="3"/>
  <c r="G108" i="3"/>
  <c r="I107" i="3"/>
  <c r="H107" i="3"/>
  <c r="H117" i="3" s="1"/>
  <c r="G107" i="3"/>
  <c r="I99" i="3"/>
  <c r="H99" i="3"/>
  <c r="G99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K25" i="3"/>
  <c r="J25" i="3"/>
  <c r="K24" i="3"/>
  <c r="J24" i="3"/>
  <c r="D99" i="3"/>
  <c r="C99" i="3"/>
  <c r="B99" i="3"/>
  <c r="I98" i="3"/>
  <c r="H98" i="3"/>
  <c r="G98" i="3"/>
  <c r="I97" i="3"/>
  <c r="H97" i="3"/>
  <c r="G97" i="3"/>
  <c r="I96" i="3"/>
  <c r="H96" i="3"/>
  <c r="G96" i="3"/>
  <c r="I95" i="3"/>
  <c r="H95" i="3"/>
  <c r="G95" i="3"/>
  <c r="I94" i="3"/>
  <c r="H94" i="3"/>
  <c r="G94" i="3"/>
  <c r="D98" i="3"/>
  <c r="C98" i="3"/>
  <c r="B98" i="3"/>
  <c r="D97" i="3"/>
  <c r="C97" i="3"/>
  <c r="B97" i="3"/>
  <c r="D96" i="3"/>
  <c r="C96" i="3"/>
  <c r="B96" i="3"/>
  <c r="D95" i="3"/>
  <c r="C95" i="3"/>
  <c r="B95" i="3"/>
  <c r="D94" i="3"/>
  <c r="C94" i="3"/>
  <c r="B94" i="3"/>
  <c r="G87" i="3"/>
  <c r="H87" i="3"/>
  <c r="I87" i="3"/>
  <c r="K23" i="3"/>
  <c r="J23" i="3"/>
  <c r="I85" i="3"/>
  <c r="H85" i="3"/>
  <c r="G85" i="3"/>
  <c r="I86" i="3"/>
  <c r="G86" i="3"/>
  <c r="H86" i="3"/>
  <c r="I84" i="3"/>
  <c r="H84" i="3"/>
  <c r="G84" i="3"/>
  <c r="I83" i="3"/>
  <c r="H83" i="3"/>
  <c r="G83" i="3"/>
  <c r="I82" i="3"/>
  <c r="H82" i="3"/>
  <c r="G82" i="3"/>
  <c r="I81" i="3"/>
  <c r="H81" i="3"/>
  <c r="G81" i="3"/>
  <c r="D86" i="3"/>
  <c r="C86" i="3"/>
  <c r="B86" i="3"/>
  <c r="K22" i="3"/>
  <c r="J22" i="3"/>
  <c r="D84" i="3"/>
  <c r="C84" i="3"/>
  <c r="B84" i="3"/>
  <c r="B85" i="3"/>
  <c r="C85" i="3"/>
  <c r="D85" i="3"/>
  <c r="O69" i="3"/>
  <c r="D83" i="3"/>
  <c r="C83" i="3"/>
  <c r="B83" i="3"/>
  <c r="D82" i="3"/>
  <c r="C82" i="3"/>
  <c r="B82" i="3"/>
  <c r="D81" i="3"/>
  <c r="C81" i="3"/>
  <c r="B81" i="3"/>
  <c r="B91" i="3" s="1"/>
  <c r="K21" i="3"/>
  <c r="J21" i="3"/>
  <c r="J20" i="3"/>
  <c r="K20" i="3"/>
  <c r="K19" i="3"/>
  <c r="J19" i="3"/>
  <c r="K18" i="3"/>
  <c r="J18" i="3"/>
  <c r="Q73" i="3"/>
  <c r="P73" i="3"/>
  <c r="O73" i="3"/>
  <c r="Q50" i="3"/>
  <c r="P50" i="3"/>
  <c r="O50" i="3"/>
  <c r="Q49" i="3"/>
  <c r="P49" i="3"/>
  <c r="O49" i="3"/>
  <c r="Q47" i="3"/>
  <c r="P47" i="3"/>
  <c r="O47" i="3"/>
  <c r="Q72" i="3"/>
  <c r="P72" i="3"/>
  <c r="O72" i="3"/>
  <c r="Q71" i="3"/>
  <c r="P71" i="3"/>
  <c r="O71" i="3"/>
  <c r="Q69" i="3"/>
  <c r="P69" i="3"/>
  <c r="Q70" i="3"/>
  <c r="P70" i="3"/>
  <c r="O70" i="3"/>
  <c r="Q68" i="3"/>
  <c r="P68" i="3"/>
  <c r="O68" i="3"/>
  <c r="Q67" i="3"/>
  <c r="P67" i="3"/>
  <c r="O67" i="3"/>
  <c r="Q66" i="3"/>
  <c r="P66" i="3"/>
  <c r="O66" i="3"/>
  <c r="K17" i="3"/>
  <c r="J17" i="3"/>
  <c r="O62" i="3"/>
  <c r="P62" i="3"/>
  <c r="Q62" i="3"/>
  <c r="Q59" i="3"/>
  <c r="P59" i="3"/>
  <c r="O58" i="3"/>
  <c r="P58" i="3"/>
  <c r="Q58" i="3"/>
  <c r="Q56" i="3"/>
  <c r="P56" i="3"/>
  <c r="O56" i="3"/>
  <c r="O59" i="3"/>
  <c r="O48" i="3"/>
  <c r="P48" i="3"/>
  <c r="Q48" i="3"/>
  <c r="Q51" i="3"/>
  <c r="P51" i="3"/>
  <c r="O51" i="3"/>
  <c r="Q46" i="3"/>
  <c r="P46" i="3"/>
  <c r="O46" i="3"/>
  <c r="D75" i="3"/>
  <c r="C75" i="3"/>
  <c r="B75" i="3"/>
  <c r="C76" i="3"/>
  <c r="D76" i="3"/>
  <c r="B76" i="3"/>
  <c r="K16" i="3"/>
  <c r="J16" i="3"/>
  <c r="B68" i="3"/>
  <c r="C68" i="3"/>
  <c r="D68" i="3"/>
  <c r="D62" i="3"/>
  <c r="C62" i="3"/>
  <c r="B62" i="3"/>
  <c r="D50" i="3"/>
  <c r="C50" i="3"/>
  <c r="B50" i="3"/>
  <c r="I70" i="3"/>
  <c r="H70" i="3"/>
  <c r="G70" i="3"/>
  <c r="I69" i="3"/>
  <c r="H69" i="3"/>
  <c r="G69" i="3"/>
  <c r="H68" i="3"/>
  <c r="G68" i="3"/>
  <c r="I63" i="3"/>
  <c r="H63" i="3"/>
  <c r="G63" i="3"/>
  <c r="H62" i="3"/>
  <c r="G62" i="3"/>
  <c r="I57" i="3"/>
  <c r="H57" i="3"/>
  <c r="G57" i="3"/>
  <c r="I47" i="3"/>
  <c r="H47" i="3"/>
  <c r="G47" i="3"/>
  <c r="H46" i="3"/>
  <c r="G46" i="3"/>
  <c r="H56" i="3"/>
  <c r="G56" i="3"/>
  <c r="I49" i="3"/>
  <c r="H49" i="3"/>
  <c r="G49" i="3"/>
  <c r="I48" i="3"/>
  <c r="H48" i="3"/>
  <c r="G48" i="3"/>
  <c r="B46" i="3"/>
  <c r="C46" i="3"/>
  <c r="B47" i="3"/>
  <c r="C47" i="3"/>
  <c r="D47" i="3"/>
  <c r="D48" i="3"/>
  <c r="C48" i="3"/>
  <c r="B48" i="3"/>
  <c r="D49" i="3"/>
  <c r="C49" i="3"/>
  <c r="B49" i="3"/>
  <c r="U33" i="3"/>
  <c r="T33" i="3"/>
  <c r="D40" i="3"/>
  <c r="C40" i="3"/>
  <c r="B40" i="3"/>
  <c r="D41" i="3"/>
  <c r="C41" i="3"/>
  <c r="B41" i="3"/>
  <c r="D39" i="3"/>
  <c r="C39" i="3"/>
  <c r="B39" i="3"/>
  <c r="D38" i="3"/>
  <c r="B38" i="3"/>
  <c r="D37" i="3"/>
  <c r="C37" i="3"/>
  <c r="B37" i="3"/>
  <c r="D29" i="3"/>
  <c r="C29" i="3"/>
  <c r="B29" i="3"/>
  <c r="D30" i="3"/>
  <c r="C30" i="3"/>
  <c r="B30" i="3"/>
  <c r="D28" i="3"/>
  <c r="C28" i="3"/>
  <c r="B28" i="3"/>
  <c r="D27" i="3"/>
  <c r="B27" i="3"/>
  <c r="D26" i="3"/>
  <c r="C26" i="3"/>
  <c r="B26" i="3"/>
  <c r="V48" i="3"/>
  <c r="U48" i="3"/>
  <c r="T48" i="3"/>
  <c r="V47" i="3"/>
  <c r="U47" i="3"/>
  <c r="T47" i="3"/>
  <c r="V43" i="3"/>
  <c r="U43" i="3"/>
  <c r="T43" i="3"/>
  <c r="V37" i="3"/>
  <c r="U37" i="3"/>
  <c r="T37" i="3"/>
  <c r="T36" i="3"/>
  <c r="V34" i="3"/>
  <c r="U34" i="3"/>
  <c r="T34" i="3"/>
  <c r="V36" i="3"/>
  <c r="U36" i="3"/>
  <c r="V35" i="3"/>
  <c r="U35" i="3"/>
  <c r="T35" i="3"/>
  <c r="R10" i="3"/>
  <c r="R11" i="3"/>
  <c r="R12" i="3"/>
  <c r="R9" i="3"/>
  <c r="Q10" i="3"/>
  <c r="S10" i="3" s="1"/>
  <c r="Q11" i="3"/>
  <c r="S11" i="3" s="1"/>
  <c r="Q12" i="3"/>
  <c r="S12" i="3" s="1"/>
  <c r="Q9" i="3"/>
  <c r="S9" i="3" s="1"/>
  <c r="I3" i="3"/>
  <c r="K3" i="3" s="1"/>
  <c r="V28" i="3"/>
  <c r="U28" i="3"/>
  <c r="T28" i="3"/>
  <c r="V25" i="3"/>
  <c r="U25" i="3"/>
  <c r="T25" i="3"/>
  <c r="Q35" i="3"/>
  <c r="P35" i="3"/>
  <c r="O35" i="3"/>
  <c r="Q34" i="3"/>
  <c r="P34" i="3"/>
  <c r="O34" i="3"/>
  <c r="P33" i="3"/>
  <c r="O33" i="3"/>
  <c r="Q36" i="3"/>
  <c r="P36" i="3"/>
  <c r="O36" i="3"/>
  <c r="V24" i="3"/>
  <c r="U24" i="3"/>
  <c r="T24" i="3"/>
  <c r="U23" i="3"/>
  <c r="T23" i="3"/>
  <c r="V26" i="3"/>
  <c r="U26" i="3"/>
  <c r="T26" i="3"/>
  <c r="K15" i="3"/>
  <c r="J15" i="3"/>
  <c r="Q25" i="3"/>
  <c r="P25" i="3"/>
  <c r="O25" i="3"/>
  <c r="Q26" i="3"/>
  <c r="P26" i="3"/>
  <c r="O26" i="3"/>
  <c r="Q24" i="3"/>
  <c r="P24" i="3"/>
  <c r="O24" i="3"/>
  <c r="P23" i="3"/>
  <c r="O23" i="3"/>
  <c r="Q27" i="3"/>
  <c r="P27" i="3"/>
  <c r="O27" i="3"/>
  <c r="K14" i="3"/>
  <c r="J14" i="3"/>
  <c r="K13" i="3"/>
  <c r="J13" i="3"/>
  <c r="K12" i="3"/>
  <c r="J12" i="3"/>
  <c r="K5" i="3"/>
  <c r="K6" i="3"/>
  <c r="K7" i="3"/>
  <c r="K8" i="3"/>
  <c r="K9" i="3"/>
  <c r="J5" i="3"/>
  <c r="J6" i="3"/>
  <c r="J7" i="3"/>
  <c r="J8" i="3"/>
  <c r="J9" i="3"/>
  <c r="K11" i="3"/>
  <c r="J11" i="3"/>
  <c r="K10" i="3"/>
  <c r="J10" i="3"/>
  <c r="D19" i="3"/>
  <c r="C19" i="3"/>
  <c r="B19" i="3"/>
  <c r="D21" i="3"/>
  <c r="C21" i="3"/>
  <c r="B21" i="3"/>
  <c r="D20" i="3"/>
  <c r="B20" i="3"/>
  <c r="C18" i="3"/>
  <c r="B18" i="3"/>
  <c r="C13" i="3"/>
  <c r="B13" i="3"/>
  <c r="D14" i="3"/>
  <c r="C14" i="3"/>
  <c r="B14" i="3"/>
  <c r="C8" i="3"/>
  <c r="B8" i="3"/>
  <c r="D9" i="3"/>
  <c r="C9" i="3"/>
  <c r="B9" i="3"/>
  <c r="J4" i="3"/>
  <c r="I4" i="3"/>
  <c r="D8" i="3" s="1"/>
  <c r="J3" i="3"/>
  <c r="K2" i="3"/>
  <c r="J2" i="3"/>
  <c r="F26" i="1"/>
  <c r="D26" i="1"/>
  <c r="D4" i="3"/>
  <c r="C4" i="3"/>
  <c r="B4" i="3"/>
  <c r="D3" i="3"/>
  <c r="C3" i="3"/>
  <c r="B3" i="3"/>
  <c r="D2" i="3"/>
  <c r="C2" i="3"/>
  <c r="B2" i="3"/>
  <c r="D23" i="2"/>
  <c r="I25" i="2"/>
  <c r="H25" i="2"/>
  <c r="G25" i="2"/>
  <c r="I24" i="2"/>
  <c r="H24" i="2"/>
  <c r="G24" i="2"/>
  <c r="I23" i="2"/>
  <c r="I22" i="2"/>
  <c r="G22" i="2"/>
  <c r="S17" i="2"/>
  <c r="R17" i="2"/>
  <c r="Q17" i="2"/>
  <c r="S16" i="2"/>
  <c r="S15" i="2"/>
  <c r="Q15" i="2"/>
  <c r="N24" i="2"/>
  <c r="M24" i="2"/>
  <c r="L24" i="2"/>
  <c r="N23" i="2"/>
  <c r="N22" i="2"/>
  <c r="L22" i="2"/>
  <c r="D24" i="2"/>
  <c r="C24" i="2"/>
  <c r="B24" i="2"/>
  <c r="D22" i="2"/>
  <c r="B22" i="2"/>
  <c r="N17" i="2"/>
  <c r="M17" i="2"/>
  <c r="L17" i="2"/>
  <c r="N16" i="2"/>
  <c r="N15" i="2"/>
  <c r="L15" i="2"/>
  <c r="I18" i="2"/>
  <c r="H18" i="2"/>
  <c r="G18" i="2"/>
  <c r="I17" i="2"/>
  <c r="H17" i="2"/>
  <c r="G17" i="2"/>
  <c r="I16" i="2"/>
  <c r="I15" i="2"/>
  <c r="G15" i="2"/>
  <c r="D18" i="2"/>
  <c r="D17" i="2"/>
  <c r="D16" i="2"/>
  <c r="D15" i="2"/>
  <c r="C18" i="2"/>
  <c r="C17" i="2"/>
  <c r="B18" i="2"/>
  <c r="B17" i="2"/>
  <c r="B15" i="2"/>
  <c r="M2" i="2"/>
  <c r="M16" i="2" s="1"/>
  <c r="L2" i="2"/>
  <c r="L16" i="2" s="1"/>
  <c r="P22" i="1"/>
  <c r="K30" i="1"/>
  <c r="J30" i="1"/>
  <c r="J11" i="1"/>
  <c r="P31" i="1"/>
  <c r="O31" i="1"/>
  <c r="N31" i="1"/>
  <c r="P32" i="1"/>
  <c r="O32" i="1"/>
  <c r="N32" i="1"/>
  <c r="P30" i="1"/>
  <c r="O30" i="1"/>
  <c r="N30" i="1"/>
  <c r="O29" i="1"/>
  <c r="O22" i="1"/>
  <c r="N22" i="1"/>
  <c r="P23" i="1"/>
  <c r="O23" i="1"/>
  <c r="O20" i="1"/>
  <c r="J20" i="1"/>
  <c r="N23" i="1"/>
  <c r="P21" i="1"/>
  <c r="O21" i="1"/>
  <c r="N21" i="1"/>
  <c r="K22" i="1"/>
  <c r="J22" i="1"/>
  <c r="I22" i="1"/>
  <c r="K21" i="1"/>
  <c r="J21" i="1"/>
  <c r="I21" i="1"/>
  <c r="P13" i="1"/>
  <c r="O13" i="1"/>
  <c r="N13" i="1"/>
  <c r="P12" i="1"/>
  <c r="O12" i="1"/>
  <c r="N12" i="1"/>
  <c r="P14" i="1"/>
  <c r="N14" i="1"/>
  <c r="O14" i="1"/>
  <c r="P7" i="1"/>
  <c r="O7" i="1"/>
  <c r="N7" i="1"/>
  <c r="K13" i="1"/>
  <c r="J13" i="1"/>
  <c r="I13" i="1"/>
  <c r="K12" i="1"/>
  <c r="J12" i="1"/>
  <c r="I12" i="1"/>
  <c r="K5" i="1"/>
  <c r="J5" i="1"/>
  <c r="I5" i="1"/>
  <c r="K6" i="1"/>
  <c r="J6" i="1"/>
  <c r="I6" i="1"/>
  <c r="K4" i="1"/>
  <c r="J4" i="1"/>
  <c r="I4" i="1"/>
  <c r="D25" i="1"/>
  <c r="F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D3" i="1"/>
  <c r="D4" i="1"/>
  <c r="D5" i="1"/>
  <c r="D9" i="1"/>
  <c r="D10" i="1"/>
  <c r="D15" i="1"/>
  <c r="D16" i="1"/>
  <c r="D17" i="1"/>
  <c r="D8" i="1"/>
  <c r="D24" i="1"/>
  <c r="D11" i="1"/>
  <c r="D14" i="1"/>
  <c r="D13" i="1"/>
  <c r="D7" i="1"/>
  <c r="D12" i="1"/>
  <c r="D6" i="1"/>
  <c r="D22" i="1"/>
  <c r="D18" i="1"/>
  <c r="D21" i="1"/>
  <c r="D19" i="1"/>
  <c r="D20" i="1"/>
  <c r="D23" i="1"/>
  <c r="F2" i="1"/>
  <c r="D2" i="1"/>
  <c r="I117" i="3" l="1"/>
  <c r="H104" i="3"/>
  <c r="K11" i="4"/>
  <c r="I11" i="4"/>
  <c r="N11" i="4"/>
  <c r="P11" i="4"/>
  <c r="G23" i="2"/>
  <c r="B23" i="2"/>
  <c r="B26" i="2" s="1"/>
  <c r="F3" i="2" s="1"/>
  <c r="C91" i="3"/>
  <c r="D91" i="3"/>
  <c r="Q74" i="3"/>
  <c r="O74" i="3"/>
  <c r="D104" i="3"/>
  <c r="B117" i="3"/>
  <c r="D130" i="3"/>
  <c r="B130" i="3"/>
  <c r="B104" i="3"/>
  <c r="G104" i="3"/>
  <c r="G130" i="3"/>
  <c r="H130" i="3"/>
  <c r="C130" i="3"/>
  <c r="H91" i="3"/>
  <c r="C104" i="3"/>
  <c r="P74" i="3"/>
  <c r="I91" i="3"/>
  <c r="G91" i="3"/>
  <c r="I104" i="3"/>
  <c r="Q63" i="3"/>
  <c r="G117" i="3"/>
  <c r="C117" i="3"/>
  <c r="D117" i="3"/>
  <c r="O63" i="3"/>
  <c r="P63" i="3"/>
  <c r="C53" i="3"/>
  <c r="C59" i="3" s="1"/>
  <c r="G53" i="3"/>
  <c r="G71" i="3" s="1"/>
  <c r="O53" i="3"/>
  <c r="B53" i="3"/>
  <c r="B71" i="3" s="1"/>
  <c r="B32" i="3"/>
  <c r="P53" i="3"/>
  <c r="C32" i="3"/>
  <c r="I56" i="3"/>
  <c r="I62" i="3"/>
  <c r="H53" i="3"/>
  <c r="H71" i="3" s="1"/>
  <c r="C43" i="3"/>
  <c r="D46" i="3"/>
  <c r="D53" i="3" s="1"/>
  <c r="I68" i="3"/>
  <c r="D32" i="3"/>
  <c r="I46" i="3"/>
  <c r="I53" i="3" s="1"/>
  <c r="Q23" i="3"/>
  <c r="Q30" i="3" s="1"/>
  <c r="I15" i="1"/>
  <c r="V33" i="3"/>
  <c r="V40" i="3" s="1"/>
  <c r="V44" i="3" s="1"/>
  <c r="D43" i="3"/>
  <c r="B43" i="3"/>
  <c r="S19" i="2"/>
  <c r="E5" i="2" s="1"/>
  <c r="N25" i="1"/>
  <c r="Q16" i="2"/>
  <c r="Q19" i="2" s="1"/>
  <c r="E3" i="2" s="1"/>
  <c r="O16" i="1"/>
  <c r="O25" i="1"/>
  <c r="N34" i="1"/>
  <c r="L23" i="2"/>
  <c r="L26" i="2" s="1"/>
  <c r="H3" i="2" s="1"/>
  <c r="P25" i="1"/>
  <c r="I19" i="2"/>
  <c r="C5" i="2" s="1"/>
  <c r="T40" i="3"/>
  <c r="T44" i="3" s="1"/>
  <c r="U40" i="3"/>
  <c r="U44" i="3" s="1"/>
  <c r="V23" i="3"/>
  <c r="V30" i="3" s="1"/>
  <c r="Q33" i="3"/>
  <c r="Q40" i="3" s="1"/>
  <c r="O30" i="3"/>
  <c r="B22" i="3"/>
  <c r="O40" i="3"/>
  <c r="P40" i="3"/>
  <c r="T30" i="3"/>
  <c r="U30" i="3"/>
  <c r="P30" i="3"/>
  <c r="C22" i="3"/>
  <c r="D13" i="3"/>
  <c r="D15" i="3" s="1"/>
  <c r="D10" i="3"/>
  <c r="C15" i="3"/>
  <c r="D18" i="3"/>
  <c r="D22" i="3" s="1"/>
  <c r="B15" i="3"/>
  <c r="C5" i="3"/>
  <c r="B10" i="3"/>
  <c r="B5" i="3"/>
  <c r="D5" i="3"/>
  <c r="C10" i="3"/>
  <c r="K4" i="3"/>
  <c r="N16" i="1"/>
  <c r="I7" i="1"/>
  <c r="K15" i="1"/>
  <c r="P16" i="1"/>
  <c r="J7" i="1"/>
  <c r="K7" i="1"/>
  <c r="K24" i="1"/>
  <c r="O34" i="1"/>
  <c r="C16" i="2"/>
  <c r="C19" i="2" s="1"/>
  <c r="B4" i="2" s="1"/>
  <c r="D26" i="2"/>
  <c r="F5" i="2" s="1"/>
  <c r="M23" i="2"/>
  <c r="M26" i="2" s="1"/>
  <c r="H4" i="2" s="1"/>
  <c r="P34" i="1"/>
  <c r="B16" i="2"/>
  <c r="B19" i="2" s="1"/>
  <c r="B3" i="2" s="1"/>
  <c r="D19" i="2"/>
  <c r="B5" i="2" s="1"/>
  <c r="G16" i="2"/>
  <c r="G19" i="2" s="1"/>
  <c r="C3" i="2" s="1"/>
  <c r="R16" i="2"/>
  <c r="R19" i="2" s="1"/>
  <c r="E4" i="2" s="1"/>
  <c r="G26" i="2"/>
  <c r="G3" i="2" s="1"/>
  <c r="C23" i="2"/>
  <c r="C26" i="2" s="1"/>
  <c r="F4" i="2" s="1"/>
  <c r="H23" i="2"/>
  <c r="H26" i="2" s="1"/>
  <c r="G4" i="2" s="1"/>
  <c r="J15" i="1"/>
  <c r="J24" i="1"/>
  <c r="H16" i="2"/>
  <c r="H19" i="2" s="1"/>
  <c r="C4" i="2" s="1"/>
  <c r="N26" i="2"/>
  <c r="H5" i="2" s="1"/>
  <c r="I26" i="2"/>
  <c r="G5" i="2" s="1"/>
  <c r="N19" i="2"/>
  <c r="D5" i="2" s="1"/>
  <c r="M19" i="2"/>
  <c r="D4" i="2" s="1"/>
  <c r="L19" i="2"/>
  <c r="D3" i="2" s="1"/>
  <c r="I24" i="1"/>
  <c r="H59" i="3" l="1"/>
  <c r="C65" i="3"/>
  <c r="C71" i="3"/>
  <c r="B77" i="3"/>
  <c r="B59" i="3"/>
  <c r="G59" i="3"/>
  <c r="C77" i="3"/>
  <c r="G65" i="3"/>
  <c r="B65" i="3"/>
  <c r="I71" i="3"/>
  <c r="D71" i="3"/>
  <c r="D77" i="3"/>
  <c r="D59" i="3"/>
  <c r="D65" i="3"/>
  <c r="I59" i="3"/>
  <c r="H65" i="3"/>
  <c r="I65" i="3"/>
  <c r="B7" i="2"/>
  <c r="B9" i="2"/>
  <c r="V49" i="3"/>
  <c r="U49" i="3"/>
  <c r="T49" i="3"/>
  <c r="B8" i="2"/>
  <c r="Q5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tommaso bertelli</author>
  </authors>
  <commentList>
    <comment ref="P3" authorId="0" shapeId="0" xr:uid="{4367CB62-7F9A-4AEB-9578-71F4155BADE4}">
      <text>
        <r>
          <rPr>
            <b/>
            <sz val="9"/>
            <color indexed="81"/>
            <rFont val="Tahoma"/>
            <charset val="1"/>
          </rPr>
          <t>tommaso bertelli:</t>
        </r>
        <r>
          <rPr>
            <sz val="9"/>
            <color indexed="81"/>
            <rFont val="Tahoma"/>
            <charset val="1"/>
          </rPr>
          <t xml:space="preserve">
Interessonte
</t>
        </r>
      </text>
    </comment>
  </commentList>
</comments>
</file>

<file path=xl/sharedStrings.xml><?xml version="1.0" encoding="utf-8"?>
<sst xmlns="http://schemas.openxmlformats.org/spreadsheetml/2006/main" count="594" uniqueCount="208">
  <si>
    <t>proteine</t>
  </si>
  <si>
    <t>calorie</t>
  </si>
  <si>
    <t>/100g</t>
  </si>
  <si>
    <t>tonno al naturale  smart</t>
  </si>
  <si>
    <t xml:space="preserve">yogurt magro smart </t>
  </si>
  <si>
    <t>wurstel maxi smart</t>
  </si>
  <si>
    <t>arrosto tacchino esselunga</t>
  </si>
  <si>
    <t>bresaola smart</t>
  </si>
  <si>
    <t>prosciutto crudo smart</t>
  </si>
  <si>
    <t>salame smart</t>
  </si>
  <si>
    <t>mortadella smart</t>
  </si>
  <si>
    <t>rapporto proteine/€</t>
  </si>
  <si>
    <t>prosciutto cotto smart</t>
  </si>
  <si>
    <t>rapporto proteine/calorie</t>
  </si>
  <si>
    <t>prezzo/kg</t>
  </si>
  <si>
    <t>speck smart</t>
  </si>
  <si>
    <t>besciamella smart</t>
  </si>
  <si>
    <t>coppa smart</t>
  </si>
  <si>
    <t>pasta integrale esslunga</t>
  </si>
  <si>
    <t>pasta smart</t>
  </si>
  <si>
    <t>emmental smart</t>
  </si>
  <si>
    <t>maasdam smart</t>
  </si>
  <si>
    <t>salmone smart</t>
  </si>
  <si>
    <t>uova smart</t>
  </si>
  <si>
    <t>carne secca</t>
  </si>
  <si>
    <t>pane integrale esselunga</t>
  </si>
  <si>
    <t>cordon bleu smart</t>
  </si>
  <si>
    <t>spinacine smart</t>
  </si>
  <si>
    <t>cotolette smart</t>
  </si>
  <si>
    <t>gnocchi smart</t>
  </si>
  <si>
    <t>100g di pasta smart</t>
  </si>
  <si>
    <t>2 latte di tonno smart</t>
  </si>
  <si>
    <t>6 wurstel smart</t>
  </si>
  <si>
    <t xml:space="preserve">150g di pane integrale </t>
  </si>
  <si>
    <t>5 wurstel smart</t>
  </si>
  <si>
    <t>3 latte di tonno smart</t>
  </si>
  <si>
    <t>7 wurstel smart</t>
  </si>
  <si>
    <t>un terzo di bottiglia di succo smart</t>
  </si>
  <si>
    <t>150g di prosciutto cotto smart</t>
  </si>
  <si>
    <t>1 latta di tonno smart</t>
  </si>
  <si>
    <t>euro</t>
  </si>
  <si>
    <t>100g di pane integrale</t>
  </si>
  <si>
    <t>5,22 wurstel smart</t>
  </si>
  <si>
    <t>C</t>
  </si>
  <si>
    <t>media</t>
  </si>
  <si>
    <t>cal</t>
  </si>
  <si>
    <t>F</t>
  </si>
  <si>
    <t>2gg tot 12</t>
  </si>
  <si>
    <t>2gg tot 13</t>
  </si>
  <si>
    <t>per consumare i wurstel smart</t>
  </si>
  <si>
    <t>fare 2 giorni in cui seguire il C e l'F</t>
  </si>
  <si>
    <t>direttamente usando i wurtstel smart</t>
  </si>
  <si>
    <t>per fare la media con wurstel penny</t>
  </si>
  <si>
    <t>piano settimanale</t>
  </si>
  <si>
    <t>lunedì</t>
  </si>
  <si>
    <t>martedì</t>
  </si>
  <si>
    <t>mercoledì</t>
  </si>
  <si>
    <t>giovedì</t>
  </si>
  <si>
    <t>venerdì</t>
  </si>
  <si>
    <t>sabato</t>
  </si>
  <si>
    <t>domenica</t>
  </si>
  <si>
    <t>wurstel penny</t>
  </si>
  <si>
    <t>scatoletta di tonno</t>
  </si>
  <si>
    <t>succo</t>
  </si>
  <si>
    <t>fibre</t>
  </si>
  <si>
    <t>6 wurstel p</t>
  </si>
  <si>
    <t>2 tonno</t>
  </si>
  <si>
    <t xml:space="preserve">100g pane </t>
  </si>
  <si>
    <t>100g di pane</t>
  </si>
  <si>
    <t>lun</t>
  </si>
  <si>
    <t>totale</t>
  </si>
  <si>
    <t>mar</t>
  </si>
  <si>
    <t>mer</t>
  </si>
  <si>
    <t>gio</t>
  </si>
  <si>
    <t>dom</t>
  </si>
  <si>
    <t>ven</t>
  </si>
  <si>
    <t>7 wurstel p</t>
  </si>
  <si>
    <t>8 wurstel p</t>
  </si>
  <si>
    <t>media calorie</t>
  </si>
  <si>
    <t>media proteine</t>
  </si>
  <si>
    <t>media euro</t>
  </si>
  <si>
    <t>100g di popcorn</t>
  </si>
  <si>
    <t>3 scatolette di tonno</t>
  </si>
  <si>
    <t>pro</t>
  </si>
  <si>
    <t>1 wurstel penny</t>
  </si>
  <si>
    <t>4 etti di pasta smart</t>
  </si>
  <si>
    <t>proteine veg myp</t>
  </si>
  <si>
    <t>eur</t>
  </si>
  <si>
    <t>pro/cal</t>
  </si>
  <si>
    <t>pro/eur</t>
  </si>
  <si>
    <t>proteine in polvere</t>
  </si>
  <si>
    <t>dim pacco</t>
  </si>
  <si>
    <t>costo</t>
  </si>
  <si>
    <t>vegan blend</t>
  </si>
  <si>
    <t>100g prot veg myp</t>
  </si>
  <si>
    <t>100g prot veg myp abb</t>
  </si>
  <si>
    <t>test</t>
  </si>
  <si>
    <t>3 wurstel penny</t>
  </si>
  <si>
    <t>140g prot veg myp abb</t>
  </si>
  <si>
    <t>7 wurstel penny</t>
  </si>
  <si>
    <t>80g prot veg myp abb</t>
  </si>
  <si>
    <t>100g pane</t>
  </si>
  <si>
    <t>6 wurstel penny</t>
  </si>
  <si>
    <t>banana (check peso)</t>
  </si>
  <si>
    <t>100g di gnocchi smart</t>
  </si>
  <si>
    <t>200g gnocchi smart</t>
  </si>
  <si>
    <t>cena test</t>
  </si>
  <si>
    <t xml:space="preserve">pro </t>
  </si>
  <si>
    <t>100g pasta smart</t>
  </si>
  <si>
    <t>100g yogurt bianco s</t>
  </si>
  <si>
    <t>wurstel</t>
  </si>
  <si>
    <t>merluzzo smart</t>
  </si>
  <si>
    <t>100ml latte esse</t>
  </si>
  <si>
    <t>70g prot veg myp abb</t>
  </si>
  <si>
    <t>500ml latte esse</t>
  </si>
  <si>
    <t>1 scatoletta di tonno</t>
  </si>
  <si>
    <t>100g uova smart</t>
  </si>
  <si>
    <t>2 wurstel penny</t>
  </si>
  <si>
    <t>105g prot veg myp abb</t>
  </si>
  <si>
    <t>3 scoops</t>
  </si>
  <si>
    <t>750ml latte esse</t>
  </si>
  <si>
    <t>4scoops</t>
  </si>
  <si>
    <t>1L latte esse</t>
  </si>
  <si>
    <t>vegan blend abb</t>
  </si>
  <si>
    <t>confronto proteine</t>
  </si>
  <si>
    <t>veg fragola</t>
  </si>
  <si>
    <t>veg no gusto</t>
  </si>
  <si>
    <t>whey mirtillo lampone</t>
  </si>
  <si>
    <t>whey no gusto</t>
  </si>
  <si>
    <t>100g</t>
  </si>
  <si>
    <t>2 scoops</t>
  </si>
  <si>
    <t>70g prot whey no g</t>
  </si>
  <si>
    <t>250g yogurt bianco s</t>
  </si>
  <si>
    <t>cena</t>
  </si>
  <si>
    <t>tot</t>
  </si>
  <si>
    <t>50g pane</t>
  </si>
  <si>
    <t>temporaneo</t>
  </si>
  <si>
    <t>2 scat tonno</t>
  </si>
  <si>
    <t>500g yogurt bianco s</t>
  </si>
  <si>
    <t>4,5 wurstel penny</t>
  </si>
  <si>
    <t>4 wurstel smart maxi</t>
  </si>
  <si>
    <t>1 wurstel smart maxi</t>
  </si>
  <si>
    <t>2 wurstel smart maxi</t>
  </si>
  <si>
    <t>cena 1</t>
  </si>
  <si>
    <t>cena 2</t>
  </si>
  <si>
    <t>35g prot whey no g</t>
  </si>
  <si>
    <t>250ml latte esse</t>
  </si>
  <si>
    <t>test 1</t>
  </si>
  <si>
    <t>test 2</t>
  </si>
  <si>
    <t>cena 3</t>
  </si>
  <si>
    <t>2 uova smart</t>
  </si>
  <si>
    <t>cena 4</t>
  </si>
  <si>
    <t>no yogurt</t>
  </si>
  <si>
    <t>100g sottilette sm (5 fette)</t>
  </si>
  <si>
    <t>5 sottilette smart</t>
  </si>
  <si>
    <t>100g petto di pollo smart</t>
  </si>
  <si>
    <t>random</t>
  </si>
  <si>
    <t>1/3L latte esse</t>
  </si>
  <si>
    <t>300g petto di pollo</t>
  </si>
  <si>
    <t>200g riso</t>
  </si>
  <si>
    <t>100g sott sm (5 fette)</t>
  </si>
  <si>
    <t>200g riso basm smart</t>
  </si>
  <si>
    <t>400g petto di pollo sm</t>
  </si>
  <si>
    <t>100g fuso di tacchino</t>
  </si>
  <si>
    <t>test 3</t>
  </si>
  <si>
    <t>200g petto di pollo</t>
  </si>
  <si>
    <t>100g riso basm smart</t>
  </si>
  <si>
    <t>1 uovo smart</t>
  </si>
  <si>
    <t>3 wurstel smart maxi</t>
  </si>
  <si>
    <t>panna smart</t>
  </si>
  <si>
    <t>ricotta smart</t>
  </si>
  <si>
    <t>cubetti cotto smart</t>
  </si>
  <si>
    <t>arrosto di tacchino smart</t>
  </si>
  <si>
    <t>test cut no whey</t>
  </si>
  <si>
    <t>1 tazza latte esse</t>
  </si>
  <si>
    <t>gorgonzola smart</t>
  </si>
  <si>
    <t>100g gorgonzola smart</t>
  </si>
  <si>
    <t>test cut no whey (cena fast)</t>
  </si>
  <si>
    <t>1 scat tonno</t>
  </si>
  <si>
    <t>1 yogurt 0% esse</t>
  </si>
  <si>
    <t>2 yogurt 0% esse</t>
  </si>
  <si>
    <t>140g sott sm (7 fette)</t>
  </si>
  <si>
    <t>scamorza</t>
  </si>
  <si>
    <t>emmental</t>
  </si>
  <si>
    <t>125g scamorza</t>
  </si>
  <si>
    <t>62,5g scamorza</t>
  </si>
  <si>
    <t>lonza esse sconto 30%</t>
  </si>
  <si>
    <t xml:space="preserve">1/3L latte esse </t>
  </si>
  <si>
    <t>1 yogurt magro smart</t>
  </si>
  <si>
    <t>riso smart chicco lungo 5kg</t>
  </si>
  <si>
    <t>pasta nice (in sconto)</t>
  </si>
  <si>
    <t>200g emmental</t>
  </si>
  <si>
    <t>200g petto di pollo s</t>
  </si>
  <si>
    <t>maionese?</t>
  </si>
  <si>
    <t>pomodori secchi?</t>
  </si>
  <si>
    <t>aglio?</t>
  </si>
  <si>
    <t>cipolla?</t>
  </si>
  <si>
    <t>maio light</t>
  </si>
  <si>
    <t>mayo</t>
  </si>
  <si>
    <t>mayo light 20g</t>
  </si>
  <si>
    <t>250g pasta integrale</t>
  </si>
  <si>
    <t>target cal</t>
  </si>
  <si>
    <t>target pro</t>
  </si>
  <si>
    <t>target fat</t>
  </si>
  <si>
    <t>160g</t>
  </si>
  <si>
    <t>92g</t>
  </si>
  <si>
    <t>target fiber</t>
  </si>
  <si>
    <t>40g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</si>
</sst>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10]_-;\-* #,##0.00\ [$€-410]_-;_-* &quot;-&quot;??\ [$€-410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9" fontId="0" fillId="0" borderId="0" xfId="2" applyFont="1"/>
    <xf numFmtId="164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2" fontId="0" fillId="0" borderId="3" xfId="0" applyNumberFormat="1" applyBorder="1"/>
    <xf numFmtId="10" fontId="0" fillId="0" borderId="1" xfId="2" applyNumberFormat="1" applyFont="1" applyBorder="1"/>
    <xf numFmtId="0" fontId="0" fillId="2" borderId="1" xfId="0" applyFill="1" applyBorder="1"/>
    <xf numFmtId="1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44" fontId="0" fillId="0" borderId="1" xfId="1" applyFont="1" applyBorder="1"/>
    <xf numFmtId="44" fontId="0" fillId="0" borderId="1" xfId="0" applyNumberFormat="1" applyBorder="1"/>
    <xf numFmtId="2" fontId="0" fillId="0" borderId="1" xfId="0" applyNumberFormat="1" applyBorder="1"/>
    <xf numFmtId="44" fontId="0" fillId="0" borderId="1" xfId="1" applyFont="1" applyFill="1" applyBorder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44" fontId="0" fillId="0" borderId="0" xfId="0" applyNumberFormat="1"/>
    <xf numFmtId="44" fontId="0" fillId="0" borderId="0" xfId="1" applyFont="1"/>
    <xf numFmtId="9" fontId="0" fillId="0" borderId="8" xfId="2" applyFont="1" applyBorder="1"/>
    <xf numFmtId="2" fontId="0" fillId="0" borderId="2" xfId="0" applyNumberFormat="1" applyBorder="1"/>
    <xf numFmtId="0" fontId="0" fillId="2" borderId="8" xfId="0" applyFill="1" applyBorder="1"/>
    <xf numFmtId="2" fontId="0" fillId="0" borderId="8" xfId="0" applyNumberFormat="1" applyBorder="1"/>
    <xf numFmtId="2" fontId="0" fillId="0" borderId="1" xfId="1" applyNumberFormat="1" applyFont="1" applyBorder="1"/>
    <xf numFmtId="0" fontId="0" fillId="0" borderId="9" xfId="0" applyBorder="1"/>
    <xf numFmtId="2" fontId="0" fillId="0" borderId="0" xfId="0" applyNumberFormat="1"/>
    <xf numFmtId="44" fontId="0" fillId="0" borderId="0" xfId="1" applyFont="1" applyFill="1" applyBorder="1"/>
    <xf numFmtId="44" fontId="0" fillId="3" borderId="1" xfId="1" applyFont="1" applyFill="1" applyBorder="1"/>
    <xf numFmtId="0" fontId="0" fillId="5" borderId="1" xfId="0" applyFill="1" applyBorder="1"/>
    <xf numFmtId="0" fontId="0" fillId="6" borderId="1" xfId="0" applyFill="1" applyBorder="1"/>
    <xf numFmtId="164" fontId="0" fillId="0" borderId="1" xfId="1" applyNumberFormat="1" applyFont="1" applyFill="1" applyBorder="1"/>
    <xf numFmtId="0" fontId="0" fillId="2" borderId="9" xfId="0" applyFill="1" applyBorder="1"/>
    <xf numFmtId="0" fontId="0" fillId="0" borderId="1" xfId="0" applyBorder="1" applyAlignment="1">
      <alignment horizontal="center"/>
    </xf>
  </cellXfs>
  <cellStyles count="3">
    <cellStyle name="Currency" xfId="1" builtinId="4"/>
    <cellStyle name="Normal" xfId="0" builtinId="0"/>
    <cellStyle name="Per cent" xfId="2" builtinId="5"/>
  </cellStyles>
  <dxfs count="10"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F67106-4EFF-43B6-B540-766A1D8E564D}" name="Tabella1" displayName="Tabella1" ref="A1:F26" totalsRowShown="0" headerRowDxfId="9" headerRowBorderDxfId="8" tableBorderDxfId="7" totalsRowBorderDxfId="6">
  <autoFilter ref="A1:F26" xr:uid="{84F67106-4EFF-43B6-B540-766A1D8E564D}"/>
  <sortState xmlns:xlrd2="http://schemas.microsoft.com/office/spreadsheetml/2017/richdata2" ref="A2:F25">
    <sortCondition descending="1" ref="D1:D25"/>
  </sortState>
  <tableColumns count="6">
    <tableColumn id="1" xr3:uid="{30081959-5619-4B55-B7D9-1175EC07AC45}" name="/100g" dataDxfId="5"/>
    <tableColumn id="2" xr3:uid="{14FCB0BC-8DE4-4AA7-8660-575F63F8B8A6}" name="proteine" dataDxfId="4"/>
    <tableColumn id="3" xr3:uid="{C0B50CE8-FDFE-49A8-8945-F7C5D2CD5713}" name="calorie" dataDxfId="3"/>
    <tableColumn id="4" xr3:uid="{419A7849-565C-4737-B49A-97B34AC7F736}" name="rapporto proteine/calorie" dataDxfId="2">
      <calculatedColumnFormula>B2/C2</calculatedColumnFormula>
    </tableColumn>
    <tableColumn id="5" xr3:uid="{FA12BE60-94F7-4342-93BD-B6B457295831}" name="prezzo/kg" dataDxfId="1"/>
    <tableColumn id="6" xr3:uid="{616FE227-9C0F-4D3A-A972-663A04B87FDE}" name="rapporto proteine/€" dataDxfId="0">
      <calculatedColumnFormula>B2/E2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0696-3519-4FAA-80C4-80DCCEE4AE17}">
  <dimension ref="A1:P40"/>
  <sheetViews>
    <sheetView topLeftCell="F6" workbookViewId="0">
      <selection activeCell="B12" sqref="B12"/>
    </sheetView>
  </sheetViews>
  <sheetFormatPr defaultRowHeight="14.4" x14ac:dyDescent="0.3"/>
  <cols>
    <col min="1" max="1" width="26.33203125" customWidth="1"/>
    <col min="2" max="2" width="12.33203125" customWidth="1"/>
    <col min="3" max="3" width="10.5546875" customWidth="1"/>
    <col min="4" max="4" width="26.6640625" customWidth="1"/>
    <col min="5" max="5" width="12.88671875" customWidth="1"/>
    <col min="6" max="6" width="22" customWidth="1"/>
    <col min="8" max="8" width="33.33203125" customWidth="1"/>
    <col min="13" max="13" width="31" customWidth="1"/>
  </cols>
  <sheetData>
    <row r="1" spans="1:16" x14ac:dyDescent="0.3">
      <c r="A1" s="7" t="s">
        <v>2</v>
      </c>
      <c r="B1" s="8" t="s">
        <v>0</v>
      </c>
      <c r="C1" s="8" t="s">
        <v>1</v>
      </c>
      <c r="D1" s="8" t="s">
        <v>13</v>
      </c>
      <c r="E1" s="8" t="s">
        <v>14</v>
      </c>
      <c r="F1" s="9" t="s">
        <v>11</v>
      </c>
    </row>
    <row r="2" spans="1:16" x14ac:dyDescent="0.3">
      <c r="A2" s="6" t="s">
        <v>7</v>
      </c>
      <c r="B2" s="3">
        <v>33</v>
      </c>
      <c r="C2" s="3">
        <v>150</v>
      </c>
      <c r="D2" s="14">
        <f t="shared" ref="D2:D26" si="0">B2/C2</f>
        <v>0.22</v>
      </c>
      <c r="E2" s="5">
        <v>36.200000000000003</v>
      </c>
      <c r="F2" s="13">
        <f t="shared" ref="F2:F26" si="1">B2/E2</f>
        <v>0.91160220994475127</v>
      </c>
      <c r="I2" s="17" t="s">
        <v>1</v>
      </c>
      <c r="J2" s="17" t="s">
        <v>0</v>
      </c>
      <c r="K2" s="17" t="s">
        <v>40</v>
      </c>
      <c r="N2" s="17" t="s">
        <v>1</v>
      </c>
      <c r="O2" s="17" t="s">
        <v>0</v>
      </c>
      <c r="P2" s="17" t="s">
        <v>40</v>
      </c>
    </row>
    <row r="3" spans="1:16" x14ac:dyDescent="0.3">
      <c r="A3" s="6" t="s">
        <v>3</v>
      </c>
      <c r="B3" s="3">
        <v>22</v>
      </c>
      <c r="C3" s="3">
        <v>117</v>
      </c>
      <c r="D3" s="14">
        <f t="shared" si="0"/>
        <v>0.18803418803418803</v>
      </c>
      <c r="E3" s="4">
        <v>9.74</v>
      </c>
      <c r="F3" s="13">
        <f t="shared" si="1"/>
        <v>2.2587268993839835</v>
      </c>
      <c r="H3" s="15" t="s">
        <v>37</v>
      </c>
      <c r="I3" s="3">
        <v>185</v>
      </c>
      <c r="J3" s="3">
        <v>0</v>
      </c>
      <c r="K3" s="3">
        <v>0.33</v>
      </c>
      <c r="M3" s="15" t="s">
        <v>37</v>
      </c>
      <c r="N3" s="3">
        <v>185</v>
      </c>
      <c r="O3" s="3">
        <v>0</v>
      </c>
      <c r="P3" s="3">
        <v>0.33</v>
      </c>
    </row>
    <row r="4" spans="1:16" x14ac:dyDescent="0.3">
      <c r="A4" s="6" t="s">
        <v>6</v>
      </c>
      <c r="B4" s="3">
        <v>18</v>
      </c>
      <c r="C4" s="3">
        <v>96</v>
      </c>
      <c r="D4" s="14">
        <f t="shared" si="0"/>
        <v>0.1875</v>
      </c>
      <c r="E4" s="4">
        <v>22.9</v>
      </c>
      <c r="F4" s="13">
        <f t="shared" si="1"/>
        <v>0.7860262008733625</v>
      </c>
      <c r="H4" s="15" t="s">
        <v>31</v>
      </c>
      <c r="I4" s="16">
        <f>(131)*2</f>
        <v>262</v>
      </c>
      <c r="J4" s="3">
        <f>25*2</f>
        <v>50</v>
      </c>
      <c r="K4" s="3">
        <f>1.09*2</f>
        <v>2.1800000000000002</v>
      </c>
      <c r="M4" s="15" t="s">
        <v>31</v>
      </c>
      <c r="N4" s="3">
        <v>262</v>
      </c>
      <c r="O4" s="3">
        <v>50</v>
      </c>
      <c r="P4" s="3">
        <v>2.1800000000000002</v>
      </c>
    </row>
    <row r="5" spans="1:16" x14ac:dyDescent="0.3">
      <c r="A5" s="6" t="s">
        <v>12</v>
      </c>
      <c r="B5" s="3">
        <v>20</v>
      </c>
      <c r="C5" s="3">
        <v>123</v>
      </c>
      <c r="D5" s="14">
        <f t="shared" si="0"/>
        <v>0.16260162601626016</v>
      </c>
      <c r="E5" s="5">
        <v>13.47</v>
      </c>
      <c r="F5" s="13">
        <f t="shared" si="1"/>
        <v>1.4847809948032664</v>
      </c>
      <c r="H5" s="15" t="s">
        <v>32</v>
      </c>
      <c r="I5" s="3">
        <f>$C$15*6</f>
        <v>1440</v>
      </c>
      <c r="J5" s="3">
        <f>6*$B$15</f>
        <v>90</v>
      </c>
      <c r="K5" s="5">
        <f>($E$15*0.1)*6</f>
        <v>1.6559999999999997</v>
      </c>
      <c r="M5" s="15" t="s">
        <v>32</v>
      </c>
      <c r="N5" s="3">
        <v>1440</v>
      </c>
      <c r="O5" s="3">
        <v>90</v>
      </c>
      <c r="P5" s="3">
        <v>1.6559999999999999</v>
      </c>
    </row>
    <row r="6" spans="1:16" x14ac:dyDescent="0.3">
      <c r="A6" s="6" t="s">
        <v>24</v>
      </c>
      <c r="B6" s="3">
        <v>39</v>
      </c>
      <c r="C6" s="3">
        <v>255</v>
      </c>
      <c r="D6" s="14">
        <f t="shared" si="0"/>
        <v>0.15294117647058825</v>
      </c>
      <c r="E6" s="5">
        <v>131.6</v>
      </c>
      <c r="F6" s="13">
        <f t="shared" si="1"/>
        <v>0.29635258358662614</v>
      </c>
      <c r="H6" s="15" t="s">
        <v>30</v>
      </c>
      <c r="I6" s="3">
        <f>$C$23*1</f>
        <v>350</v>
      </c>
      <c r="J6" s="3">
        <f>$B$23*1</f>
        <v>11.5</v>
      </c>
      <c r="K6" s="3">
        <f>$E$23*0.1</f>
        <v>0.129</v>
      </c>
      <c r="M6" s="15" t="s">
        <v>33</v>
      </c>
      <c r="N6" s="3">
        <v>386</v>
      </c>
      <c r="O6" s="3">
        <v>13.8</v>
      </c>
      <c r="P6" s="3">
        <v>0.42</v>
      </c>
    </row>
    <row r="7" spans="1:16" x14ac:dyDescent="0.3">
      <c r="A7" s="6" t="s">
        <v>22</v>
      </c>
      <c r="B7" s="3">
        <v>21</v>
      </c>
      <c r="C7" s="3">
        <v>171</v>
      </c>
      <c r="D7" s="14">
        <f t="shared" si="0"/>
        <v>0.12280701754385964</v>
      </c>
      <c r="E7" s="5">
        <v>26.45</v>
      </c>
      <c r="F7" s="13">
        <f t="shared" si="1"/>
        <v>0.79395085066162574</v>
      </c>
      <c r="H7" s="3"/>
      <c r="I7" s="3">
        <f>SUM(I3:I6)</f>
        <v>2237</v>
      </c>
      <c r="J7" s="3">
        <f>SUM(J3:J6)</f>
        <v>151.5</v>
      </c>
      <c r="K7" s="3">
        <f>SUM(K3:K6)</f>
        <v>4.2949999999999999</v>
      </c>
      <c r="M7" s="3"/>
      <c r="N7" s="3">
        <f>SUM(N3:N6)</f>
        <v>2273</v>
      </c>
      <c r="O7" s="3">
        <f>SUM(O3:O6)</f>
        <v>153.80000000000001</v>
      </c>
      <c r="P7" s="3">
        <f>SUM(P3:P6)</f>
        <v>4.5860000000000003</v>
      </c>
    </row>
    <row r="8" spans="1:16" x14ac:dyDescent="0.3">
      <c r="A8" s="6" t="s">
        <v>15</v>
      </c>
      <c r="B8" s="3">
        <v>28</v>
      </c>
      <c r="C8" s="3">
        <v>231</v>
      </c>
      <c r="D8" s="14">
        <f t="shared" si="0"/>
        <v>0.12121212121212122</v>
      </c>
      <c r="E8" s="5">
        <v>16.59</v>
      </c>
      <c r="F8" s="13">
        <f t="shared" si="1"/>
        <v>1.6877637130801688</v>
      </c>
    </row>
    <row r="9" spans="1:16" x14ac:dyDescent="0.3">
      <c r="A9" s="6" t="s">
        <v>4</v>
      </c>
      <c r="B9" s="3">
        <v>4.8</v>
      </c>
      <c r="C9" s="3">
        <v>41</v>
      </c>
      <c r="D9" s="14">
        <f t="shared" si="0"/>
        <v>0.11707317073170731</v>
      </c>
      <c r="E9" s="4">
        <v>1.7</v>
      </c>
      <c r="F9" s="13">
        <f t="shared" si="1"/>
        <v>2.8235294117647061</v>
      </c>
    </row>
    <row r="10" spans="1:16" x14ac:dyDescent="0.3">
      <c r="A10" s="6" t="s">
        <v>8</v>
      </c>
      <c r="B10" s="3">
        <v>27</v>
      </c>
      <c r="C10" s="3">
        <v>236</v>
      </c>
      <c r="D10" s="14">
        <f t="shared" si="0"/>
        <v>0.11440677966101695</v>
      </c>
      <c r="E10" s="5">
        <v>18.600000000000001</v>
      </c>
      <c r="F10" s="13">
        <f t="shared" si="1"/>
        <v>1.4516129032258063</v>
      </c>
      <c r="I10" s="17" t="s">
        <v>1</v>
      </c>
      <c r="J10" s="17" t="s">
        <v>0</v>
      </c>
      <c r="K10" s="17" t="s">
        <v>40</v>
      </c>
      <c r="N10" s="17" t="s">
        <v>1</v>
      </c>
      <c r="O10" s="17" t="s">
        <v>0</v>
      </c>
      <c r="P10" s="17" t="s">
        <v>40</v>
      </c>
    </row>
    <row r="11" spans="1:16" x14ac:dyDescent="0.3">
      <c r="A11" s="6" t="s">
        <v>17</v>
      </c>
      <c r="B11" s="3">
        <v>26</v>
      </c>
      <c r="C11" s="3">
        <v>258</v>
      </c>
      <c r="D11" s="14">
        <f t="shared" si="0"/>
        <v>0.10077519379844961</v>
      </c>
      <c r="E11" s="5">
        <v>15.94</v>
      </c>
      <c r="F11" s="13">
        <f t="shared" si="1"/>
        <v>1.6311166875784191</v>
      </c>
      <c r="H11" s="15" t="s">
        <v>37</v>
      </c>
      <c r="I11" s="3">
        <v>185</v>
      </c>
      <c r="J11" s="3">
        <f>0.4*3</f>
        <v>1.2000000000000002</v>
      </c>
      <c r="K11" s="3">
        <v>0.33</v>
      </c>
      <c r="M11" s="15" t="s">
        <v>37</v>
      </c>
      <c r="N11" s="3">
        <v>185</v>
      </c>
      <c r="O11" s="3">
        <v>0</v>
      </c>
      <c r="P11" s="3">
        <v>0.33</v>
      </c>
    </row>
    <row r="12" spans="1:16" x14ac:dyDescent="0.3">
      <c r="A12" s="6" t="s">
        <v>23</v>
      </c>
      <c r="B12" s="3">
        <v>12.4</v>
      </c>
      <c r="C12" s="3">
        <v>136</v>
      </c>
      <c r="D12" s="14">
        <f t="shared" si="0"/>
        <v>9.1176470588235303E-2</v>
      </c>
      <c r="E12" s="5">
        <v>4.9800000000000004</v>
      </c>
      <c r="F12" s="13">
        <f t="shared" si="1"/>
        <v>2.4899598393574296</v>
      </c>
      <c r="H12" s="15" t="s">
        <v>35</v>
      </c>
      <c r="I12" s="16">
        <f>(131)*3</f>
        <v>393</v>
      </c>
      <c r="J12" s="3">
        <f>25*3</f>
        <v>75</v>
      </c>
      <c r="K12" s="3">
        <f>1.09*3</f>
        <v>3.2700000000000005</v>
      </c>
      <c r="M12" s="15" t="s">
        <v>39</v>
      </c>
      <c r="N12" s="16">
        <f>(131)*1</f>
        <v>131</v>
      </c>
      <c r="O12" s="3">
        <f>25*1</f>
        <v>25</v>
      </c>
      <c r="P12" s="3">
        <f>1.09*1</f>
        <v>1.0900000000000001</v>
      </c>
    </row>
    <row r="13" spans="1:16" x14ac:dyDescent="0.3">
      <c r="A13" s="6" t="s">
        <v>21</v>
      </c>
      <c r="B13" s="3">
        <v>28.4</v>
      </c>
      <c r="C13" s="3">
        <v>358</v>
      </c>
      <c r="D13" s="14">
        <f t="shared" si="0"/>
        <v>7.9329608938547486E-2</v>
      </c>
      <c r="E13" s="5">
        <v>7.48</v>
      </c>
      <c r="F13" s="13">
        <f t="shared" si="1"/>
        <v>3.796791443850267</v>
      </c>
      <c r="H13" s="15" t="s">
        <v>34</v>
      </c>
      <c r="I13" s="3">
        <f>$C$15*5</f>
        <v>1200</v>
      </c>
      <c r="J13" s="3">
        <f>5*$B$15</f>
        <v>75</v>
      </c>
      <c r="K13" s="3">
        <f>($E$15*0.1)*5</f>
        <v>1.38</v>
      </c>
      <c r="M13" s="15" t="s">
        <v>32</v>
      </c>
      <c r="N13" s="3">
        <f>$C$15*6</f>
        <v>1440</v>
      </c>
      <c r="O13" s="3">
        <f>6*$B$15</f>
        <v>90</v>
      </c>
      <c r="P13" s="3">
        <f>($E$15*0.1)*6</f>
        <v>1.6559999999999997</v>
      </c>
    </row>
    <row r="14" spans="1:16" x14ac:dyDescent="0.3">
      <c r="A14" s="6" t="s">
        <v>20</v>
      </c>
      <c r="B14" s="3">
        <v>28</v>
      </c>
      <c r="C14" s="3">
        <v>382</v>
      </c>
      <c r="D14" s="14">
        <f t="shared" si="0"/>
        <v>7.3298429319371722E-2</v>
      </c>
      <c r="E14" s="5">
        <v>7.48</v>
      </c>
      <c r="F14" s="13">
        <f t="shared" si="1"/>
        <v>3.7433155080213902</v>
      </c>
      <c r="H14" s="3"/>
      <c r="I14" s="3"/>
      <c r="J14" s="3"/>
      <c r="K14" s="3"/>
      <c r="M14" s="15" t="s">
        <v>38</v>
      </c>
      <c r="N14" s="3">
        <f>123*1.5</f>
        <v>184.5</v>
      </c>
      <c r="O14" s="3">
        <f>20*1.5</f>
        <v>30</v>
      </c>
      <c r="P14" s="3">
        <f>1.347*1.5</f>
        <v>2.0205000000000002</v>
      </c>
    </row>
    <row r="15" spans="1:16" x14ac:dyDescent="0.3">
      <c r="A15" s="6" t="s">
        <v>5</v>
      </c>
      <c r="B15" s="3">
        <v>15</v>
      </c>
      <c r="C15" s="3">
        <v>240</v>
      </c>
      <c r="D15" s="14">
        <f t="shared" si="0"/>
        <v>6.25E-2</v>
      </c>
      <c r="E15" s="4">
        <v>2.76</v>
      </c>
      <c r="F15" s="13">
        <f t="shared" si="1"/>
        <v>5.4347826086956523</v>
      </c>
      <c r="H15" s="3"/>
      <c r="I15" s="3">
        <f>SUM(I11:I14)</f>
        <v>1778</v>
      </c>
      <c r="J15" s="3">
        <f>SUM(J11:J14)</f>
        <v>151.19999999999999</v>
      </c>
      <c r="K15" s="3">
        <f>SUM(K11:K14)</f>
        <v>4.9800000000000004</v>
      </c>
      <c r="M15" s="15" t="s">
        <v>33</v>
      </c>
      <c r="N15" s="3">
        <v>386</v>
      </c>
      <c r="O15" s="3">
        <v>13.8</v>
      </c>
      <c r="P15" s="3">
        <v>0.42</v>
      </c>
    </row>
    <row r="16" spans="1:16" x14ac:dyDescent="0.3">
      <c r="A16" s="6" t="s">
        <v>9</v>
      </c>
      <c r="B16" s="3">
        <v>20</v>
      </c>
      <c r="C16" s="3">
        <v>370</v>
      </c>
      <c r="D16" s="14">
        <f t="shared" si="0"/>
        <v>5.4054054054054057E-2</v>
      </c>
      <c r="E16" s="5">
        <v>9.67</v>
      </c>
      <c r="F16" s="13">
        <f t="shared" si="1"/>
        <v>2.0682523267838677</v>
      </c>
      <c r="M16" s="3"/>
      <c r="N16" s="16">
        <f>SUM(N11:N15)</f>
        <v>2326.5</v>
      </c>
      <c r="O16" s="3">
        <f>SUM(O11:O15)</f>
        <v>158.80000000000001</v>
      </c>
      <c r="P16" s="3">
        <f>SUM(P11:P15)</f>
        <v>5.5164999999999997</v>
      </c>
    </row>
    <row r="17" spans="1:16" x14ac:dyDescent="0.3">
      <c r="A17" s="6" t="s">
        <v>10</v>
      </c>
      <c r="B17" s="3">
        <v>15</v>
      </c>
      <c r="C17" s="3">
        <v>314</v>
      </c>
      <c r="D17" s="14">
        <f t="shared" si="0"/>
        <v>4.7770700636942678E-2</v>
      </c>
      <c r="E17" s="5">
        <v>3.99</v>
      </c>
      <c r="F17" s="13">
        <f t="shared" si="1"/>
        <v>3.7593984962406015</v>
      </c>
    </row>
    <row r="18" spans="1:16" x14ac:dyDescent="0.3">
      <c r="A18" s="6" t="s">
        <v>26</v>
      </c>
      <c r="B18" s="3">
        <v>13</v>
      </c>
      <c r="C18" s="3">
        <v>277</v>
      </c>
      <c r="D18" s="14">
        <f t="shared" si="0"/>
        <v>4.6931407942238268E-2</v>
      </c>
      <c r="E18" s="5">
        <v>6.86</v>
      </c>
      <c r="F18" s="13">
        <f t="shared" si="1"/>
        <v>1.8950437317784257</v>
      </c>
    </row>
    <row r="19" spans="1:16" x14ac:dyDescent="0.3">
      <c r="A19" s="6" t="s">
        <v>28</v>
      </c>
      <c r="B19" s="3">
        <v>12</v>
      </c>
      <c r="C19" s="3">
        <v>267</v>
      </c>
      <c r="D19" s="14">
        <f t="shared" si="0"/>
        <v>4.49438202247191E-2</v>
      </c>
      <c r="E19" s="5">
        <v>8.3000000000000007</v>
      </c>
      <c r="F19" s="13">
        <f t="shared" si="1"/>
        <v>1.4457831325301203</v>
      </c>
      <c r="I19" s="17" t="s">
        <v>1</v>
      </c>
      <c r="J19" s="17" t="s">
        <v>0</v>
      </c>
      <c r="K19" s="17" t="s">
        <v>40</v>
      </c>
      <c r="N19" s="17" t="s">
        <v>1</v>
      </c>
      <c r="O19" s="17" t="s">
        <v>0</v>
      </c>
      <c r="P19" s="17" t="s">
        <v>40</v>
      </c>
    </row>
    <row r="20" spans="1:16" x14ac:dyDescent="0.3">
      <c r="A20" s="6" t="s">
        <v>18</v>
      </c>
      <c r="B20" s="3">
        <v>13.5</v>
      </c>
      <c r="C20" s="3">
        <v>338</v>
      </c>
      <c r="D20" s="14">
        <f t="shared" si="0"/>
        <v>3.9940828402366867E-2</v>
      </c>
      <c r="E20" s="5">
        <v>2.1800000000000002</v>
      </c>
      <c r="F20" s="13">
        <f t="shared" si="1"/>
        <v>6.1926605504587151</v>
      </c>
      <c r="H20" s="15" t="s">
        <v>37</v>
      </c>
      <c r="I20" s="3">
        <v>185</v>
      </c>
      <c r="J20" s="3">
        <f>0.4*3</f>
        <v>1.2000000000000002</v>
      </c>
      <c r="K20" s="3">
        <v>0.33</v>
      </c>
      <c r="M20" s="15" t="s">
        <v>37</v>
      </c>
      <c r="N20" s="3">
        <v>185</v>
      </c>
      <c r="O20" s="3">
        <f>0.4*3</f>
        <v>1.2000000000000002</v>
      </c>
      <c r="P20" s="3">
        <v>0.33</v>
      </c>
    </row>
    <row r="21" spans="1:16" x14ac:dyDescent="0.3">
      <c r="A21" s="6" t="s">
        <v>27</v>
      </c>
      <c r="B21" s="3">
        <v>11</v>
      </c>
      <c r="C21" s="3">
        <v>282</v>
      </c>
      <c r="D21" s="14">
        <f t="shared" si="0"/>
        <v>3.9007092198581561E-2</v>
      </c>
      <c r="E21" s="5">
        <v>5.99</v>
      </c>
      <c r="F21" s="13">
        <f t="shared" si="1"/>
        <v>1.8363939899833055</v>
      </c>
      <c r="H21" s="15" t="s">
        <v>31</v>
      </c>
      <c r="I21" s="16">
        <f>(131)*2</f>
        <v>262</v>
      </c>
      <c r="J21" s="3">
        <f>25*2</f>
        <v>50</v>
      </c>
      <c r="K21" s="3">
        <f>1.09*2</f>
        <v>2.1800000000000002</v>
      </c>
      <c r="M21" s="15" t="s">
        <v>31</v>
      </c>
      <c r="N21" s="16">
        <f>(131)*2</f>
        <v>262</v>
      </c>
      <c r="O21" s="3">
        <f>25*2</f>
        <v>50</v>
      </c>
      <c r="P21" s="3">
        <f>1.09*2</f>
        <v>2.1800000000000002</v>
      </c>
    </row>
    <row r="22" spans="1:16" x14ac:dyDescent="0.3">
      <c r="A22" s="6" t="s">
        <v>25</v>
      </c>
      <c r="B22" s="3">
        <v>9.1999999999999993</v>
      </c>
      <c r="C22" s="3">
        <v>257</v>
      </c>
      <c r="D22" s="14">
        <f t="shared" si="0"/>
        <v>3.5797665369649803E-2</v>
      </c>
      <c r="E22" s="5">
        <v>2.83</v>
      </c>
      <c r="F22" s="13">
        <f t="shared" si="1"/>
        <v>3.250883392226148</v>
      </c>
      <c r="H22" s="15" t="s">
        <v>36</v>
      </c>
      <c r="I22" s="3">
        <f>$C$15*7</f>
        <v>1680</v>
      </c>
      <c r="J22" s="3">
        <f>7*$B$15</f>
        <v>105</v>
      </c>
      <c r="K22" s="5">
        <f>($E$15*0.1)*7</f>
        <v>1.9319999999999997</v>
      </c>
      <c r="M22" s="15" t="s">
        <v>32</v>
      </c>
      <c r="N22" s="3">
        <f>$C$15*6</f>
        <v>1440</v>
      </c>
      <c r="O22" s="3">
        <f>6*$B$15</f>
        <v>90</v>
      </c>
      <c r="P22" s="3">
        <f>($E$15*0.1)*6</f>
        <v>1.6559999999999997</v>
      </c>
    </row>
    <row r="23" spans="1:16" x14ac:dyDescent="0.3">
      <c r="A23" s="6" t="s">
        <v>19</v>
      </c>
      <c r="B23" s="3">
        <v>11.5</v>
      </c>
      <c r="C23" s="3">
        <v>350</v>
      </c>
      <c r="D23" s="14">
        <f t="shared" si="0"/>
        <v>3.2857142857142856E-2</v>
      </c>
      <c r="E23" s="5">
        <v>1.29</v>
      </c>
      <c r="F23" s="13">
        <f t="shared" si="1"/>
        <v>8.9147286821705425</v>
      </c>
      <c r="H23" s="18"/>
      <c r="I23" s="3"/>
      <c r="J23" s="3"/>
      <c r="K23" s="3"/>
      <c r="M23" s="15" t="s">
        <v>41</v>
      </c>
      <c r="N23" s="3">
        <f>257*1</f>
        <v>257</v>
      </c>
      <c r="O23" s="3">
        <f>9.2*1</f>
        <v>9.1999999999999993</v>
      </c>
      <c r="P23" s="3">
        <f>0.283*1</f>
        <v>0.28299999999999997</v>
      </c>
    </row>
    <row r="24" spans="1:16" x14ac:dyDescent="0.3">
      <c r="A24" s="6" t="s">
        <v>16</v>
      </c>
      <c r="B24" s="3">
        <v>3</v>
      </c>
      <c r="C24" s="3">
        <v>110</v>
      </c>
      <c r="D24" s="14">
        <f t="shared" si="0"/>
        <v>2.7272727272727271E-2</v>
      </c>
      <c r="E24" s="5">
        <v>2.1800000000000002</v>
      </c>
      <c r="F24" s="13">
        <f t="shared" si="1"/>
        <v>1.3761467889908257</v>
      </c>
      <c r="H24" s="3"/>
      <c r="I24" s="3">
        <f>SUM(I20:I23)</f>
        <v>2127</v>
      </c>
      <c r="J24" s="3">
        <f>SUM(J20:J23)</f>
        <v>156.19999999999999</v>
      </c>
      <c r="K24" s="3">
        <f>SUM(K20:K23)</f>
        <v>4.4420000000000002</v>
      </c>
      <c r="M24" s="3"/>
      <c r="N24" s="3"/>
      <c r="O24" s="3"/>
      <c r="P24" s="3"/>
    </row>
    <row r="25" spans="1:16" x14ac:dyDescent="0.3">
      <c r="A25" s="10" t="s">
        <v>29</v>
      </c>
      <c r="B25" s="11">
        <v>4.5</v>
      </c>
      <c r="C25" s="11">
        <v>174</v>
      </c>
      <c r="D25" s="14">
        <f t="shared" si="0"/>
        <v>2.5862068965517241E-2</v>
      </c>
      <c r="E25" s="12">
        <v>1</v>
      </c>
      <c r="F25" s="13">
        <f t="shared" si="1"/>
        <v>4.5</v>
      </c>
      <c r="M25" s="3"/>
      <c r="N25" s="3">
        <f>SUM(N20:N24)</f>
        <v>2144</v>
      </c>
      <c r="O25" s="3">
        <f>SUM(O20:O24)</f>
        <v>150.39999999999998</v>
      </c>
      <c r="P25" s="3">
        <f>SUM(P20:P24)</f>
        <v>4.4490000000000007</v>
      </c>
    </row>
    <row r="26" spans="1:16" x14ac:dyDescent="0.3">
      <c r="A26" s="10" t="s">
        <v>86</v>
      </c>
      <c r="B26" s="11">
        <v>81</v>
      </c>
      <c r="C26" s="11">
        <v>340</v>
      </c>
      <c r="D26" s="27">
        <f t="shared" si="0"/>
        <v>0.23823529411764705</v>
      </c>
      <c r="E26" s="12">
        <v>26</v>
      </c>
      <c r="F26" s="13">
        <f t="shared" si="1"/>
        <v>3.1153846153846154</v>
      </c>
    </row>
    <row r="27" spans="1:16" x14ac:dyDescent="0.3">
      <c r="D27" s="1"/>
      <c r="E27" s="2"/>
      <c r="J27" s="15" t="s">
        <v>45</v>
      </c>
      <c r="K27" s="15" t="s">
        <v>40</v>
      </c>
    </row>
    <row r="28" spans="1:16" x14ac:dyDescent="0.3">
      <c r="D28" s="1"/>
      <c r="E28" s="2"/>
      <c r="H28" t="s">
        <v>52</v>
      </c>
      <c r="I28" s="15" t="s">
        <v>43</v>
      </c>
      <c r="J28" s="3">
        <v>1778</v>
      </c>
      <c r="K28" s="3">
        <v>4.9800000000000004</v>
      </c>
      <c r="N28" s="17" t="s">
        <v>1</v>
      </c>
      <c r="O28" s="17" t="s">
        <v>0</v>
      </c>
      <c r="P28" s="17" t="s">
        <v>40</v>
      </c>
    </row>
    <row r="29" spans="1:16" x14ac:dyDescent="0.3">
      <c r="D29" s="1"/>
      <c r="E29" s="2"/>
      <c r="H29" t="s">
        <v>47</v>
      </c>
      <c r="I29" s="15" t="s">
        <v>46</v>
      </c>
      <c r="J29" s="3">
        <v>2144</v>
      </c>
      <c r="K29" s="3">
        <v>4.4489999999999998</v>
      </c>
      <c r="M29" s="15" t="s">
        <v>37</v>
      </c>
      <c r="N29" s="3">
        <v>185</v>
      </c>
      <c r="O29" s="3">
        <f>0.4*3</f>
        <v>1.2000000000000002</v>
      </c>
      <c r="P29" s="3">
        <v>0.33</v>
      </c>
    </row>
    <row r="30" spans="1:16" x14ac:dyDescent="0.3">
      <c r="D30" s="1"/>
      <c r="E30" s="2"/>
      <c r="H30" t="s">
        <v>48</v>
      </c>
      <c r="I30" s="15" t="s">
        <v>44</v>
      </c>
      <c r="J30" s="15">
        <f>AVERAGE(J28:J29)</f>
        <v>1961</v>
      </c>
      <c r="K30" s="15">
        <f>AVERAGE(K28:K29)</f>
        <v>4.7145000000000001</v>
      </c>
      <c r="M30" s="15" t="s">
        <v>31</v>
      </c>
      <c r="N30" s="16">
        <f>(131)*2</f>
        <v>262</v>
      </c>
      <c r="O30" s="3">
        <f>25*2</f>
        <v>50</v>
      </c>
      <c r="P30" s="3">
        <f>1.09*2</f>
        <v>2.1800000000000002</v>
      </c>
    </row>
    <row r="31" spans="1:16" x14ac:dyDescent="0.3">
      <c r="M31" s="15" t="s">
        <v>42</v>
      </c>
      <c r="N31" s="3">
        <f>$C$15*5.22</f>
        <v>1252.8</v>
      </c>
      <c r="O31" s="3">
        <f>5.22*$B$15</f>
        <v>78.3</v>
      </c>
      <c r="P31" s="3">
        <f>($E$15*0.1)*5.22</f>
        <v>1.4407199999999998</v>
      </c>
    </row>
    <row r="32" spans="1:16" x14ac:dyDescent="0.3">
      <c r="M32" s="15" t="s">
        <v>41</v>
      </c>
      <c r="N32" s="3">
        <f>257*1</f>
        <v>257</v>
      </c>
      <c r="O32" s="3">
        <f>9.2*1</f>
        <v>9.1999999999999993</v>
      </c>
      <c r="P32" s="3">
        <f>0.283*1</f>
        <v>0.28299999999999997</v>
      </c>
    </row>
    <row r="33" spans="3:16" x14ac:dyDescent="0.3">
      <c r="C33" s="1"/>
      <c r="D33" s="2"/>
      <c r="H33" t="s">
        <v>49</v>
      </c>
      <c r="M33" s="3"/>
      <c r="N33" s="3"/>
      <c r="O33" s="3"/>
      <c r="P33" s="3"/>
    </row>
    <row r="34" spans="3:16" x14ac:dyDescent="0.3">
      <c r="C34" s="1"/>
      <c r="D34" s="2"/>
      <c r="H34" t="s">
        <v>50</v>
      </c>
      <c r="M34" s="3"/>
      <c r="N34" s="3">
        <f>SUM(N29:N33)</f>
        <v>1956.8</v>
      </c>
      <c r="O34" s="3">
        <f>SUM(O29:O33)</f>
        <v>138.69999999999999</v>
      </c>
      <c r="P34" s="3">
        <f>SUM(P29:P33)</f>
        <v>4.2337199999999999</v>
      </c>
    </row>
    <row r="35" spans="3:16" x14ac:dyDescent="0.3">
      <c r="C35" s="1"/>
      <c r="D35" s="2"/>
      <c r="H35" t="s">
        <v>51</v>
      </c>
    </row>
    <row r="36" spans="3:16" x14ac:dyDescent="0.3">
      <c r="C36" s="1"/>
      <c r="D36" s="2"/>
    </row>
    <row r="37" spans="3:16" x14ac:dyDescent="0.3">
      <c r="E37" s="2"/>
    </row>
    <row r="38" spans="3:16" x14ac:dyDescent="0.3">
      <c r="E38" s="2"/>
    </row>
    <row r="39" spans="3:16" x14ac:dyDescent="0.3">
      <c r="E39" s="2"/>
    </row>
    <row r="40" spans="3:16" x14ac:dyDescent="0.3">
      <c r="E40" s="2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C59B3-5361-4003-B0C2-E8CD91BFF358}">
  <dimension ref="A1:X26"/>
  <sheetViews>
    <sheetView workbookViewId="0">
      <selection activeCell="D36" sqref="D36"/>
    </sheetView>
  </sheetViews>
  <sheetFormatPr defaultRowHeight="14.4" x14ac:dyDescent="0.3"/>
  <cols>
    <col min="1" max="1" width="18.6640625" customWidth="1"/>
    <col min="4" max="4" width="10.44140625" customWidth="1"/>
    <col min="11" max="11" width="18.44140625" customWidth="1"/>
    <col min="21" max="21" width="22.44140625" customWidth="1"/>
    <col min="23" max="23" width="12.44140625" customWidth="1"/>
    <col min="24" max="24" width="9.88671875" customWidth="1"/>
  </cols>
  <sheetData>
    <row r="1" spans="1:24" x14ac:dyDescent="0.3">
      <c r="K1" s="15"/>
      <c r="L1" s="15" t="s">
        <v>1</v>
      </c>
      <c r="M1" s="15" t="s">
        <v>0</v>
      </c>
      <c r="N1" s="15" t="s">
        <v>64</v>
      </c>
      <c r="O1" s="15" t="s">
        <v>40</v>
      </c>
      <c r="U1" s="23"/>
      <c r="V1" s="23"/>
      <c r="W1" s="24"/>
      <c r="X1" s="23"/>
    </row>
    <row r="2" spans="1:24" x14ac:dyDescent="0.3">
      <c r="A2" s="15" t="s">
        <v>53</v>
      </c>
      <c r="B2" s="15" t="s">
        <v>54</v>
      </c>
      <c r="C2" s="15" t="s">
        <v>55</v>
      </c>
      <c r="D2" s="15" t="s">
        <v>56</v>
      </c>
      <c r="E2" s="15" t="s">
        <v>57</v>
      </c>
      <c r="F2" s="15" t="s">
        <v>58</v>
      </c>
      <c r="G2" s="15" t="s">
        <v>59</v>
      </c>
      <c r="H2" s="15" t="s">
        <v>60</v>
      </c>
      <c r="K2" s="15" t="s">
        <v>61</v>
      </c>
      <c r="L2" s="3">
        <f>0.87*240</f>
        <v>208.8</v>
      </c>
      <c r="M2" s="3">
        <f>15*0.87</f>
        <v>13.05</v>
      </c>
      <c r="N2" s="3"/>
      <c r="O2" s="19">
        <v>0.22</v>
      </c>
    </row>
    <row r="3" spans="1:24" x14ac:dyDescent="0.3">
      <c r="A3" s="15" t="s">
        <v>1</v>
      </c>
      <c r="B3" s="3">
        <f>B19</f>
        <v>1940.8000000000002</v>
      </c>
      <c r="C3" s="3">
        <f>G19</f>
        <v>1940.8000000000002</v>
      </c>
      <c r="D3" s="3">
        <f>L19</f>
        <v>1892.6000000000001</v>
      </c>
      <c r="E3" s="3">
        <f>Q19</f>
        <v>1892.6000000000001</v>
      </c>
      <c r="F3" s="3">
        <f>B26</f>
        <v>2101.4</v>
      </c>
      <c r="G3" s="3">
        <f>G26</f>
        <v>1940.8000000000002</v>
      </c>
      <c r="H3" s="3">
        <f>L26</f>
        <v>1892.6000000000001</v>
      </c>
      <c r="K3" s="15" t="s">
        <v>62</v>
      </c>
      <c r="L3" s="3">
        <v>123</v>
      </c>
      <c r="M3" s="3">
        <v>30</v>
      </c>
      <c r="N3" s="3"/>
      <c r="O3" s="19">
        <v>1.0900000000000001</v>
      </c>
      <c r="V3" s="25"/>
      <c r="W3" s="25"/>
      <c r="X3" s="25"/>
    </row>
    <row r="4" spans="1:24" x14ac:dyDescent="0.3">
      <c r="A4" s="15" t="s">
        <v>0</v>
      </c>
      <c r="B4" s="3">
        <f>C19</f>
        <v>147.5</v>
      </c>
      <c r="C4" s="3">
        <f>H19</f>
        <v>147.5</v>
      </c>
      <c r="D4" s="3">
        <f>M19</f>
        <v>151.35000000000002</v>
      </c>
      <c r="E4" s="3">
        <f>R19</f>
        <v>151.35000000000002</v>
      </c>
      <c r="F4" s="3">
        <f>C26</f>
        <v>164.4</v>
      </c>
      <c r="G4" s="3">
        <f>H26</f>
        <v>147.5</v>
      </c>
      <c r="H4" s="3">
        <f>M26</f>
        <v>151.35000000000002</v>
      </c>
      <c r="K4" s="15" t="s">
        <v>63</v>
      </c>
      <c r="L4" s="3">
        <v>185</v>
      </c>
      <c r="M4" s="3"/>
      <c r="N4" s="3"/>
      <c r="O4" s="19">
        <v>0.33</v>
      </c>
    </row>
    <row r="5" spans="1:24" x14ac:dyDescent="0.3">
      <c r="A5" s="15" t="s">
        <v>40</v>
      </c>
      <c r="B5" s="20">
        <f>D19</f>
        <v>4.1100000000000003</v>
      </c>
      <c r="C5" s="20">
        <f>I19</f>
        <v>4.1100000000000003</v>
      </c>
      <c r="D5" s="20">
        <f>N19</f>
        <v>4.0500000000000007</v>
      </c>
      <c r="E5" s="20">
        <f>S19</f>
        <v>4.0500000000000007</v>
      </c>
      <c r="F5" s="20">
        <f>D26</f>
        <v>4.2699999999999996</v>
      </c>
      <c r="G5" s="20">
        <f>I26</f>
        <v>4.1100000000000003</v>
      </c>
      <c r="H5" s="20">
        <f>N26</f>
        <v>4.0500000000000007</v>
      </c>
      <c r="K5" s="15" t="s">
        <v>68</v>
      </c>
      <c r="L5" s="3">
        <v>257</v>
      </c>
      <c r="M5" s="3">
        <v>9.1999999999999993</v>
      </c>
      <c r="N5" s="3">
        <v>7.2</v>
      </c>
      <c r="O5" s="19">
        <v>0.28000000000000003</v>
      </c>
    </row>
    <row r="6" spans="1:24" x14ac:dyDescent="0.3">
      <c r="K6" s="15" t="s">
        <v>81</v>
      </c>
      <c r="L6" s="3">
        <v>371</v>
      </c>
      <c r="M6" s="3"/>
      <c r="N6" s="3"/>
      <c r="O6" s="22">
        <v>0.17</v>
      </c>
    </row>
    <row r="7" spans="1:24" x14ac:dyDescent="0.3">
      <c r="A7" s="15" t="s">
        <v>78</v>
      </c>
      <c r="B7" s="21">
        <f>AVERAGE(B3:H3)</f>
        <v>1943.0857142857144</v>
      </c>
    </row>
    <row r="8" spans="1:24" x14ac:dyDescent="0.3">
      <c r="A8" s="15" t="s">
        <v>79</v>
      </c>
      <c r="B8" s="21">
        <f t="shared" ref="B8:B9" si="0">AVERAGE(B4:H4)</f>
        <v>151.56428571428572</v>
      </c>
    </row>
    <row r="9" spans="1:24" x14ac:dyDescent="0.3">
      <c r="A9" s="15" t="s">
        <v>80</v>
      </c>
      <c r="B9" s="19">
        <f t="shared" si="0"/>
        <v>4.1071428571428568</v>
      </c>
    </row>
    <row r="14" spans="1:24" x14ac:dyDescent="0.3">
      <c r="A14" s="15" t="s">
        <v>69</v>
      </c>
      <c r="B14" s="15" t="s">
        <v>1</v>
      </c>
      <c r="C14" s="15" t="s">
        <v>0</v>
      </c>
      <c r="D14" s="15" t="s">
        <v>40</v>
      </c>
      <c r="F14" s="15" t="s">
        <v>71</v>
      </c>
      <c r="G14" s="15" t="s">
        <v>1</v>
      </c>
      <c r="H14" s="15" t="s">
        <v>0</v>
      </c>
      <c r="I14" s="15" t="s">
        <v>40</v>
      </c>
      <c r="K14" s="15" t="s">
        <v>72</v>
      </c>
      <c r="L14" s="15" t="s">
        <v>1</v>
      </c>
      <c r="M14" s="15" t="s">
        <v>0</v>
      </c>
      <c r="N14" s="15" t="s">
        <v>40</v>
      </c>
      <c r="P14" s="15" t="s">
        <v>73</v>
      </c>
      <c r="Q14" s="15" t="s">
        <v>1</v>
      </c>
      <c r="R14" s="15" t="s">
        <v>0</v>
      </c>
      <c r="S14" s="15" t="s">
        <v>40</v>
      </c>
    </row>
    <row r="15" spans="1:24" x14ac:dyDescent="0.3">
      <c r="A15" s="15" t="s">
        <v>63</v>
      </c>
      <c r="B15" s="3">
        <f>$L$4</f>
        <v>185</v>
      </c>
      <c r="C15" s="3">
        <v>0</v>
      </c>
      <c r="D15" s="20">
        <f>$O$4</f>
        <v>0.33</v>
      </c>
      <c r="F15" s="15" t="s">
        <v>63</v>
      </c>
      <c r="G15" s="3">
        <f>$L$4</f>
        <v>185</v>
      </c>
      <c r="H15" s="3">
        <v>0</v>
      </c>
      <c r="I15" s="20">
        <f>$O$4</f>
        <v>0.33</v>
      </c>
      <c r="K15" s="15" t="s">
        <v>63</v>
      </c>
      <c r="L15" s="3">
        <f>$L$4</f>
        <v>185</v>
      </c>
      <c r="M15" s="3">
        <v>0</v>
      </c>
      <c r="N15" s="20">
        <f>$O$4</f>
        <v>0.33</v>
      </c>
      <c r="P15" s="15" t="s">
        <v>63</v>
      </c>
      <c r="Q15" s="3">
        <f>$L$4</f>
        <v>185</v>
      </c>
      <c r="R15" s="3">
        <v>0</v>
      </c>
      <c r="S15" s="20">
        <f>$O$4</f>
        <v>0.33</v>
      </c>
    </row>
    <row r="16" spans="1:24" x14ac:dyDescent="0.3">
      <c r="A16" s="15" t="s">
        <v>65</v>
      </c>
      <c r="B16" s="3">
        <f>$L$2*6</f>
        <v>1252.8000000000002</v>
      </c>
      <c r="C16" s="3">
        <f>$M$2*6</f>
        <v>78.300000000000011</v>
      </c>
      <c r="D16" s="20">
        <f>$O$2*6</f>
        <v>1.32</v>
      </c>
      <c r="F16" s="15" t="s">
        <v>65</v>
      </c>
      <c r="G16" s="3">
        <f>$L$2*6</f>
        <v>1252.8000000000002</v>
      </c>
      <c r="H16" s="3">
        <f>$M$2*6</f>
        <v>78.300000000000011</v>
      </c>
      <c r="I16" s="20">
        <f>$O$2*6</f>
        <v>1.32</v>
      </c>
      <c r="K16" s="15" t="s">
        <v>76</v>
      </c>
      <c r="L16" s="3">
        <f>$L$2*7</f>
        <v>1461.6000000000001</v>
      </c>
      <c r="M16" s="3">
        <f>$M$2*7</f>
        <v>91.350000000000009</v>
      </c>
      <c r="N16" s="20">
        <f>$O$2*7</f>
        <v>1.54</v>
      </c>
      <c r="P16" s="15" t="s">
        <v>76</v>
      </c>
      <c r="Q16" s="3">
        <f>$L$2*7</f>
        <v>1461.6000000000001</v>
      </c>
      <c r="R16" s="3">
        <f>$M$2*7</f>
        <v>91.350000000000009</v>
      </c>
      <c r="S16" s="20">
        <f>$O$2*7</f>
        <v>1.54</v>
      </c>
    </row>
    <row r="17" spans="1:19" x14ac:dyDescent="0.3">
      <c r="A17" s="15" t="s">
        <v>66</v>
      </c>
      <c r="B17" s="3">
        <f>$L$3*2</f>
        <v>246</v>
      </c>
      <c r="C17" s="3">
        <f>$M$3*2</f>
        <v>60</v>
      </c>
      <c r="D17" s="20">
        <f>$O$3*2</f>
        <v>2.1800000000000002</v>
      </c>
      <c r="F17" s="15" t="s">
        <v>66</v>
      </c>
      <c r="G17" s="3">
        <f>$L$3*2</f>
        <v>246</v>
      </c>
      <c r="H17" s="3">
        <f>$M$3*2</f>
        <v>60</v>
      </c>
      <c r="I17" s="20">
        <f>$O$3*2</f>
        <v>2.1800000000000002</v>
      </c>
      <c r="K17" s="15" t="s">
        <v>66</v>
      </c>
      <c r="L17" s="3">
        <f>$L$3*2</f>
        <v>246</v>
      </c>
      <c r="M17" s="3">
        <f>$M$3*2</f>
        <v>60</v>
      </c>
      <c r="N17" s="20">
        <f>$O$3*2</f>
        <v>2.1800000000000002</v>
      </c>
      <c r="P17" s="15" t="s">
        <v>66</v>
      </c>
      <c r="Q17" s="3">
        <f>$L$3*2</f>
        <v>246</v>
      </c>
      <c r="R17" s="3">
        <f>$M$3*2</f>
        <v>60</v>
      </c>
      <c r="S17" s="20">
        <f>$O$3*2</f>
        <v>2.1800000000000002</v>
      </c>
    </row>
    <row r="18" spans="1:19" x14ac:dyDescent="0.3">
      <c r="A18" s="15" t="s">
        <v>67</v>
      </c>
      <c r="B18" s="3">
        <f>$L$5</f>
        <v>257</v>
      </c>
      <c r="C18" s="3">
        <f>$M$5</f>
        <v>9.1999999999999993</v>
      </c>
      <c r="D18" s="20">
        <f>$O$5</f>
        <v>0.28000000000000003</v>
      </c>
      <c r="F18" s="15" t="s">
        <v>67</v>
      </c>
      <c r="G18" s="3">
        <f>$L$5</f>
        <v>257</v>
      </c>
      <c r="H18" s="3">
        <f>$M$5</f>
        <v>9.1999999999999993</v>
      </c>
      <c r="I18" s="20">
        <f>$O$5</f>
        <v>0.28000000000000003</v>
      </c>
      <c r="K18" s="15"/>
      <c r="L18" s="3">
        <v>0</v>
      </c>
      <c r="M18" s="3">
        <v>0</v>
      </c>
      <c r="N18" s="20">
        <v>0</v>
      </c>
      <c r="P18" s="15"/>
      <c r="Q18" s="3">
        <v>0</v>
      </c>
      <c r="R18" s="3">
        <v>0</v>
      </c>
      <c r="S18" s="20">
        <v>0</v>
      </c>
    </row>
    <row r="19" spans="1:19" x14ac:dyDescent="0.3">
      <c r="A19" s="15" t="s">
        <v>70</v>
      </c>
      <c r="B19" s="3">
        <f>SUM(B15:B18)</f>
        <v>1940.8000000000002</v>
      </c>
      <c r="C19" s="3">
        <f>SUM(C15:C18)</f>
        <v>147.5</v>
      </c>
      <c r="D19" s="20">
        <f>SUM(D15:D18)</f>
        <v>4.1100000000000003</v>
      </c>
      <c r="F19" s="15" t="s">
        <v>70</v>
      </c>
      <c r="G19" s="3">
        <f>SUM(G15:G18)</f>
        <v>1940.8000000000002</v>
      </c>
      <c r="H19" s="3">
        <f>SUM(H15:H18)</f>
        <v>147.5</v>
      </c>
      <c r="I19" s="20">
        <f>SUM(I15:I18)</f>
        <v>4.1100000000000003</v>
      </c>
      <c r="K19" s="15" t="s">
        <v>70</v>
      </c>
      <c r="L19" s="3">
        <f>SUM(L15:L18)</f>
        <v>1892.6000000000001</v>
      </c>
      <c r="M19" s="3">
        <f>SUM(M15:M18)</f>
        <v>151.35000000000002</v>
      </c>
      <c r="N19" s="20">
        <f>SUM(N15:N18)</f>
        <v>4.0500000000000007</v>
      </c>
      <c r="P19" s="15" t="s">
        <v>70</v>
      </c>
      <c r="Q19" s="3">
        <f>SUM(Q15:Q18)</f>
        <v>1892.6000000000001</v>
      </c>
      <c r="R19" s="3">
        <f>SUM(R15:R18)</f>
        <v>151.35000000000002</v>
      </c>
      <c r="S19" s="20">
        <f>SUM(S15:S18)</f>
        <v>4.0500000000000007</v>
      </c>
    </row>
    <row r="21" spans="1:19" x14ac:dyDescent="0.3">
      <c r="A21" s="15" t="s">
        <v>75</v>
      </c>
      <c r="B21" s="15" t="s">
        <v>1</v>
      </c>
      <c r="C21" s="15" t="s">
        <v>0</v>
      </c>
      <c r="D21" s="15" t="s">
        <v>40</v>
      </c>
      <c r="F21" s="15" t="s">
        <v>71</v>
      </c>
      <c r="G21" s="15" t="s">
        <v>1</v>
      </c>
      <c r="H21" s="15" t="s">
        <v>0</v>
      </c>
      <c r="I21" s="15" t="s">
        <v>40</v>
      </c>
      <c r="K21" s="15" t="s">
        <v>74</v>
      </c>
      <c r="L21" s="15" t="s">
        <v>1</v>
      </c>
      <c r="M21" s="15" t="s">
        <v>0</v>
      </c>
      <c r="N21" s="15" t="s">
        <v>40</v>
      </c>
    </row>
    <row r="22" spans="1:19" x14ac:dyDescent="0.3">
      <c r="A22" s="15" t="s">
        <v>63</v>
      </c>
      <c r="B22" s="3">
        <f>$L$4</f>
        <v>185</v>
      </c>
      <c r="C22" s="3">
        <v>0</v>
      </c>
      <c r="D22" s="20">
        <f>$O$4</f>
        <v>0.33</v>
      </c>
      <c r="F22" s="15" t="s">
        <v>63</v>
      </c>
      <c r="G22" s="3">
        <f>$L$4</f>
        <v>185</v>
      </c>
      <c r="H22" s="3">
        <v>0</v>
      </c>
      <c r="I22" s="20">
        <f>$O$4</f>
        <v>0.33</v>
      </c>
      <c r="K22" s="15" t="s">
        <v>63</v>
      </c>
      <c r="L22" s="3">
        <f>$L$4</f>
        <v>185</v>
      </c>
      <c r="M22" s="3">
        <v>0</v>
      </c>
      <c r="N22" s="20">
        <f>$O$4</f>
        <v>0.33</v>
      </c>
    </row>
    <row r="23" spans="1:19" x14ac:dyDescent="0.3">
      <c r="A23" s="15" t="s">
        <v>77</v>
      </c>
      <c r="B23" s="3">
        <f>$L$2*8</f>
        <v>1670.4</v>
      </c>
      <c r="C23" s="3">
        <f>$M$2*8</f>
        <v>104.4</v>
      </c>
      <c r="D23" s="20">
        <f>$O$2*8</f>
        <v>1.76</v>
      </c>
      <c r="F23" s="15" t="s">
        <v>65</v>
      </c>
      <c r="G23" s="3">
        <f>$L$2*6</f>
        <v>1252.8000000000002</v>
      </c>
      <c r="H23" s="3">
        <f>$M$2*6</f>
        <v>78.300000000000011</v>
      </c>
      <c r="I23" s="20">
        <f>$O$2*6</f>
        <v>1.32</v>
      </c>
      <c r="K23" s="15" t="s">
        <v>76</v>
      </c>
      <c r="L23" s="3">
        <f>$L$2*7</f>
        <v>1461.6000000000001</v>
      </c>
      <c r="M23" s="3">
        <f>$M$2*7</f>
        <v>91.350000000000009</v>
      </c>
      <c r="N23" s="20">
        <f>$O$2*7</f>
        <v>1.54</v>
      </c>
    </row>
    <row r="24" spans="1:19" x14ac:dyDescent="0.3">
      <c r="A24" s="15" t="s">
        <v>66</v>
      </c>
      <c r="B24" s="3">
        <f>$L$3*2</f>
        <v>246</v>
      </c>
      <c r="C24" s="3">
        <f>$M$3*2</f>
        <v>60</v>
      </c>
      <c r="D24" s="20">
        <f>$O$3*2</f>
        <v>2.1800000000000002</v>
      </c>
      <c r="F24" s="15" t="s">
        <v>66</v>
      </c>
      <c r="G24" s="3">
        <f>$L$3*2</f>
        <v>246</v>
      </c>
      <c r="H24" s="3">
        <f>$M$3*2</f>
        <v>60</v>
      </c>
      <c r="I24" s="20">
        <f>$O$3*2</f>
        <v>2.1800000000000002</v>
      </c>
      <c r="K24" s="15" t="s">
        <v>66</v>
      </c>
      <c r="L24" s="3">
        <f>$L$3*2</f>
        <v>246</v>
      </c>
      <c r="M24" s="3">
        <f>$M$3*2</f>
        <v>60</v>
      </c>
      <c r="N24" s="20">
        <f>$O$3*2</f>
        <v>2.1800000000000002</v>
      </c>
    </row>
    <row r="25" spans="1:19" x14ac:dyDescent="0.3">
      <c r="A25" s="15"/>
      <c r="B25" s="3">
        <v>0</v>
      </c>
      <c r="C25" s="3">
        <v>0</v>
      </c>
      <c r="D25" s="20">
        <v>0</v>
      </c>
      <c r="F25" s="15" t="s">
        <v>67</v>
      </c>
      <c r="G25" s="3">
        <f>$L$5</f>
        <v>257</v>
      </c>
      <c r="H25" s="3">
        <f>$M$5</f>
        <v>9.1999999999999993</v>
      </c>
      <c r="I25" s="20">
        <f>$O$5</f>
        <v>0.28000000000000003</v>
      </c>
      <c r="K25" s="15"/>
      <c r="L25" s="3">
        <v>0</v>
      </c>
      <c r="M25" s="3">
        <v>0</v>
      </c>
      <c r="N25" s="20">
        <v>0</v>
      </c>
    </row>
    <row r="26" spans="1:19" x14ac:dyDescent="0.3">
      <c r="A26" s="15" t="s">
        <v>70</v>
      </c>
      <c r="B26" s="3">
        <f>SUM(B22:B25)</f>
        <v>2101.4</v>
      </c>
      <c r="C26" s="3">
        <f>SUM(C22:C25)</f>
        <v>164.4</v>
      </c>
      <c r="D26" s="20">
        <f>SUM(D22:D25)</f>
        <v>4.2699999999999996</v>
      </c>
      <c r="F26" s="15" t="s">
        <v>70</v>
      </c>
      <c r="G26" s="3">
        <f>SUM(G22:G25)</f>
        <v>1940.8000000000002</v>
      </c>
      <c r="H26" s="3">
        <f>SUM(H22:H25)</f>
        <v>147.5</v>
      </c>
      <c r="I26" s="20">
        <f>SUM(I22:I25)</f>
        <v>4.1100000000000003</v>
      </c>
      <c r="K26" s="15" t="s">
        <v>70</v>
      </c>
      <c r="L26" s="3">
        <f>SUM(L22:L25)</f>
        <v>1892.6000000000001</v>
      </c>
      <c r="M26" s="3">
        <f>SUM(M22:M25)</f>
        <v>151.35000000000002</v>
      </c>
      <c r="N26" s="20">
        <f>SUM(N22:N25)</f>
        <v>4.0500000000000007</v>
      </c>
    </row>
  </sheetData>
  <phoneticPr fontId="2" type="noConversion"/>
  <pageMargins left="0.7" right="0.7" top="0.75" bottom="0.75" header="0.3" footer="0.3"/>
  <ignoredErrors>
    <ignoredError sqref="C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F6A85-44F0-41EA-9C90-606DC79AD939}">
  <dimension ref="A1:V130"/>
  <sheetViews>
    <sheetView zoomScale="93" workbookViewId="0">
      <selection activeCell="K7" sqref="K7"/>
    </sheetView>
  </sheetViews>
  <sheetFormatPr defaultRowHeight="14.4" x14ac:dyDescent="0.3"/>
  <cols>
    <col min="1" max="1" width="21.33203125" customWidth="1"/>
    <col min="2" max="2" width="9.33203125" bestFit="1" customWidth="1"/>
    <col min="3" max="4" width="9" bestFit="1" customWidth="1"/>
    <col min="6" max="6" width="25.33203125" customWidth="1"/>
    <col min="14" max="14" width="22.33203125" customWidth="1"/>
    <col min="15" max="15" width="9.88671875" customWidth="1"/>
    <col min="19" max="19" width="21.33203125" customWidth="1"/>
    <col min="20" max="20" width="9.6640625" bestFit="1" customWidth="1"/>
  </cols>
  <sheetData>
    <row r="1" spans="1:19" x14ac:dyDescent="0.3">
      <c r="B1" t="s">
        <v>45</v>
      </c>
      <c r="C1" t="s">
        <v>83</v>
      </c>
      <c r="D1" t="s">
        <v>40</v>
      </c>
      <c r="F1" s="3"/>
      <c r="G1" s="15" t="s">
        <v>45</v>
      </c>
      <c r="H1" s="15" t="s">
        <v>83</v>
      </c>
      <c r="I1" s="15" t="s">
        <v>87</v>
      </c>
      <c r="J1" s="15" t="s">
        <v>88</v>
      </c>
      <c r="K1" s="15" t="s">
        <v>89</v>
      </c>
      <c r="N1" s="15" t="s">
        <v>90</v>
      </c>
      <c r="O1" s="15" t="s">
        <v>91</v>
      </c>
      <c r="P1" s="15" t="s">
        <v>92</v>
      </c>
    </row>
    <row r="2" spans="1:19" x14ac:dyDescent="0.3">
      <c r="A2" t="s">
        <v>82</v>
      </c>
      <c r="B2">
        <f>123*3</f>
        <v>369</v>
      </c>
      <c r="C2">
        <f>30*3</f>
        <v>90</v>
      </c>
      <c r="D2" s="26">
        <f>1.09*3</f>
        <v>3.2700000000000005</v>
      </c>
      <c r="F2" s="15" t="s">
        <v>62</v>
      </c>
      <c r="G2" s="3">
        <v>123</v>
      </c>
      <c r="H2" s="3">
        <v>30</v>
      </c>
      <c r="I2" s="4">
        <v>1.0900000000000001</v>
      </c>
      <c r="J2" s="21">
        <f>H2/G2</f>
        <v>0.24390243902439024</v>
      </c>
      <c r="K2" s="21">
        <f>H2/I2</f>
        <v>27.52293577981651</v>
      </c>
      <c r="N2" s="15" t="s">
        <v>93</v>
      </c>
      <c r="O2" s="3">
        <v>2.5</v>
      </c>
      <c r="P2" s="3">
        <v>65</v>
      </c>
    </row>
    <row r="3" spans="1:19" x14ac:dyDescent="0.3">
      <c r="A3" t="s">
        <v>85</v>
      </c>
      <c r="B3">
        <f>350*4</f>
        <v>1400</v>
      </c>
      <c r="C3">
        <f>11.5*4</f>
        <v>46</v>
      </c>
      <c r="D3" s="26">
        <f>0.13*4</f>
        <v>0.52</v>
      </c>
      <c r="F3" s="15" t="s">
        <v>94</v>
      </c>
      <c r="G3" s="3">
        <v>340</v>
      </c>
      <c r="H3" s="3">
        <v>81</v>
      </c>
      <c r="I3" s="5">
        <f>P2/25</f>
        <v>2.6</v>
      </c>
      <c r="J3" s="21">
        <f>H3/G3</f>
        <v>0.23823529411764705</v>
      </c>
      <c r="K3" s="21">
        <f>H3/I3</f>
        <v>31.153846153846153</v>
      </c>
      <c r="N3" s="15" t="s">
        <v>123</v>
      </c>
      <c r="O3" s="3">
        <v>2.5</v>
      </c>
      <c r="P3" s="3">
        <v>40</v>
      </c>
    </row>
    <row r="4" spans="1:19" x14ac:dyDescent="0.3">
      <c r="A4" t="s">
        <v>84</v>
      </c>
      <c r="B4">
        <f>209*1</f>
        <v>209</v>
      </c>
      <c r="C4">
        <f>13*1</f>
        <v>13</v>
      </c>
      <c r="D4" s="26">
        <f>0.22*1</f>
        <v>0.22</v>
      </c>
      <c r="F4" s="15" t="s">
        <v>95</v>
      </c>
      <c r="G4" s="3">
        <v>366</v>
      </c>
      <c r="H4" s="3">
        <v>73</v>
      </c>
      <c r="I4" s="5">
        <f>P3/25</f>
        <v>1.6</v>
      </c>
      <c r="J4" s="21">
        <f t="shared" ref="J4" si="0">H4/G4</f>
        <v>0.19945355191256831</v>
      </c>
      <c r="K4" s="28">
        <f t="shared" ref="K4" si="1">H4/I4</f>
        <v>45.625</v>
      </c>
      <c r="N4" s="15" t="s">
        <v>126</v>
      </c>
      <c r="O4" s="3">
        <v>2.5</v>
      </c>
      <c r="P4" s="3">
        <v>40</v>
      </c>
    </row>
    <row r="5" spans="1:19" x14ac:dyDescent="0.3">
      <c r="B5">
        <f>SUM(B2:B4)</f>
        <v>1978</v>
      </c>
      <c r="C5">
        <f t="shared" ref="C5:D5" si="2">SUM(C2:C4)</f>
        <v>149</v>
      </c>
      <c r="D5" s="26">
        <f t="shared" si="2"/>
        <v>4.0100000000000007</v>
      </c>
      <c r="F5" s="15" t="s">
        <v>63</v>
      </c>
      <c r="G5" s="3">
        <v>185</v>
      </c>
      <c r="H5" s="3"/>
      <c r="I5" s="5">
        <v>0.33</v>
      </c>
      <c r="J5" s="21">
        <f t="shared" ref="J5:J23" si="3">H5/G5</f>
        <v>0</v>
      </c>
      <c r="K5" s="28">
        <f t="shared" ref="K5:K23" si="4">H5/I5</f>
        <v>0</v>
      </c>
      <c r="N5" s="15" t="s">
        <v>127</v>
      </c>
      <c r="O5" s="3">
        <v>2.5</v>
      </c>
      <c r="P5" s="3">
        <v>59</v>
      </c>
    </row>
    <row r="6" spans="1:19" x14ac:dyDescent="0.3">
      <c r="F6" s="15" t="s">
        <v>68</v>
      </c>
      <c r="G6" s="3">
        <v>257</v>
      </c>
      <c r="H6" s="3">
        <v>9.1999999999999993</v>
      </c>
      <c r="I6" s="19">
        <v>0.28000000000000003</v>
      </c>
      <c r="J6" s="21">
        <f t="shared" si="3"/>
        <v>3.5797665369649803E-2</v>
      </c>
      <c r="K6" s="28">
        <f t="shared" si="4"/>
        <v>32.857142857142854</v>
      </c>
      <c r="N6" s="15" t="s">
        <v>128</v>
      </c>
      <c r="O6" s="3">
        <v>2.5</v>
      </c>
      <c r="P6" s="3">
        <v>59</v>
      </c>
    </row>
    <row r="7" spans="1:19" x14ac:dyDescent="0.3">
      <c r="A7" s="15" t="s">
        <v>96</v>
      </c>
      <c r="B7" s="15" t="s">
        <v>45</v>
      </c>
      <c r="C7" s="15" t="s">
        <v>83</v>
      </c>
      <c r="D7" s="15" t="s">
        <v>40</v>
      </c>
      <c r="F7" s="15" t="s">
        <v>30</v>
      </c>
      <c r="G7" s="3">
        <v>350</v>
      </c>
      <c r="H7" s="3">
        <v>11.5</v>
      </c>
      <c r="I7" s="5">
        <v>0.13</v>
      </c>
      <c r="J7" s="21">
        <f t="shared" si="3"/>
        <v>3.2857142857142856E-2</v>
      </c>
      <c r="K7" s="28">
        <f t="shared" si="4"/>
        <v>88.461538461538453</v>
      </c>
    </row>
    <row r="8" spans="1:19" x14ac:dyDescent="0.3">
      <c r="A8" s="15" t="s">
        <v>98</v>
      </c>
      <c r="B8" s="3">
        <f>1.4*G4</f>
        <v>512.4</v>
      </c>
      <c r="C8" s="3">
        <f>1.4*H4</f>
        <v>102.19999999999999</v>
      </c>
      <c r="D8" s="5">
        <f>1.4*I4</f>
        <v>2.2399999999999998</v>
      </c>
      <c r="F8" s="15" t="s">
        <v>103</v>
      </c>
      <c r="G8" s="3">
        <v>75</v>
      </c>
      <c r="H8" s="3">
        <v>1.5</v>
      </c>
      <c r="I8" s="5">
        <v>0.18</v>
      </c>
      <c r="J8" s="21">
        <f t="shared" si="3"/>
        <v>0.02</v>
      </c>
      <c r="K8" s="28">
        <f t="shared" si="4"/>
        <v>8.3333333333333339</v>
      </c>
      <c r="M8" t="s">
        <v>129</v>
      </c>
      <c r="N8" s="15" t="s">
        <v>124</v>
      </c>
      <c r="O8" s="15" t="s">
        <v>45</v>
      </c>
      <c r="P8" s="15" t="s">
        <v>83</v>
      </c>
      <c r="Q8" s="15" t="s">
        <v>87</v>
      </c>
      <c r="R8" s="15" t="s">
        <v>88</v>
      </c>
      <c r="S8" s="15" t="s">
        <v>89</v>
      </c>
    </row>
    <row r="9" spans="1:19" x14ac:dyDescent="0.3">
      <c r="A9" s="15" t="s">
        <v>97</v>
      </c>
      <c r="B9" s="3">
        <f>209*3</f>
        <v>627</v>
      </c>
      <c r="C9" s="3">
        <f>13*3</f>
        <v>39</v>
      </c>
      <c r="D9" s="4">
        <f>0.22*3</f>
        <v>0.66</v>
      </c>
      <c r="F9" s="15" t="s">
        <v>104</v>
      </c>
      <c r="G9" s="3">
        <v>174</v>
      </c>
      <c r="H9" s="3">
        <v>4.5</v>
      </c>
      <c r="I9" s="5">
        <v>0.1</v>
      </c>
      <c r="J9" s="21">
        <f t="shared" si="3"/>
        <v>2.5862068965517241E-2</v>
      </c>
      <c r="K9" s="28">
        <f t="shared" si="4"/>
        <v>45</v>
      </c>
      <c r="N9" s="15" t="s">
        <v>125</v>
      </c>
      <c r="O9" s="3">
        <v>366</v>
      </c>
      <c r="P9" s="3">
        <v>73</v>
      </c>
      <c r="Q9" s="3">
        <f>P3/(O3*10)</f>
        <v>1.6</v>
      </c>
      <c r="R9" s="31">
        <f>P9/O9</f>
        <v>0.19945355191256831</v>
      </c>
      <c r="S9" s="19">
        <f>P9/Q9</f>
        <v>45.625</v>
      </c>
    </row>
    <row r="10" spans="1:19" x14ac:dyDescent="0.3">
      <c r="A10" s="15" t="s">
        <v>70</v>
      </c>
      <c r="B10" s="3">
        <f>SUM(B8:B9)</f>
        <v>1139.4000000000001</v>
      </c>
      <c r="C10" s="3">
        <f>SUM(C8:C9)</f>
        <v>141.19999999999999</v>
      </c>
      <c r="D10" s="5">
        <f>SUM(D8:D9)</f>
        <v>2.9</v>
      </c>
      <c r="F10" s="15" t="s">
        <v>109</v>
      </c>
      <c r="G10" s="3">
        <v>51</v>
      </c>
      <c r="H10" s="3">
        <v>5.3</v>
      </c>
      <c r="I10" s="5">
        <v>0.15</v>
      </c>
      <c r="J10" s="21">
        <f t="shared" si="3"/>
        <v>0.10392156862745097</v>
      </c>
      <c r="K10" s="21">
        <f t="shared" si="4"/>
        <v>35.333333333333336</v>
      </c>
      <c r="N10" s="15" t="s">
        <v>126</v>
      </c>
      <c r="O10" s="3">
        <v>340</v>
      </c>
      <c r="P10" s="3">
        <v>81</v>
      </c>
      <c r="Q10" s="3">
        <f t="shared" ref="Q10:Q12" si="5">P4/(O4*10)</f>
        <v>1.6</v>
      </c>
      <c r="R10" s="31">
        <f t="shared" ref="R10:R12" si="6">P10/O10</f>
        <v>0.23823529411764705</v>
      </c>
      <c r="S10" s="19">
        <f t="shared" ref="S10:S12" si="7">P10/Q10</f>
        <v>50.625</v>
      </c>
    </row>
    <row r="11" spans="1:19" x14ac:dyDescent="0.3">
      <c r="F11" s="15" t="s">
        <v>110</v>
      </c>
      <c r="G11" s="3">
        <v>209</v>
      </c>
      <c r="H11" s="3">
        <v>13</v>
      </c>
      <c r="I11" s="5">
        <v>0.22</v>
      </c>
      <c r="J11" s="21">
        <f t="shared" si="3"/>
        <v>6.2200956937799042E-2</v>
      </c>
      <c r="K11" s="21">
        <f t="shared" si="4"/>
        <v>59.090909090909093</v>
      </c>
      <c r="N11" s="15" t="s">
        <v>127</v>
      </c>
      <c r="O11" s="3">
        <v>366</v>
      </c>
      <c r="P11" s="3">
        <v>73</v>
      </c>
      <c r="Q11" s="3">
        <f t="shared" si="5"/>
        <v>2.36</v>
      </c>
      <c r="R11" s="31">
        <f t="shared" si="6"/>
        <v>0.19945355191256831</v>
      </c>
      <c r="S11" s="19">
        <f t="shared" si="7"/>
        <v>30.932203389830509</v>
      </c>
    </row>
    <row r="12" spans="1:19" x14ac:dyDescent="0.3">
      <c r="A12" s="15" t="s">
        <v>96</v>
      </c>
      <c r="B12" s="15" t="s">
        <v>45</v>
      </c>
      <c r="C12" s="15" t="s">
        <v>83</v>
      </c>
      <c r="D12" s="15" t="s">
        <v>40</v>
      </c>
      <c r="F12" s="15" t="s">
        <v>111</v>
      </c>
      <c r="G12" s="3">
        <v>84</v>
      </c>
      <c r="H12" s="3">
        <v>16.7</v>
      </c>
      <c r="I12" s="5">
        <v>0.8</v>
      </c>
      <c r="J12" s="21">
        <f t="shared" si="3"/>
        <v>0.1988095238095238</v>
      </c>
      <c r="K12" s="21">
        <f t="shared" si="4"/>
        <v>20.874999999999996</v>
      </c>
      <c r="N12" s="15" t="s">
        <v>128</v>
      </c>
      <c r="O12" s="3">
        <v>412</v>
      </c>
      <c r="P12" s="3">
        <v>82</v>
      </c>
      <c r="Q12" s="3">
        <f t="shared" si="5"/>
        <v>2.36</v>
      </c>
      <c r="R12" s="31">
        <f t="shared" si="6"/>
        <v>0.19902912621359223</v>
      </c>
      <c r="S12" s="19">
        <f t="shared" si="7"/>
        <v>34.745762711864408</v>
      </c>
    </row>
    <row r="13" spans="1:19" x14ac:dyDescent="0.3">
      <c r="A13" s="15" t="s">
        <v>100</v>
      </c>
      <c r="B13" s="21">
        <f>0.8*G4</f>
        <v>292.8</v>
      </c>
      <c r="C13" s="21">
        <f t="shared" ref="C13:D13" si="8">0.8*H4</f>
        <v>58.400000000000006</v>
      </c>
      <c r="D13" s="5">
        <f t="shared" si="8"/>
        <v>1.2800000000000002</v>
      </c>
      <c r="F13" s="15" t="s">
        <v>155</v>
      </c>
      <c r="G13" s="3">
        <v>100</v>
      </c>
      <c r="H13" s="3">
        <v>23.3</v>
      </c>
      <c r="I13" s="5">
        <v>0.84</v>
      </c>
      <c r="J13" s="21">
        <f t="shared" si="3"/>
        <v>0.23300000000000001</v>
      </c>
      <c r="K13" s="21">
        <f t="shared" si="4"/>
        <v>27.738095238095241</v>
      </c>
    </row>
    <row r="14" spans="1:19" x14ac:dyDescent="0.3">
      <c r="A14" s="15" t="s">
        <v>99</v>
      </c>
      <c r="B14" s="3">
        <f>209*7</f>
        <v>1463</v>
      </c>
      <c r="C14" s="3">
        <f>13*7</f>
        <v>91</v>
      </c>
      <c r="D14" s="4">
        <f>0.22*7</f>
        <v>1.54</v>
      </c>
      <c r="F14" s="15" t="s">
        <v>112</v>
      </c>
      <c r="G14" s="3">
        <v>47</v>
      </c>
      <c r="H14" s="3">
        <v>3.3</v>
      </c>
      <c r="I14" s="5">
        <v>0.1</v>
      </c>
      <c r="J14" s="21">
        <f t="shared" si="3"/>
        <v>7.0212765957446799E-2</v>
      </c>
      <c r="K14" s="21">
        <f t="shared" si="4"/>
        <v>32.999999999999993</v>
      </c>
    </row>
    <row r="15" spans="1:19" x14ac:dyDescent="0.3">
      <c r="A15" s="15" t="s">
        <v>70</v>
      </c>
      <c r="B15" s="3">
        <f>SUM(B13:B14)</f>
        <v>1755.8</v>
      </c>
      <c r="C15" s="3">
        <f>SUM(C13:C14)</f>
        <v>149.4</v>
      </c>
      <c r="D15" s="5">
        <f>SUM(D13:D14)</f>
        <v>2.8200000000000003</v>
      </c>
      <c r="F15" s="29" t="s">
        <v>116</v>
      </c>
      <c r="G15" s="11">
        <v>136</v>
      </c>
      <c r="H15" s="11">
        <v>12.4</v>
      </c>
      <c r="I15" s="12">
        <v>0.49</v>
      </c>
      <c r="J15" s="30">
        <f t="shared" si="3"/>
        <v>9.1176470588235303E-2</v>
      </c>
      <c r="K15" s="30">
        <f t="shared" si="4"/>
        <v>25.306122448979593</v>
      </c>
    </row>
    <row r="16" spans="1:19" x14ac:dyDescent="0.3">
      <c r="F16" s="15" t="s">
        <v>153</v>
      </c>
      <c r="G16" s="3">
        <v>169</v>
      </c>
      <c r="H16" s="3">
        <v>15.4</v>
      </c>
      <c r="I16" s="5">
        <v>0.47</v>
      </c>
      <c r="J16" s="21">
        <f t="shared" si="3"/>
        <v>9.1124260355029588E-2</v>
      </c>
      <c r="K16" s="21">
        <f t="shared" si="4"/>
        <v>32.765957446808514</v>
      </c>
    </row>
    <row r="17" spans="1:22" x14ac:dyDescent="0.3">
      <c r="A17" s="15" t="s">
        <v>96</v>
      </c>
      <c r="B17" s="15" t="s">
        <v>45</v>
      </c>
      <c r="C17" s="15" t="s">
        <v>83</v>
      </c>
      <c r="D17" s="15" t="s">
        <v>40</v>
      </c>
      <c r="F17" s="15" t="s">
        <v>163</v>
      </c>
      <c r="G17" s="3">
        <v>126</v>
      </c>
      <c r="H17" s="3">
        <v>17.899999999999999</v>
      </c>
      <c r="I17" s="5">
        <v>0.4</v>
      </c>
      <c r="J17" s="21">
        <f t="shared" si="3"/>
        <v>0.14206349206349206</v>
      </c>
      <c r="K17" s="21">
        <f t="shared" si="4"/>
        <v>44.749999999999993</v>
      </c>
    </row>
    <row r="18" spans="1:22" x14ac:dyDescent="0.3">
      <c r="A18" s="15" t="s">
        <v>100</v>
      </c>
      <c r="B18" s="21">
        <f>0.8*G4</f>
        <v>292.8</v>
      </c>
      <c r="C18" s="21">
        <f t="shared" ref="C18:D18" si="9">0.8*H4</f>
        <v>58.400000000000006</v>
      </c>
      <c r="D18" s="5">
        <f t="shared" si="9"/>
        <v>1.2800000000000002</v>
      </c>
      <c r="F18" s="15" t="s">
        <v>169</v>
      </c>
      <c r="G18" s="3">
        <v>206</v>
      </c>
      <c r="H18" s="3">
        <v>2.5</v>
      </c>
      <c r="I18" s="5">
        <v>0.4</v>
      </c>
      <c r="J18" s="21">
        <f t="shared" si="3"/>
        <v>1.2135922330097087E-2</v>
      </c>
      <c r="K18" s="21">
        <f t="shared" si="4"/>
        <v>6.25</v>
      </c>
    </row>
    <row r="19" spans="1:22" x14ac:dyDescent="0.3">
      <c r="A19" s="15" t="s">
        <v>102</v>
      </c>
      <c r="B19" s="3">
        <f>209*6</f>
        <v>1254</v>
      </c>
      <c r="C19" s="3">
        <f>13*6</f>
        <v>78</v>
      </c>
      <c r="D19" s="4">
        <f>0.22*6</f>
        <v>1.32</v>
      </c>
      <c r="F19" s="15" t="s">
        <v>170</v>
      </c>
      <c r="G19" s="3">
        <v>115</v>
      </c>
      <c r="H19" s="3">
        <v>9</v>
      </c>
      <c r="I19" s="5">
        <v>0.3</v>
      </c>
      <c r="J19" s="21">
        <f t="shared" si="3"/>
        <v>7.8260869565217397E-2</v>
      </c>
      <c r="K19" s="21">
        <f t="shared" si="4"/>
        <v>30</v>
      </c>
    </row>
    <row r="20" spans="1:22" x14ac:dyDescent="0.3">
      <c r="A20" s="15" t="s">
        <v>63</v>
      </c>
      <c r="B20" s="3">
        <f>$G$5</f>
        <v>185</v>
      </c>
      <c r="C20" s="3">
        <v>0</v>
      </c>
      <c r="D20" s="4">
        <f>$I$5</f>
        <v>0.33</v>
      </c>
      <c r="F20" s="15" t="s">
        <v>171</v>
      </c>
      <c r="G20" s="3">
        <v>180</v>
      </c>
      <c r="H20" s="3">
        <v>15</v>
      </c>
      <c r="I20" s="5">
        <v>0.88</v>
      </c>
      <c r="J20" s="21">
        <f t="shared" si="3"/>
        <v>8.3333333333333329E-2</v>
      </c>
      <c r="K20" s="21">
        <f t="shared" si="4"/>
        <v>17.045454545454547</v>
      </c>
    </row>
    <row r="21" spans="1:22" x14ac:dyDescent="0.3">
      <c r="A21" s="15" t="s">
        <v>101</v>
      </c>
      <c r="B21" s="3">
        <f>$G$6*1</f>
        <v>257</v>
      </c>
      <c r="C21" s="3">
        <f>$H$6*1</f>
        <v>9.1999999999999993</v>
      </c>
      <c r="D21" s="4">
        <f>$I$6*1</f>
        <v>0.28000000000000003</v>
      </c>
      <c r="F21" s="15" t="s">
        <v>172</v>
      </c>
      <c r="G21" s="3">
        <v>96</v>
      </c>
      <c r="H21" s="3">
        <v>18</v>
      </c>
      <c r="I21" s="5">
        <v>2.29</v>
      </c>
      <c r="J21" s="21">
        <f t="shared" si="3"/>
        <v>0.1875</v>
      </c>
      <c r="K21" s="21">
        <f t="shared" si="4"/>
        <v>7.8602620087336241</v>
      </c>
      <c r="S21" t="s">
        <v>119</v>
      </c>
    </row>
    <row r="22" spans="1:22" x14ac:dyDescent="0.3">
      <c r="A22" s="15" t="s">
        <v>70</v>
      </c>
      <c r="B22" s="21">
        <f>SUM(B18:B21)</f>
        <v>1988.8</v>
      </c>
      <c r="C22" s="21">
        <f t="shared" ref="C22:D22" si="10">SUM(C18:C21)</f>
        <v>145.6</v>
      </c>
      <c r="D22" s="5">
        <f t="shared" si="10"/>
        <v>3.2100000000000009</v>
      </c>
      <c r="F22" s="15" t="s">
        <v>175</v>
      </c>
      <c r="G22" s="3">
        <v>331</v>
      </c>
      <c r="H22" s="3">
        <v>19</v>
      </c>
      <c r="I22" s="5">
        <v>0.83</v>
      </c>
      <c r="J22" s="21">
        <f t="shared" si="3"/>
        <v>5.7401812688821753E-2</v>
      </c>
      <c r="K22" s="21">
        <f t="shared" si="4"/>
        <v>22.891566265060241</v>
      </c>
      <c r="N22" s="15" t="s">
        <v>96</v>
      </c>
      <c r="O22" s="15" t="s">
        <v>45</v>
      </c>
      <c r="P22" s="15" t="s">
        <v>83</v>
      </c>
      <c r="Q22" s="15" t="s">
        <v>40</v>
      </c>
      <c r="S22" s="15" t="s">
        <v>96</v>
      </c>
      <c r="T22" s="15" t="s">
        <v>45</v>
      </c>
      <c r="U22" s="15" t="s">
        <v>83</v>
      </c>
      <c r="V22" s="15" t="s">
        <v>40</v>
      </c>
    </row>
    <row r="23" spans="1:22" x14ac:dyDescent="0.3">
      <c r="F23" s="15" t="s">
        <v>179</v>
      </c>
      <c r="G23" s="21">
        <v>49</v>
      </c>
      <c r="H23" s="21">
        <v>5.5</v>
      </c>
      <c r="I23" s="5">
        <v>0.35</v>
      </c>
      <c r="J23" s="21">
        <f t="shared" si="3"/>
        <v>0.11224489795918367</v>
      </c>
      <c r="K23" s="21">
        <f t="shared" si="4"/>
        <v>15.714285714285715</v>
      </c>
      <c r="N23" s="15" t="s">
        <v>113</v>
      </c>
      <c r="O23" s="21">
        <f>0.7*$G$4</f>
        <v>256.2</v>
      </c>
      <c r="P23" s="21">
        <f>0.7*$H$4</f>
        <v>51.099999999999994</v>
      </c>
      <c r="Q23" s="19">
        <f>0.7*$I$4</f>
        <v>1.1199999999999999</v>
      </c>
      <c r="S23" s="15" t="s">
        <v>118</v>
      </c>
      <c r="T23" s="21">
        <f>1.05*$G$4</f>
        <v>384.3</v>
      </c>
      <c r="U23" s="21">
        <f>1.05*$H$4</f>
        <v>76.650000000000006</v>
      </c>
      <c r="V23" s="19">
        <f>1.05*$I$4</f>
        <v>1.6800000000000002</v>
      </c>
    </row>
    <row r="24" spans="1:22" x14ac:dyDescent="0.3">
      <c r="F24" s="15" t="s">
        <v>182</v>
      </c>
      <c r="G24" s="3">
        <v>315</v>
      </c>
      <c r="H24" s="3">
        <v>22</v>
      </c>
      <c r="I24" s="38">
        <v>0.9</v>
      </c>
      <c r="J24" s="21">
        <f>H24/G24</f>
        <v>6.9841269841269843E-2</v>
      </c>
      <c r="K24" s="21">
        <f>H24/I24</f>
        <v>24.444444444444443</v>
      </c>
      <c r="N24" s="15" t="s">
        <v>114</v>
      </c>
      <c r="O24" s="3">
        <f>47*5</f>
        <v>235</v>
      </c>
      <c r="P24" s="3">
        <f>3.3*5</f>
        <v>16.5</v>
      </c>
      <c r="Q24" s="19">
        <f>0.1*5</f>
        <v>0.5</v>
      </c>
      <c r="S24" s="15" t="s">
        <v>120</v>
      </c>
      <c r="T24" s="3">
        <f>47*7.5</f>
        <v>352.5</v>
      </c>
      <c r="U24" s="3">
        <f>3.3*7.5</f>
        <v>24.75</v>
      </c>
      <c r="V24" s="19">
        <f>0.1*7.5</f>
        <v>0.75</v>
      </c>
    </row>
    <row r="25" spans="1:22" x14ac:dyDescent="0.3">
      <c r="A25" s="15" t="s">
        <v>136</v>
      </c>
      <c r="B25" s="15" t="s">
        <v>45</v>
      </c>
      <c r="C25" s="15" t="s">
        <v>83</v>
      </c>
      <c r="D25" s="15" t="s">
        <v>40</v>
      </c>
      <c r="F25" s="15" t="s">
        <v>183</v>
      </c>
      <c r="G25" s="3">
        <v>382</v>
      </c>
      <c r="H25" s="3">
        <v>28</v>
      </c>
      <c r="I25" s="38">
        <v>0.75</v>
      </c>
      <c r="J25" s="21">
        <f>H25/G25</f>
        <v>7.3298429319371722E-2</v>
      </c>
      <c r="K25" s="21">
        <f>H25/I25</f>
        <v>37.333333333333336</v>
      </c>
      <c r="N25" s="15" t="s">
        <v>115</v>
      </c>
      <c r="O25" s="3">
        <f>123*1</f>
        <v>123</v>
      </c>
      <c r="P25" s="3">
        <f>30*1</f>
        <v>30</v>
      </c>
      <c r="Q25" s="19">
        <f>1.09*1</f>
        <v>1.0900000000000001</v>
      </c>
      <c r="S25" s="15" t="s">
        <v>117</v>
      </c>
      <c r="T25" s="3">
        <f>209*2</f>
        <v>418</v>
      </c>
      <c r="U25" s="3">
        <f>13*2</f>
        <v>26</v>
      </c>
      <c r="V25" s="19">
        <f>0.22*2</f>
        <v>0.44</v>
      </c>
    </row>
    <row r="26" spans="1:22" x14ac:dyDescent="0.3">
      <c r="A26" s="15" t="s">
        <v>101</v>
      </c>
      <c r="B26" s="3">
        <f>$G$6*1</f>
        <v>257</v>
      </c>
      <c r="C26" s="3">
        <f>$H$6*1</f>
        <v>9.1999999999999993</v>
      </c>
      <c r="D26" s="19">
        <f>$I$6*1</f>
        <v>0.28000000000000003</v>
      </c>
      <c r="F26" s="15" t="s">
        <v>186</v>
      </c>
      <c r="G26" s="21">
        <v>146</v>
      </c>
      <c r="H26" s="21">
        <v>20.7</v>
      </c>
      <c r="I26" s="22">
        <v>0.7</v>
      </c>
      <c r="J26" s="21">
        <f>H26/G26</f>
        <v>0.14178082191780822</v>
      </c>
      <c r="K26" s="21">
        <f>H26/I26</f>
        <v>29.571428571428573</v>
      </c>
      <c r="N26" s="15" t="s">
        <v>97</v>
      </c>
      <c r="O26" s="3">
        <f>209*3</f>
        <v>627</v>
      </c>
      <c r="P26" s="3">
        <f>13*3</f>
        <v>39</v>
      </c>
      <c r="Q26" s="19">
        <f>0.22*3</f>
        <v>0.66</v>
      </c>
      <c r="S26" s="15" t="s">
        <v>101</v>
      </c>
      <c r="T26" s="3">
        <f>$G$6*1</f>
        <v>257</v>
      </c>
      <c r="U26" s="3">
        <f>$H$6*1</f>
        <v>9.1999999999999993</v>
      </c>
      <c r="V26" s="19">
        <f>$I$6*1</f>
        <v>0.28000000000000003</v>
      </c>
    </row>
    <row r="27" spans="1:22" x14ac:dyDescent="0.3">
      <c r="A27" s="15" t="s">
        <v>63</v>
      </c>
      <c r="B27" s="3">
        <f>$G$5</f>
        <v>185</v>
      </c>
      <c r="C27" s="3">
        <v>0</v>
      </c>
      <c r="D27" s="19">
        <f>$I$5</f>
        <v>0.33</v>
      </c>
      <c r="F27" s="15"/>
      <c r="G27" s="21"/>
      <c r="H27" s="21"/>
      <c r="I27" s="22"/>
      <c r="J27" s="21"/>
      <c r="K27" s="21"/>
      <c r="N27" s="15" t="s">
        <v>101</v>
      </c>
      <c r="O27" s="3">
        <f>$G$6*1</f>
        <v>257</v>
      </c>
      <c r="P27" s="3">
        <f>$H$6*1</f>
        <v>9.1999999999999993</v>
      </c>
      <c r="Q27" s="19">
        <f>$I$6*1</f>
        <v>0.28000000000000003</v>
      </c>
      <c r="S27" s="15" t="s">
        <v>108</v>
      </c>
      <c r="T27" s="3">
        <v>350</v>
      </c>
      <c r="U27" s="3">
        <v>11.5</v>
      </c>
      <c r="V27" s="19">
        <v>0.13</v>
      </c>
    </row>
    <row r="28" spans="1:22" x14ac:dyDescent="0.3">
      <c r="A28" s="15" t="s">
        <v>137</v>
      </c>
      <c r="B28" s="3">
        <f>123*2</f>
        <v>246</v>
      </c>
      <c r="C28" s="3">
        <f>30*2</f>
        <v>60</v>
      </c>
      <c r="D28" s="22">
        <f>1.09*2</f>
        <v>2.1800000000000002</v>
      </c>
      <c r="N28" s="15" t="s">
        <v>108</v>
      </c>
      <c r="O28" s="3">
        <v>350</v>
      </c>
      <c r="P28" s="3">
        <v>11.5</v>
      </c>
      <c r="Q28" s="19">
        <v>0.13</v>
      </c>
      <c r="S28" s="15" t="s">
        <v>109</v>
      </c>
      <c r="T28" s="3">
        <f>1*51</f>
        <v>51</v>
      </c>
      <c r="U28" s="3">
        <f>1*5.3</f>
        <v>5.3</v>
      </c>
      <c r="V28" s="4">
        <f>1*0.15</f>
        <v>0.15</v>
      </c>
    </row>
    <row r="29" spans="1:22" x14ac:dyDescent="0.3">
      <c r="A29" s="15" t="s">
        <v>139</v>
      </c>
      <c r="B29" s="3">
        <f>209*4.5</f>
        <v>940.5</v>
      </c>
      <c r="C29" s="3">
        <f>13*4.5</f>
        <v>58.5</v>
      </c>
      <c r="D29" s="19">
        <f>0.22*4.5</f>
        <v>0.99</v>
      </c>
      <c r="G29" s="33"/>
      <c r="H29" s="33"/>
      <c r="I29" s="34"/>
      <c r="N29" s="15"/>
      <c r="O29" s="3"/>
      <c r="P29" s="3"/>
      <c r="Q29" s="19"/>
      <c r="S29" s="15"/>
      <c r="T29" s="3"/>
      <c r="U29" s="3"/>
      <c r="V29" s="19"/>
    </row>
    <row r="30" spans="1:22" x14ac:dyDescent="0.3">
      <c r="A30" s="15" t="s">
        <v>138</v>
      </c>
      <c r="B30" s="3">
        <f>51*5</f>
        <v>255</v>
      </c>
      <c r="C30" s="3">
        <f>5.3*5</f>
        <v>26.5</v>
      </c>
      <c r="D30" s="19">
        <f>0.15*5</f>
        <v>0.75</v>
      </c>
      <c r="N30" s="15" t="s">
        <v>70</v>
      </c>
      <c r="O30" s="21">
        <f>SUM(O23:O28)</f>
        <v>1848.2</v>
      </c>
      <c r="P30" s="21">
        <f>SUM(P23:P28)</f>
        <v>157.29999999999998</v>
      </c>
      <c r="Q30" s="19">
        <f>SUM(Q23:Q28)</f>
        <v>3.7800000000000002</v>
      </c>
      <c r="S30" s="15" t="s">
        <v>70</v>
      </c>
      <c r="T30" s="21">
        <f>SUM(T23:T29)</f>
        <v>1812.8</v>
      </c>
      <c r="U30" s="21">
        <f t="shared" ref="U30:V30" si="11">SUM(U23:U29)</f>
        <v>153.4</v>
      </c>
      <c r="V30" s="19">
        <f t="shared" si="11"/>
        <v>3.43</v>
      </c>
    </row>
    <row r="31" spans="1:22" x14ac:dyDescent="0.3">
      <c r="A31" s="15"/>
      <c r="B31" s="3"/>
      <c r="C31" s="3"/>
      <c r="D31" s="3"/>
    </row>
    <row r="32" spans="1:22" x14ac:dyDescent="0.3">
      <c r="A32" s="15" t="s">
        <v>134</v>
      </c>
      <c r="B32" s="3">
        <f>SUM(B26:B31)</f>
        <v>1883.5</v>
      </c>
      <c r="C32" s="3">
        <f>SUM(C26:C31)</f>
        <v>154.19999999999999</v>
      </c>
      <c r="D32" s="19">
        <f>SUM(D26:D31)</f>
        <v>4.53</v>
      </c>
      <c r="N32" s="15" t="s">
        <v>96</v>
      </c>
      <c r="O32" s="15" t="s">
        <v>45</v>
      </c>
      <c r="P32" s="15" t="s">
        <v>83</v>
      </c>
      <c r="Q32" s="15" t="s">
        <v>40</v>
      </c>
      <c r="S32" s="15" t="s">
        <v>96</v>
      </c>
      <c r="T32" s="15" t="s">
        <v>45</v>
      </c>
      <c r="U32" s="15" t="s">
        <v>83</v>
      </c>
      <c r="V32" s="15" t="s">
        <v>87</v>
      </c>
    </row>
    <row r="33" spans="1:22" x14ac:dyDescent="0.3">
      <c r="M33" t="s">
        <v>121</v>
      </c>
      <c r="N33" s="15" t="s">
        <v>98</v>
      </c>
      <c r="O33" s="21">
        <f>1.4*$G$4</f>
        <v>512.4</v>
      </c>
      <c r="P33" s="21">
        <f>1.4*$H$4</f>
        <v>102.19999999999999</v>
      </c>
      <c r="Q33" s="19">
        <f>1.4*$I$4</f>
        <v>2.2399999999999998</v>
      </c>
      <c r="R33" t="s">
        <v>130</v>
      </c>
      <c r="S33" s="15" t="s">
        <v>131</v>
      </c>
      <c r="T33" s="3">
        <f>$O$12*0.7</f>
        <v>288.39999999999998</v>
      </c>
      <c r="U33" s="3">
        <f>$P$12*0.7</f>
        <v>57.4</v>
      </c>
      <c r="V33" s="19">
        <f>$Q$12*0.7</f>
        <v>1.6519999999999999</v>
      </c>
    </row>
    <row r="34" spans="1:22" x14ac:dyDescent="0.3">
      <c r="N34" s="15" t="s">
        <v>122</v>
      </c>
      <c r="O34" s="3">
        <f>47*10</f>
        <v>470</v>
      </c>
      <c r="P34" s="3">
        <f>3.3*10</f>
        <v>33</v>
      </c>
      <c r="Q34" s="19">
        <f>0.1*10</f>
        <v>1</v>
      </c>
      <c r="S34" s="15" t="s">
        <v>114</v>
      </c>
      <c r="T34" s="3">
        <f>47*5</f>
        <v>235</v>
      </c>
      <c r="U34" s="3">
        <f>3.3*5</f>
        <v>16.5</v>
      </c>
      <c r="V34" s="19">
        <f>0.1*5</f>
        <v>0.5</v>
      </c>
    </row>
    <row r="35" spans="1:22" x14ac:dyDescent="0.3">
      <c r="N35" s="15" t="s">
        <v>117</v>
      </c>
      <c r="O35" s="3">
        <f>209*2</f>
        <v>418</v>
      </c>
      <c r="P35" s="3">
        <f>13*2</f>
        <v>26</v>
      </c>
      <c r="Q35" s="19">
        <f>0.22*2</f>
        <v>0.44</v>
      </c>
      <c r="S35" s="15" t="s">
        <v>97</v>
      </c>
      <c r="T35" s="3">
        <f>209*3</f>
        <v>627</v>
      </c>
      <c r="U35" s="3">
        <f>13*3</f>
        <v>39</v>
      </c>
      <c r="V35" s="19">
        <f>0.22*3</f>
        <v>0.66</v>
      </c>
    </row>
    <row r="36" spans="1:22" x14ac:dyDescent="0.3">
      <c r="A36" s="15" t="s">
        <v>136</v>
      </c>
      <c r="B36" s="15" t="s">
        <v>45</v>
      </c>
      <c r="C36" s="15" t="s">
        <v>83</v>
      </c>
      <c r="D36" s="15" t="s">
        <v>40</v>
      </c>
      <c r="N36" s="15" t="s">
        <v>101</v>
      </c>
      <c r="O36" s="3">
        <f>$G$6*1</f>
        <v>257</v>
      </c>
      <c r="P36" s="3">
        <f>$H$6*1</f>
        <v>9.1999999999999993</v>
      </c>
      <c r="Q36" s="19">
        <f>$I$6*1</f>
        <v>0.28000000000000003</v>
      </c>
      <c r="S36" s="15" t="s">
        <v>101</v>
      </c>
      <c r="T36" s="3">
        <f>$G$6*1</f>
        <v>257</v>
      </c>
      <c r="U36" s="3">
        <f>$H$6*1</f>
        <v>9.1999999999999993</v>
      </c>
      <c r="V36" s="19">
        <f>$I$6*1</f>
        <v>0.28000000000000003</v>
      </c>
    </row>
    <row r="37" spans="1:22" x14ac:dyDescent="0.3">
      <c r="A37" s="15" t="s">
        <v>101</v>
      </c>
      <c r="B37" s="3">
        <f>$G$6*1</f>
        <v>257</v>
      </c>
      <c r="C37" s="3">
        <f>$H$6*1</f>
        <v>9.1999999999999993</v>
      </c>
      <c r="D37" s="19">
        <f>$I$6*1</f>
        <v>0.28000000000000003</v>
      </c>
      <c r="N37" s="15" t="s">
        <v>108</v>
      </c>
      <c r="O37" s="3">
        <v>350</v>
      </c>
      <c r="P37" s="3">
        <v>11.5</v>
      </c>
      <c r="Q37" s="19">
        <v>0.13</v>
      </c>
      <c r="S37" s="15" t="s">
        <v>132</v>
      </c>
      <c r="T37" s="3">
        <f>51*2.5</f>
        <v>127.5</v>
      </c>
      <c r="U37" s="3">
        <f>5.3*2.5</f>
        <v>13.25</v>
      </c>
      <c r="V37" s="5">
        <f>0.15*2.5</f>
        <v>0.375</v>
      </c>
    </row>
    <row r="38" spans="1:22" x14ac:dyDescent="0.3">
      <c r="A38" s="15" t="s">
        <v>63</v>
      </c>
      <c r="B38" s="3">
        <f>$G$5</f>
        <v>185</v>
      </c>
      <c r="C38" s="3">
        <v>0</v>
      </c>
      <c r="D38" s="19">
        <f>$I$5</f>
        <v>0.33</v>
      </c>
      <c r="N38" s="15"/>
      <c r="O38" s="3"/>
      <c r="P38" s="3"/>
      <c r="Q38" s="4"/>
      <c r="S38" s="15"/>
      <c r="T38" s="3"/>
      <c r="U38" s="3"/>
      <c r="V38" s="19"/>
    </row>
    <row r="39" spans="1:22" x14ac:dyDescent="0.3">
      <c r="A39" s="15" t="s">
        <v>137</v>
      </c>
      <c r="B39" s="3">
        <f>123*2</f>
        <v>246</v>
      </c>
      <c r="C39" s="3">
        <f>30*2</f>
        <v>60</v>
      </c>
      <c r="D39" s="22">
        <f>1.09*2</f>
        <v>2.1800000000000002</v>
      </c>
      <c r="N39" s="15"/>
      <c r="O39" s="3"/>
      <c r="P39" s="3"/>
      <c r="Q39" s="19"/>
      <c r="S39" s="15"/>
      <c r="T39" s="3"/>
      <c r="U39" s="3"/>
      <c r="V39" s="19"/>
    </row>
    <row r="40" spans="1:22" x14ac:dyDescent="0.3">
      <c r="A40" s="15" t="s">
        <v>140</v>
      </c>
      <c r="B40" s="3">
        <f>240*4</f>
        <v>960</v>
      </c>
      <c r="C40" s="3">
        <f>15*4</f>
        <v>60</v>
      </c>
      <c r="D40" s="19">
        <f>0.26*4</f>
        <v>1.04</v>
      </c>
      <c r="N40" s="15" t="s">
        <v>70</v>
      </c>
      <c r="O40" s="21">
        <f>SUM(O33:O39)</f>
        <v>2007.4</v>
      </c>
      <c r="P40" s="21">
        <f t="shared" ref="P40:Q40" si="12">SUM(P33:P39)</f>
        <v>181.89999999999998</v>
      </c>
      <c r="Q40" s="19">
        <f t="shared" si="12"/>
        <v>4.09</v>
      </c>
      <c r="S40" s="15" t="s">
        <v>70</v>
      </c>
      <c r="T40" s="3">
        <f>SUM(T33:T39)</f>
        <v>1534.9</v>
      </c>
      <c r="U40" s="3">
        <f t="shared" ref="U40:V40" si="13">SUM(U33:U39)</f>
        <v>135.35000000000002</v>
      </c>
      <c r="V40" s="19">
        <f t="shared" si="13"/>
        <v>3.4670000000000005</v>
      </c>
    </row>
    <row r="41" spans="1:22" x14ac:dyDescent="0.3">
      <c r="A41" s="15" t="s">
        <v>138</v>
      </c>
      <c r="B41" s="3">
        <f>51*5</f>
        <v>255</v>
      </c>
      <c r="C41" s="3">
        <f>5.3*5</f>
        <v>26.5</v>
      </c>
      <c r="D41" s="19">
        <f>0.15*5</f>
        <v>0.75</v>
      </c>
      <c r="F41" s="15" t="s">
        <v>106</v>
      </c>
      <c r="G41" s="15" t="s">
        <v>45</v>
      </c>
      <c r="H41" s="15" t="s">
        <v>107</v>
      </c>
      <c r="I41" s="15" t="s">
        <v>40</v>
      </c>
      <c r="S41" s="32"/>
    </row>
    <row r="42" spans="1:22" x14ac:dyDescent="0.3">
      <c r="A42" s="15"/>
      <c r="B42" s="3"/>
      <c r="C42" s="3"/>
      <c r="D42" s="3"/>
      <c r="F42" s="15" t="s">
        <v>105</v>
      </c>
      <c r="G42" s="3">
        <v>348</v>
      </c>
      <c r="H42" s="3">
        <v>9</v>
      </c>
      <c r="I42" s="3">
        <v>0.2</v>
      </c>
      <c r="S42" s="15" t="s">
        <v>133</v>
      </c>
      <c r="T42" s="15" t="s">
        <v>45</v>
      </c>
      <c r="U42" s="15" t="s">
        <v>83</v>
      </c>
      <c r="V42" s="15" t="s">
        <v>87</v>
      </c>
    </row>
    <row r="43" spans="1:22" x14ac:dyDescent="0.3">
      <c r="A43" s="15" t="s">
        <v>134</v>
      </c>
      <c r="B43" s="3">
        <f>SUM(B37:B42)</f>
        <v>1903</v>
      </c>
      <c r="C43" s="3">
        <f>SUM(C37:C42)</f>
        <v>155.69999999999999</v>
      </c>
      <c r="D43" s="19">
        <f>SUM(D37:D42)</f>
        <v>4.58</v>
      </c>
      <c r="F43" s="15" t="s">
        <v>108</v>
      </c>
      <c r="G43" s="3">
        <v>350</v>
      </c>
      <c r="H43" s="3">
        <v>11.5</v>
      </c>
      <c r="I43" s="3">
        <v>0.13</v>
      </c>
      <c r="S43" s="15" t="s">
        <v>117</v>
      </c>
      <c r="T43" s="3">
        <f>209*2</f>
        <v>418</v>
      </c>
      <c r="U43" s="3">
        <f>13*2</f>
        <v>26</v>
      </c>
      <c r="V43" s="19">
        <f>0.22*2</f>
        <v>0.44</v>
      </c>
    </row>
    <row r="44" spans="1:22" x14ac:dyDescent="0.3">
      <c r="S44" s="15" t="s">
        <v>134</v>
      </c>
      <c r="T44" s="3">
        <f>T40+T43</f>
        <v>1952.9</v>
      </c>
      <c r="U44" s="3">
        <f t="shared" ref="U44:V44" si="14">U40+U43</f>
        <v>161.35000000000002</v>
      </c>
      <c r="V44" s="3">
        <f t="shared" si="14"/>
        <v>3.9070000000000005</v>
      </c>
    </row>
    <row r="45" spans="1:22" x14ac:dyDescent="0.3">
      <c r="A45" s="15" t="s">
        <v>147</v>
      </c>
      <c r="B45" s="15" t="s">
        <v>45</v>
      </c>
      <c r="C45" s="15" t="s">
        <v>83</v>
      </c>
      <c r="D45" s="15" t="s">
        <v>87</v>
      </c>
      <c r="F45" s="15" t="s">
        <v>148</v>
      </c>
      <c r="G45" s="15" t="s">
        <v>45</v>
      </c>
      <c r="H45" s="15" t="s">
        <v>83</v>
      </c>
      <c r="I45" s="15" t="s">
        <v>87</v>
      </c>
      <c r="N45" s="15" t="s">
        <v>156</v>
      </c>
      <c r="O45" s="15" t="s">
        <v>45</v>
      </c>
      <c r="P45" s="15" t="s">
        <v>83</v>
      </c>
      <c r="Q45" s="15" t="s">
        <v>40</v>
      </c>
    </row>
    <row r="46" spans="1:22" x14ac:dyDescent="0.3">
      <c r="A46" s="15" t="s">
        <v>131</v>
      </c>
      <c r="B46" s="3">
        <f>$O$12*0.7</f>
        <v>288.39999999999998</v>
      </c>
      <c r="C46" s="3">
        <f>$P$12*0.7</f>
        <v>57.4</v>
      </c>
      <c r="D46" s="19">
        <f>$Q$12*0.7</f>
        <v>1.6519999999999999</v>
      </c>
      <c r="F46" s="15" t="s">
        <v>131</v>
      </c>
      <c r="G46" s="3">
        <f>$O$12*0.7</f>
        <v>288.39999999999998</v>
      </c>
      <c r="H46" s="3">
        <f>$P$12*0.7</f>
        <v>57.4</v>
      </c>
      <c r="I46" s="19">
        <f>$Q$12*0.7</f>
        <v>1.6519999999999999</v>
      </c>
      <c r="N46" s="15" t="s">
        <v>157</v>
      </c>
      <c r="O46" s="3">
        <f>(47*10)/3</f>
        <v>156.66666666666666</v>
      </c>
      <c r="P46" s="3">
        <f>(3.3*10)/3</f>
        <v>11</v>
      </c>
      <c r="Q46" s="19">
        <f>(0.1*10)/3</f>
        <v>0.33333333333333331</v>
      </c>
      <c r="S46" s="15" t="s">
        <v>133</v>
      </c>
      <c r="T46" s="15" t="s">
        <v>45</v>
      </c>
      <c r="U46" s="15" t="s">
        <v>83</v>
      </c>
      <c r="V46" s="15" t="s">
        <v>87</v>
      </c>
    </row>
    <row r="47" spans="1:22" x14ac:dyDescent="0.3">
      <c r="A47" s="15" t="s">
        <v>114</v>
      </c>
      <c r="B47" s="3">
        <f>47*5</f>
        <v>235</v>
      </c>
      <c r="C47" s="3">
        <f>3.3*5</f>
        <v>16.5</v>
      </c>
      <c r="D47" s="19">
        <f>0.1*5</f>
        <v>0.5</v>
      </c>
      <c r="F47" s="15" t="s">
        <v>114</v>
      </c>
      <c r="G47" s="3">
        <f>47*5</f>
        <v>235</v>
      </c>
      <c r="H47" s="3">
        <f>3.3*5</f>
        <v>16.5</v>
      </c>
      <c r="I47" s="19">
        <f>0.1*5</f>
        <v>0.5</v>
      </c>
      <c r="N47" s="15" t="s">
        <v>168</v>
      </c>
      <c r="O47" s="3">
        <f>240*3</f>
        <v>720</v>
      </c>
      <c r="P47" s="3">
        <f>15*3</f>
        <v>45</v>
      </c>
      <c r="Q47" s="19">
        <f>0.26*3</f>
        <v>0.78</v>
      </c>
      <c r="S47" s="15" t="s">
        <v>84</v>
      </c>
      <c r="T47" s="3">
        <f>209*1</f>
        <v>209</v>
      </c>
      <c r="U47" s="3">
        <f>13*1</f>
        <v>13</v>
      </c>
      <c r="V47" s="19">
        <f>0.22*1</f>
        <v>0.22</v>
      </c>
    </row>
    <row r="48" spans="1:22" x14ac:dyDescent="0.3">
      <c r="A48" s="15" t="s">
        <v>142</v>
      </c>
      <c r="B48" s="3">
        <f>240*2</f>
        <v>480</v>
      </c>
      <c r="C48" s="3">
        <f>15*2</f>
        <v>30</v>
      </c>
      <c r="D48" s="19">
        <f>0.26*2</f>
        <v>0.52</v>
      </c>
      <c r="F48" s="15" t="s">
        <v>142</v>
      </c>
      <c r="G48" s="3">
        <f>240*2</f>
        <v>480</v>
      </c>
      <c r="H48" s="3">
        <f>15*2</f>
        <v>30</v>
      </c>
      <c r="I48" s="19">
        <f>0.26*2</f>
        <v>0.52</v>
      </c>
      <c r="N48" s="15" t="s">
        <v>158</v>
      </c>
      <c r="O48" s="3">
        <f>G13*3</f>
        <v>300</v>
      </c>
      <c r="P48" s="3">
        <f>H13*3</f>
        <v>69.900000000000006</v>
      </c>
      <c r="Q48" s="19">
        <f>I13*3</f>
        <v>2.52</v>
      </c>
      <c r="S48" s="15" t="s">
        <v>135</v>
      </c>
      <c r="T48" s="3">
        <f>$G$6*0.5</f>
        <v>128.5</v>
      </c>
      <c r="U48" s="3">
        <f>$H$6*0.5</f>
        <v>4.5999999999999996</v>
      </c>
      <c r="V48" s="4">
        <f>$I$6*0.5</f>
        <v>0.14000000000000001</v>
      </c>
    </row>
    <row r="49" spans="1:22" x14ac:dyDescent="0.3">
      <c r="A49" s="15" t="s">
        <v>101</v>
      </c>
      <c r="B49" s="3">
        <f>$G$6*1</f>
        <v>257</v>
      </c>
      <c r="C49" s="3">
        <f>$H$6*1</f>
        <v>9.1999999999999993</v>
      </c>
      <c r="D49" s="19">
        <f>$I$6*1</f>
        <v>0.28000000000000003</v>
      </c>
      <c r="F49" s="15" t="s">
        <v>101</v>
      </c>
      <c r="G49" s="3">
        <f>$G$6*1</f>
        <v>257</v>
      </c>
      <c r="H49" s="3">
        <f>$H$6*1</f>
        <v>9.1999999999999993</v>
      </c>
      <c r="I49" s="19">
        <f>$I$6*1</f>
        <v>0.28000000000000003</v>
      </c>
      <c r="N49" s="15" t="s">
        <v>138</v>
      </c>
      <c r="O49" s="3">
        <f>51*5</f>
        <v>255</v>
      </c>
      <c r="P49" s="3">
        <f>5.3*5</f>
        <v>26.5</v>
      </c>
      <c r="Q49" s="19">
        <f>0.15*5</f>
        <v>0.75</v>
      </c>
      <c r="S49" s="15" t="s">
        <v>134</v>
      </c>
      <c r="T49" s="3">
        <f>T40+SUM(T47:T48)</f>
        <v>1872.4</v>
      </c>
      <c r="U49" s="3">
        <f t="shared" ref="U49:V49" si="15">U40+SUM(U47:U48)</f>
        <v>152.95000000000002</v>
      </c>
      <c r="V49" s="19">
        <f t="shared" si="15"/>
        <v>3.8270000000000004</v>
      </c>
    </row>
    <row r="50" spans="1:22" x14ac:dyDescent="0.3">
      <c r="A50" s="15" t="s">
        <v>138</v>
      </c>
      <c r="B50" s="3">
        <f>51*5</f>
        <v>255</v>
      </c>
      <c r="C50" s="3">
        <f>5.3*5</f>
        <v>26.5</v>
      </c>
      <c r="D50" s="19">
        <f>0.15*5</f>
        <v>0.75</v>
      </c>
      <c r="F50" s="15"/>
      <c r="G50" s="3"/>
      <c r="H50" s="3"/>
      <c r="I50" s="19"/>
      <c r="N50" s="15" t="s">
        <v>101</v>
      </c>
      <c r="O50" s="3">
        <f>$G$6*1</f>
        <v>257</v>
      </c>
      <c r="P50" s="3">
        <f>$H$6*1</f>
        <v>9.1999999999999993</v>
      </c>
      <c r="Q50" s="19">
        <f>$I$6*1</f>
        <v>0.28000000000000003</v>
      </c>
    </row>
    <row r="51" spans="1:22" x14ac:dyDescent="0.3">
      <c r="A51" s="15"/>
      <c r="B51" s="3"/>
      <c r="C51" s="3"/>
      <c r="D51" s="19"/>
      <c r="F51" s="15"/>
      <c r="G51" s="3"/>
      <c r="H51" s="3"/>
      <c r="I51" s="19"/>
      <c r="N51" s="15" t="s">
        <v>159</v>
      </c>
      <c r="O51" s="3">
        <f>350*2</f>
        <v>700</v>
      </c>
      <c r="P51" s="3">
        <f>11.5*2</f>
        <v>23</v>
      </c>
      <c r="Q51" s="19">
        <f>0.15*2</f>
        <v>0.3</v>
      </c>
    </row>
    <row r="52" spans="1:22" x14ac:dyDescent="0.3">
      <c r="A52" s="15"/>
      <c r="B52" s="3"/>
      <c r="C52" s="3"/>
      <c r="D52" s="19"/>
      <c r="F52" s="15"/>
      <c r="G52" s="3"/>
      <c r="H52" s="3"/>
      <c r="I52" s="19"/>
      <c r="N52" s="15"/>
      <c r="O52" s="3"/>
      <c r="P52" s="3"/>
      <c r="Q52" s="19"/>
    </row>
    <row r="53" spans="1:22" x14ac:dyDescent="0.3">
      <c r="A53" s="15" t="s">
        <v>70</v>
      </c>
      <c r="B53" s="3">
        <f>SUM(B46:B52)</f>
        <v>1515.4</v>
      </c>
      <c r="C53" s="3">
        <f t="shared" ref="C53:D53" si="16">SUM(C46:C52)</f>
        <v>139.60000000000002</v>
      </c>
      <c r="D53" s="19">
        <f t="shared" si="16"/>
        <v>3.702</v>
      </c>
      <c r="F53" s="15" t="s">
        <v>70</v>
      </c>
      <c r="G53" s="3">
        <f>SUM(G46:G52)</f>
        <v>1260.4000000000001</v>
      </c>
      <c r="H53" s="3">
        <f t="shared" ref="H53:I53" si="17">SUM(H46:H52)</f>
        <v>113.10000000000001</v>
      </c>
      <c r="I53" s="19">
        <f t="shared" si="17"/>
        <v>2.952</v>
      </c>
      <c r="N53" s="15" t="s">
        <v>134</v>
      </c>
      <c r="O53" s="3">
        <f>SUM(O46:O52)</f>
        <v>2388.6666666666665</v>
      </c>
      <c r="P53" s="3">
        <f t="shared" ref="P53" si="18">SUM(P46:P52)</f>
        <v>184.6</v>
      </c>
      <c r="Q53" s="19">
        <f>SUM(Q46:Q52)</f>
        <v>4.9633333333333329</v>
      </c>
    </row>
    <row r="55" spans="1:22" x14ac:dyDescent="0.3">
      <c r="A55" s="15" t="s">
        <v>143</v>
      </c>
      <c r="B55" s="15" t="s">
        <v>45</v>
      </c>
      <c r="C55" s="15" t="s">
        <v>83</v>
      </c>
      <c r="D55" s="15" t="s">
        <v>87</v>
      </c>
      <c r="F55" s="15" t="s">
        <v>143</v>
      </c>
      <c r="G55" s="15" t="s">
        <v>45</v>
      </c>
      <c r="H55" s="15" t="s">
        <v>83</v>
      </c>
      <c r="I55" s="15" t="s">
        <v>87</v>
      </c>
      <c r="N55" s="15" t="s">
        <v>156</v>
      </c>
      <c r="O55" s="15" t="s">
        <v>45</v>
      </c>
      <c r="P55" s="15" t="s">
        <v>83</v>
      </c>
      <c r="Q55" s="15" t="s">
        <v>40</v>
      </c>
    </row>
    <row r="56" spans="1:22" x14ac:dyDescent="0.3">
      <c r="A56" s="15"/>
      <c r="B56" s="3"/>
      <c r="C56" s="3"/>
      <c r="D56" s="19"/>
      <c r="F56" s="15" t="s">
        <v>145</v>
      </c>
      <c r="G56" s="3">
        <f>$O$12*0.35</f>
        <v>144.19999999999999</v>
      </c>
      <c r="H56" s="3">
        <f>$P$12*0.35</f>
        <v>28.7</v>
      </c>
      <c r="I56" s="19">
        <f>$Q$12*0.35</f>
        <v>0.82599999999999996</v>
      </c>
      <c r="N56" s="15" t="s">
        <v>114</v>
      </c>
      <c r="O56" s="3">
        <f>(47*5)</f>
        <v>235</v>
      </c>
      <c r="P56" s="3">
        <f>(3.3*5)</f>
        <v>16.5</v>
      </c>
      <c r="Q56" s="19">
        <f>(0.1*5)</f>
        <v>0.5</v>
      </c>
    </row>
    <row r="57" spans="1:22" x14ac:dyDescent="0.3">
      <c r="A57" s="15" t="s">
        <v>108</v>
      </c>
      <c r="B57" s="3">
        <v>350</v>
      </c>
      <c r="C57" s="3">
        <v>11.5</v>
      </c>
      <c r="D57" s="19">
        <v>0.13</v>
      </c>
      <c r="F57" s="15" t="s">
        <v>146</v>
      </c>
      <c r="G57" s="3">
        <f>47*2.5</f>
        <v>117.5</v>
      </c>
      <c r="H57" s="3">
        <f>3.3*2.5</f>
        <v>8.25</v>
      </c>
      <c r="I57" s="19">
        <f>0.1*2.5</f>
        <v>0.25</v>
      </c>
      <c r="N57" s="15" t="s">
        <v>160</v>
      </c>
      <c r="O57" s="3">
        <v>169</v>
      </c>
      <c r="P57" s="3">
        <v>15.4</v>
      </c>
      <c r="Q57" s="5">
        <v>0.47</v>
      </c>
    </row>
    <row r="58" spans="1:22" x14ac:dyDescent="0.3">
      <c r="A58" s="15"/>
      <c r="B58" s="3"/>
      <c r="C58" s="3"/>
      <c r="D58" s="3"/>
      <c r="F58" s="15" t="s">
        <v>108</v>
      </c>
      <c r="G58" s="3">
        <v>350</v>
      </c>
      <c r="H58" s="3">
        <v>11.5</v>
      </c>
      <c r="I58" s="19">
        <v>0.13</v>
      </c>
      <c r="N58" s="15" t="s">
        <v>162</v>
      </c>
      <c r="O58" s="3">
        <f>G13*3</f>
        <v>300</v>
      </c>
      <c r="P58" s="3">
        <f>H13*3</f>
        <v>69.900000000000006</v>
      </c>
      <c r="Q58" s="19">
        <f>I13*3</f>
        <v>2.52</v>
      </c>
    </row>
    <row r="59" spans="1:22" x14ac:dyDescent="0.3">
      <c r="A59" s="15" t="s">
        <v>134</v>
      </c>
      <c r="B59" s="3">
        <f>B53+SUM(B56:B58)</f>
        <v>1865.4</v>
      </c>
      <c r="C59" s="3">
        <f>C53+SUM(C56:C58)</f>
        <v>151.10000000000002</v>
      </c>
      <c r="D59" s="20">
        <f>D53+SUM(D56:D58)</f>
        <v>3.8319999999999999</v>
      </c>
      <c r="F59" s="15" t="s">
        <v>134</v>
      </c>
      <c r="G59" s="3">
        <f>G53+SUM(G56:G58)</f>
        <v>1872.1000000000001</v>
      </c>
      <c r="H59" s="3">
        <f>H53+SUM(H56:H58)</f>
        <v>161.55000000000001</v>
      </c>
      <c r="I59" s="20">
        <f>I53+SUM(I56:I58)</f>
        <v>4.1579999999999995</v>
      </c>
      <c r="N59" s="15" t="s">
        <v>161</v>
      </c>
      <c r="O59" s="3">
        <f>350*2</f>
        <v>700</v>
      </c>
      <c r="P59" s="3">
        <f>7.4*2</f>
        <v>14.8</v>
      </c>
      <c r="Q59" s="19">
        <f>0.2*2</f>
        <v>0.4</v>
      </c>
    </row>
    <row r="60" spans="1:22" x14ac:dyDescent="0.3">
      <c r="N60" s="15"/>
      <c r="O60" s="3"/>
      <c r="P60" s="3"/>
      <c r="Q60" s="19"/>
    </row>
    <row r="61" spans="1:22" x14ac:dyDescent="0.3">
      <c r="A61" s="15" t="s">
        <v>144</v>
      </c>
      <c r="B61" s="15" t="s">
        <v>45</v>
      </c>
      <c r="C61" s="15" t="s">
        <v>83</v>
      </c>
      <c r="D61" s="15" t="s">
        <v>87</v>
      </c>
      <c r="F61" s="15" t="s">
        <v>144</v>
      </c>
      <c r="G61" s="15" t="s">
        <v>45</v>
      </c>
      <c r="H61" s="15" t="s">
        <v>83</v>
      </c>
      <c r="I61" s="15" t="s">
        <v>87</v>
      </c>
      <c r="N61" s="15"/>
      <c r="O61" s="3"/>
      <c r="P61" s="3"/>
      <c r="Q61" s="3"/>
    </row>
    <row r="62" spans="1:22" x14ac:dyDescent="0.3">
      <c r="A62" s="15" t="s">
        <v>141</v>
      </c>
      <c r="B62" s="3">
        <f>240*1</f>
        <v>240</v>
      </c>
      <c r="C62" s="3">
        <f>15*1</f>
        <v>15</v>
      </c>
      <c r="D62" s="19">
        <f>0.26*1</f>
        <v>0.26</v>
      </c>
      <c r="F62" s="15" t="s">
        <v>145</v>
      </c>
      <c r="G62" s="3">
        <f>$O$12*0.35</f>
        <v>144.19999999999999</v>
      </c>
      <c r="H62" s="3">
        <f>$P$12*0.35</f>
        <v>28.7</v>
      </c>
      <c r="I62" s="19">
        <f>$Q$12*0.35</f>
        <v>0.82599999999999996</v>
      </c>
      <c r="N62" s="15" t="s">
        <v>142</v>
      </c>
      <c r="O62" s="3">
        <f>240*2</f>
        <v>480</v>
      </c>
      <c r="P62" s="3">
        <f>15*2</f>
        <v>30</v>
      </c>
      <c r="Q62" s="19">
        <f>0.26*2</f>
        <v>0.52</v>
      </c>
    </row>
    <row r="63" spans="1:22" x14ac:dyDescent="0.3">
      <c r="A63" s="15"/>
      <c r="B63" s="3"/>
      <c r="C63" s="3"/>
      <c r="D63" s="19"/>
      <c r="F63" s="15" t="s">
        <v>146</v>
      </c>
      <c r="G63" s="3">
        <f>47*2.5</f>
        <v>117.5</v>
      </c>
      <c r="H63" s="3">
        <f>3.3*2.5</f>
        <v>8.25</v>
      </c>
      <c r="I63" s="19">
        <f>0.1*2.5</f>
        <v>0.25</v>
      </c>
      <c r="N63" s="15" t="s">
        <v>134</v>
      </c>
      <c r="O63" s="3">
        <f>SUM(O56:O62)</f>
        <v>1884</v>
      </c>
      <c r="P63" s="3">
        <f>SUM(P56:P62)</f>
        <v>146.60000000000002</v>
      </c>
      <c r="Q63" s="19">
        <f>SUM(Q56:Q62)</f>
        <v>4.41</v>
      </c>
    </row>
    <row r="64" spans="1:22" x14ac:dyDescent="0.3">
      <c r="A64" s="15"/>
      <c r="B64" s="3"/>
      <c r="C64" s="3"/>
      <c r="D64" s="3"/>
      <c r="F64" s="15" t="s">
        <v>105</v>
      </c>
      <c r="G64" s="3">
        <v>348</v>
      </c>
      <c r="H64" s="3">
        <v>9</v>
      </c>
      <c r="I64" s="19">
        <v>0.2</v>
      </c>
    </row>
    <row r="65" spans="1:17" x14ac:dyDescent="0.3">
      <c r="A65" s="15" t="s">
        <v>134</v>
      </c>
      <c r="B65" s="3">
        <f>B53+SUM(B62:B64)</f>
        <v>1755.4</v>
      </c>
      <c r="C65" s="3">
        <f t="shared" ref="C65:D65" si="19">C53+SUM(C62:C64)</f>
        <v>154.60000000000002</v>
      </c>
      <c r="D65" s="19">
        <f t="shared" si="19"/>
        <v>3.9619999999999997</v>
      </c>
      <c r="F65" s="15" t="s">
        <v>134</v>
      </c>
      <c r="G65" s="3">
        <f>G53+SUM(G62:G64)</f>
        <v>1870.1000000000001</v>
      </c>
      <c r="H65" s="3">
        <f t="shared" ref="H65" si="20">H53+SUM(H62:H64)</f>
        <v>159.05000000000001</v>
      </c>
      <c r="I65" s="19">
        <f t="shared" ref="I65" si="21">I53+SUM(I62:I64)</f>
        <v>4.2279999999999998</v>
      </c>
      <c r="N65" s="15" t="s">
        <v>164</v>
      </c>
      <c r="O65" s="15" t="s">
        <v>45</v>
      </c>
      <c r="P65" s="15" t="s">
        <v>83</v>
      </c>
      <c r="Q65" s="15" t="s">
        <v>40</v>
      </c>
    </row>
    <row r="66" spans="1:17" x14ac:dyDescent="0.3">
      <c r="N66" s="15" t="s">
        <v>138</v>
      </c>
      <c r="O66" s="3">
        <f>51*5</f>
        <v>255</v>
      </c>
      <c r="P66" s="3">
        <f>5.3*5</f>
        <v>26.5</v>
      </c>
      <c r="Q66" s="19">
        <f>0.15*5</f>
        <v>0.75</v>
      </c>
    </row>
    <row r="67" spans="1:17" x14ac:dyDescent="0.3">
      <c r="A67" s="15" t="s">
        <v>149</v>
      </c>
      <c r="B67" s="15" t="s">
        <v>45</v>
      </c>
      <c r="C67" s="15" t="s">
        <v>83</v>
      </c>
      <c r="D67" s="15" t="s">
        <v>87</v>
      </c>
      <c r="F67" s="15" t="s">
        <v>149</v>
      </c>
      <c r="G67" s="15" t="s">
        <v>45</v>
      </c>
      <c r="H67" s="15" t="s">
        <v>83</v>
      </c>
      <c r="I67" s="15" t="s">
        <v>87</v>
      </c>
      <c r="N67" s="15" t="s">
        <v>101</v>
      </c>
      <c r="O67" s="3">
        <f>$G$6*1</f>
        <v>257</v>
      </c>
      <c r="P67" s="3">
        <f>$H$6*1</f>
        <v>9.1999999999999993</v>
      </c>
      <c r="Q67" s="19">
        <f>$I$6*1</f>
        <v>0.28000000000000003</v>
      </c>
    </row>
    <row r="68" spans="1:17" x14ac:dyDescent="0.3">
      <c r="A68" s="15" t="s">
        <v>150</v>
      </c>
      <c r="B68" s="3">
        <f>68*2</f>
        <v>136</v>
      </c>
      <c r="C68" s="3">
        <f>6.2*2</f>
        <v>12.4</v>
      </c>
      <c r="D68" s="19">
        <f>0.2*2</f>
        <v>0.4</v>
      </c>
      <c r="F68" s="15" t="s">
        <v>145</v>
      </c>
      <c r="G68" s="3">
        <f>$O$12*0.35</f>
        <v>144.19999999999999</v>
      </c>
      <c r="H68" s="3">
        <f>$P$12*0.35</f>
        <v>28.7</v>
      </c>
      <c r="I68" s="19">
        <f>$Q$12*0.35</f>
        <v>0.82599999999999996</v>
      </c>
      <c r="N68" s="15" t="s">
        <v>142</v>
      </c>
      <c r="O68" s="3">
        <f>240*2</f>
        <v>480</v>
      </c>
      <c r="P68" s="3">
        <f>15*2</f>
        <v>30</v>
      </c>
      <c r="Q68" s="19">
        <f>0.26*2</f>
        <v>0.52</v>
      </c>
    </row>
    <row r="69" spans="1:17" x14ac:dyDescent="0.3">
      <c r="A69" s="15"/>
      <c r="B69" s="3"/>
      <c r="C69" s="3"/>
      <c r="D69" s="3"/>
      <c r="F69" s="15" t="s">
        <v>146</v>
      </c>
      <c r="G69" s="3">
        <f>47*2.5</f>
        <v>117.5</v>
      </c>
      <c r="H69" s="3">
        <f>3.3*2.5</f>
        <v>8.25</v>
      </c>
      <c r="I69" s="19">
        <f>0.1*2.5</f>
        <v>0.25</v>
      </c>
      <c r="N69" s="15" t="s">
        <v>165</v>
      </c>
      <c r="O69" s="3">
        <f>G13*2</f>
        <v>200</v>
      </c>
      <c r="P69" s="3">
        <f>H13*2</f>
        <v>46.6</v>
      </c>
      <c r="Q69" s="19">
        <f>I13*2</f>
        <v>1.68</v>
      </c>
    </row>
    <row r="70" spans="1:17" x14ac:dyDescent="0.3">
      <c r="A70" s="15"/>
      <c r="B70" s="3"/>
      <c r="C70" s="3"/>
      <c r="D70" s="3"/>
      <c r="F70" s="15" t="s">
        <v>141</v>
      </c>
      <c r="G70" s="3">
        <f>240*1</f>
        <v>240</v>
      </c>
      <c r="H70" s="3">
        <f>15*1</f>
        <v>15</v>
      </c>
      <c r="I70" s="19">
        <f>0.26*1</f>
        <v>0.26</v>
      </c>
      <c r="N70" s="15" t="s">
        <v>166</v>
      </c>
      <c r="O70" s="3">
        <f>350*1</f>
        <v>350</v>
      </c>
      <c r="P70" s="3">
        <f>7.4*1</f>
        <v>7.4</v>
      </c>
      <c r="Q70" s="19">
        <f>0.2*1</f>
        <v>0.2</v>
      </c>
    </row>
    <row r="71" spans="1:17" x14ac:dyDescent="0.3">
      <c r="A71" s="15" t="s">
        <v>134</v>
      </c>
      <c r="B71" s="3">
        <f>B53+SUM(B68:B70)</f>
        <v>1651.4</v>
      </c>
      <c r="C71" s="3">
        <f t="shared" ref="C71:D71" si="22">C53+SUM(C68:C70)</f>
        <v>152.00000000000003</v>
      </c>
      <c r="D71" s="19">
        <f t="shared" si="22"/>
        <v>4.1020000000000003</v>
      </c>
      <c r="F71" s="15" t="s">
        <v>134</v>
      </c>
      <c r="G71" s="3">
        <f>G53+SUM(G68:G70)</f>
        <v>1762.1000000000001</v>
      </c>
      <c r="H71" s="3">
        <f t="shared" ref="H71:I71" si="23">H53+SUM(H68:H70)</f>
        <v>165.05</v>
      </c>
      <c r="I71" s="19">
        <f t="shared" si="23"/>
        <v>4.2880000000000003</v>
      </c>
      <c r="N71" s="15" t="s">
        <v>160</v>
      </c>
      <c r="O71" s="3">
        <f>169*1</f>
        <v>169</v>
      </c>
      <c r="P71" s="3">
        <f>15.4*1</f>
        <v>15.4</v>
      </c>
      <c r="Q71" s="5">
        <f>0.47*1</f>
        <v>0.47</v>
      </c>
    </row>
    <row r="72" spans="1:17" x14ac:dyDescent="0.3">
      <c r="N72" s="15" t="s">
        <v>167</v>
      </c>
      <c r="O72" s="3">
        <f>136*0.5</f>
        <v>68</v>
      </c>
      <c r="P72" s="3">
        <f>12.4*0.5</f>
        <v>6.2</v>
      </c>
      <c r="Q72" s="5">
        <f>0.49*0.5</f>
        <v>0.245</v>
      </c>
    </row>
    <row r="73" spans="1:17" x14ac:dyDescent="0.3">
      <c r="A73" s="15" t="s">
        <v>151</v>
      </c>
      <c r="B73" s="15" t="s">
        <v>45</v>
      </c>
      <c r="C73" s="15" t="s">
        <v>83</v>
      </c>
      <c r="D73" s="15" t="s">
        <v>87</v>
      </c>
      <c r="N73" s="15" t="s">
        <v>174</v>
      </c>
      <c r="O73" s="3">
        <f>(47*10)/3</f>
        <v>156.66666666666666</v>
      </c>
      <c r="P73" s="3">
        <f>(3.3*10)/3</f>
        <v>11</v>
      </c>
      <c r="Q73" s="19">
        <f>(0.1*10)/3</f>
        <v>0.33333333333333331</v>
      </c>
    </row>
    <row r="74" spans="1:17" x14ac:dyDescent="0.3">
      <c r="A74" s="15" t="s">
        <v>152</v>
      </c>
      <c r="B74" s="3">
        <v>-255</v>
      </c>
      <c r="C74" s="3">
        <v>-26.5</v>
      </c>
      <c r="D74" s="19">
        <v>-0.75</v>
      </c>
      <c r="N74" s="15" t="s">
        <v>134</v>
      </c>
      <c r="O74" s="3">
        <f>SUM(O66:O73)</f>
        <v>1935.6666666666667</v>
      </c>
      <c r="P74" s="3">
        <f>SUM(P66:P73)</f>
        <v>152.30000000000001</v>
      </c>
      <c r="Q74" s="19">
        <f>SUM(Q66:Q73)</f>
        <v>4.4783333333333335</v>
      </c>
    </row>
    <row r="75" spans="1:17" x14ac:dyDescent="0.3">
      <c r="A75" s="15" t="s">
        <v>142</v>
      </c>
      <c r="B75" s="3">
        <f>240*2</f>
        <v>480</v>
      </c>
      <c r="C75" s="3">
        <f>15*2</f>
        <v>30</v>
      </c>
      <c r="D75" s="19">
        <f>0.26*2</f>
        <v>0.52</v>
      </c>
    </row>
    <row r="76" spans="1:17" x14ac:dyDescent="0.3">
      <c r="A76" s="15" t="s">
        <v>154</v>
      </c>
      <c r="B76" s="3">
        <f>G16*1</f>
        <v>169</v>
      </c>
      <c r="C76" s="3">
        <f t="shared" ref="C76:D76" si="24">H16*1</f>
        <v>15.4</v>
      </c>
      <c r="D76" s="19">
        <f t="shared" si="24"/>
        <v>0.47</v>
      </c>
    </row>
    <row r="77" spans="1:17" x14ac:dyDescent="0.3">
      <c r="A77" s="15" t="s">
        <v>134</v>
      </c>
      <c r="B77" s="3">
        <f>B53+SUM(B74:B76)</f>
        <v>1909.4</v>
      </c>
      <c r="C77" s="3">
        <f t="shared" ref="C77:D77" si="25">C53+SUM(C74:C76)</f>
        <v>158.50000000000003</v>
      </c>
      <c r="D77" s="19">
        <f t="shared" si="25"/>
        <v>3.9420000000000002</v>
      </c>
    </row>
    <row r="80" spans="1:17" x14ac:dyDescent="0.3">
      <c r="A80" s="15" t="s">
        <v>173</v>
      </c>
      <c r="B80" s="15" t="s">
        <v>45</v>
      </c>
      <c r="C80" s="15" t="s">
        <v>83</v>
      </c>
      <c r="D80" s="15" t="s">
        <v>87</v>
      </c>
      <c r="F80" s="15" t="s">
        <v>177</v>
      </c>
      <c r="G80" s="15" t="s">
        <v>45</v>
      </c>
      <c r="H80" s="15" t="s">
        <v>83</v>
      </c>
      <c r="I80" s="15" t="s">
        <v>87</v>
      </c>
    </row>
    <row r="81" spans="1:9" x14ac:dyDescent="0.3">
      <c r="A81" s="36" t="s">
        <v>174</v>
      </c>
      <c r="B81" s="3">
        <f>(47*10)/3</f>
        <v>156.66666666666666</v>
      </c>
      <c r="C81" s="3">
        <f>(3.3*10)/3</f>
        <v>11</v>
      </c>
      <c r="D81" s="19">
        <f>(0.1*10)/3</f>
        <v>0.33333333333333331</v>
      </c>
      <c r="F81" s="36" t="s">
        <v>174</v>
      </c>
      <c r="G81" s="3">
        <f>(47*10)/3</f>
        <v>156.66666666666666</v>
      </c>
      <c r="H81" s="3">
        <f>(3.3*10)/3</f>
        <v>11</v>
      </c>
      <c r="I81" s="19">
        <f>(0.1*10)/3</f>
        <v>0.33333333333333331</v>
      </c>
    </row>
    <row r="82" spans="1:9" x14ac:dyDescent="0.3">
      <c r="A82" s="36" t="s">
        <v>138</v>
      </c>
      <c r="B82" s="3">
        <f>51*5</f>
        <v>255</v>
      </c>
      <c r="C82" s="3">
        <f>5.3*5</f>
        <v>26.5</v>
      </c>
      <c r="D82" s="19">
        <f>0.15*5</f>
        <v>0.75</v>
      </c>
      <c r="F82" s="36" t="s">
        <v>138</v>
      </c>
      <c r="G82" s="3">
        <f>51*5</f>
        <v>255</v>
      </c>
      <c r="H82" s="3">
        <f>5.3*5</f>
        <v>26.5</v>
      </c>
      <c r="I82" s="19">
        <f>0.15*5</f>
        <v>0.75</v>
      </c>
    </row>
    <row r="83" spans="1:9" x14ac:dyDescent="0.3">
      <c r="A83" s="15" t="s">
        <v>101</v>
      </c>
      <c r="B83" s="3">
        <f>$G$6*1</f>
        <v>257</v>
      </c>
      <c r="C83" s="3">
        <f>$H$6*1</f>
        <v>9.1999999999999993</v>
      </c>
      <c r="D83" s="19">
        <f>$I$6*1</f>
        <v>0.28000000000000003</v>
      </c>
      <c r="F83" s="15" t="s">
        <v>101</v>
      </c>
      <c r="G83" s="3">
        <f>$G$6*1</f>
        <v>257</v>
      </c>
      <c r="H83" s="3">
        <f>$H$6*1</f>
        <v>9.1999999999999993</v>
      </c>
      <c r="I83" s="19">
        <f>$I$6*1</f>
        <v>0.28000000000000003</v>
      </c>
    </row>
    <row r="84" spans="1:9" x14ac:dyDescent="0.3">
      <c r="A84" s="15" t="s">
        <v>168</v>
      </c>
      <c r="B84" s="3">
        <f>240*3</f>
        <v>720</v>
      </c>
      <c r="C84" s="3">
        <f>15*3</f>
        <v>45</v>
      </c>
      <c r="D84" s="19">
        <f>0.26*3</f>
        <v>0.78</v>
      </c>
      <c r="F84" s="15" t="s">
        <v>168</v>
      </c>
      <c r="G84" s="3">
        <f>240*3</f>
        <v>720</v>
      </c>
      <c r="H84" s="3">
        <f>15*3</f>
        <v>45</v>
      </c>
      <c r="I84" s="19">
        <f>0.26*3</f>
        <v>0.78</v>
      </c>
    </row>
    <row r="85" spans="1:9" x14ac:dyDescent="0.3">
      <c r="A85" s="37" t="s">
        <v>165</v>
      </c>
      <c r="B85" s="3">
        <f>100*2</f>
        <v>200</v>
      </c>
      <c r="C85" s="3">
        <f>23.3*2</f>
        <v>46.6</v>
      </c>
      <c r="D85" s="19">
        <f>0.84*2</f>
        <v>1.68</v>
      </c>
      <c r="F85" s="37" t="s">
        <v>178</v>
      </c>
      <c r="G85" s="3">
        <f>123*1</f>
        <v>123</v>
      </c>
      <c r="H85" s="3">
        <f>30*1</f>
        <v>30</v>
      </c>
      <c r="I85" s="19">
        <f>1.09*1</f>
        <v>1.0900000000000001</v>
      </c>
    </row>
    <row r="86" spans="1:9" x14ac:dyDescent="0.3">
      <c r="A86" s="37" t="s">
        <v>176</v>
      </c>
      <c r="B86" s="3">
        <f>1*331</f>
        <v>331</v>
      </c>
      <c r="C86" s="3">
        <f>1*19</f>
        <v>19</v>
      </c>
      <c r="D86" s="5">
        <f>1*0.83</f>
        <v>0.83</v>
      </c>
      <c r="F86" s="37" t="s">
        <v>176</v>
      </c>
      <c r="G86" s="3">
        <f>1*331</f>
        <v>331</v>
      </c>
      <c r="H86" s="3">
        <f>1*19</f>
        <v>19</v>
      </c>
      <c r="I86" s="5">
        <f>1*0.83</f>
        <v>0.83</v>
      </c>
    </row>
    <row r="87" spans="1:9" x14ac:dyDescent="0.3">
      <c r="A87" s="15"/>
      <c r="B87" s="3"/>
      <c r="C87" s="3"/>
      <c r="D87" s="19"/>
      <c r="F87" s="37" t="s">
        <v>180</v>
      </c>
      <c r="G87" s="21">
        <f>49*2</f>
        <v>98</v>
      </c>
      <c r="H87" s="21">
        <f>5.5*2</f>
        <v>11</v>
      </c>
      <c r="I87" s="5">
        <f>0.35*2</f>
        <v>0.7</v>
      </c>
    </row>
    <row r="88" spans="1:9" x14ac:dyDescent="0.3">
      <c r="A88" s="15"/>
      <c r="B88" s="3"/>
      <c r="C88" s="3"/>
      <c r="D88" s="19"/>
      <c r="F88" s="15"/>
      <c r="G88" s="3"/>
      <c r="H88" s="3"/>
      <c r="I88" s="19"/>
    </row>
    <row r="89" spans="1:9" x14ac:dyDescent="0.3">
      <c r="A89" s="15"/>
      <c r="B89" s="3"/>
      <c r="C89" s="3"/>
      <c r="D89" s="19"/>
      <c r="F89" s="15"/>
      <c r="G89" s="3"/>
      <c r="H89" s="3"/>
      <c r="I89" s="19"/>
    </row>
    <row r="90" spans="1:9" x14ac:dyDescent="0.3">
      <c r="A90" s="15"/>
      <c r="B90" s="3"/>
      <c r="C90" s="3"/>
      <c r="D90" s="19"/>
      <c r="F90" s="15"/>
      <c r="G90" s="3"/>
      <c r="H90" s="3"/>
      <c r="I90" s="19"/>
    </row>
    <row r="91" spans="1:9" x14ac:dyDescent="0.3">
      <c r="A91" s="15" t="s">
        <v>134</v>
      </c>
      <c r="B91" s="17">
        <f>SUM(B81:B90)</f>
        <v>1919.6666666666665</v>
      </c>
      <c r="C91" s="17">
        <f t="shared" ref="C91:D91" si="26">SUM(C81:C90)</f>
        <v>157.30000000000001</v>
      </c>
      <c r="D91" s="35">
        <f t="shared" si="26"/>
        <v>4.6533333333333333</v>
      </c>
      <c r="F91" s="15" t="s">
        <v>134</v>
      </c>
      <c r="G91" s="17">
        <f>SUM(G81:G90)</f>
        <v>1940.6666666666665</v>
      </c>
      <c r="H91" s="17">
        <f t="shared" ref="H91" si="27">SUM(H81:H90)</f>
        <v>151.69999999999999</v>
      </c>
      <c r="I91" s="35">
        <f t="shared" ref="I91" si="28">SUM(I81:I90)</f>
        <v>4.7633333333333336</v>
      </c>
    </row>
    <row r="93" spans="1:9" x14ac:dyDescent="0.3">
      <c r="A93" s="15" t="s">
        <v>173</v>
      </c>
      <c r="B93" s="15" t="s">
        <v>45</v>
      </c>
      <c r="C93" s="15" t="s">
        <v>83</v>
      </c>
      <c r="D93" s="15" t="s">
        <v>87</v>
      </c>
      <c r="F93" s="15" t="s">
        <v>177</v>
      </c>
      <c r="G93" s="15" t="s">
        <v>45</v>
      </c>
      <c r="H93" s="15" t="s">
        <v>83</v>
      </c>
      <c r="I93" s="15" t="s">
        <v>87</v>
      </c>
    </row>
    <row r="94" spans="1:9" x14ac:dyDescent="0.3">
      <c r="A94" s="36" t="s">
        <v>174</v>
      </c>
      <c r="B94" s="3">
        <f>(47*10)/3</f>
        <v>156.66666666666666</v>
      </c>
      <c r="C94" s="3">
        <f>(3.3*10)/3</f>
        <v>11</v>
      </c>
      <c r="D94" s="19">
        <f>(0.1*10)/3</f>
        <v>0.33333333333333331</v>
      </c>
      <c r="F94" s="36" t="s">
        <v>174</v>
      </c>
      <c r="G94" s="3">
        <f>(47*10)/3</f>
        <v>156.66666666666666</v>
      </c>
      <c r="H94" s="3">
        <f>(3.3*10)/3</f>
        <v>11</v>
      </c>
      <c r="I94" s="19">
        <f>(0.1*10)/3</f>
        <v>0.33333333333333331</v>
      </c>
    </row>
    <row r="95" spans="1:9" x14ac:dyDescent="0.3">
      <c r="A95" s="36" t="s">
        <v>138</v>
      </c>
      <c r="B95" s="3">
        <f>51*5</f>
        <v>255</v>
      </c>
      <c r="C95" s="3">
        <f>5.3*5</f>
        <v>26.5</v>
      </c>
      <c r="D95" s="19">
        <f>0.15*5</f>
        <v>0.75</v>
      </c>
      <c r="F95" s="36" t="s">
        <v>138</v>
      </c>
      <c r="G95" s="3">
        <f>51*5</f>
        <v>255</v>
      </c>
      <c r="H95" s="3">
        <f>5.3*5</f>
        <v>26.5</v>
      </c>
      <c r="I95" s="19">
        <f>0.15*5</f>
        <v>0.75</v>
      </c>
    </row>
    <row r="96" spans="1:9" x14ac:dyDescent="0.3">
      <c r="A96" s="15" t="s">
        <v>101</v>
      </c>
      <c r="B96" s="3">
        <f>$G$6*1</f>
        <v>257</v>
      </c>
      <c r="C96" s="3">
        <f>$H$6*1</f>
        <v>9.1999999999999993</v>
      </c>
      <c r="D96" s="19">
        <f>$I$6*1</f>
        <v>0.28000000000000003</v>
      </c>
      <c r="F96" s="15" t="s">
        <v>101</v>
      </c>
      <c r="G96" s="3">
        <f>$G$6*1</f>
        <v>257</v>
      </c>
      <c r="H96" s="3">
        <f>$H$6*1</f>
        <v>9.1999999999999993</v>
      </c>
      <c r="I96" s="19">
        <f>$I$6*1</f>
        <v>0.28000000000000003</v>
      </c>
    </row>
    <row r="97" spans="1:9" x14ac:dyDescent="0.3">
      <c r="A97" s="15" t="s">
        <v>168</v>
      </c>
      <c r="B97" s="3">
        <f>240*3</f>
        <v>720</v>
      </c>
      <c r="C97" s="3">
        <f>15*3</f>
        <v>45</v>
      </c>
      <c r="D97" s="19">
        <f>0.26*3</f>
        <v>0.78</v>
      </c>
      <c r="F97" s="15" t="s">
        <v>168</v>
      </c>
      <c r="G97" s="3">
        <f>240*3</f>
        <v>720</v>
      </c>
      <c r="H97" s="3">
        <f>15*3</f>
        <v>45</v>
      </c>
      <c r="I97" s="19">
        <f>0.26*3</f>
        <v>0.78</v>
      </c>
    </row>
    <row r="98" spans="1:9" x14ac:dyDescent="0.3">
      <c r="A98" s="37" t="s">
        <v>165</v>
      </c>
      <c r="B98" s="3">
        <f>100*2</f>
        <v>200</v>
      </c>
      <c r="C98" s="3">
        <f>23.3*2</f>
        <v>46.6</v>
      </c>
      <c r="D98" s="19">
        <f>0.84*2</f>
        <v>1.68</v>
      </c>
      <c r="F98" s="37" t="s">
        <v>178</v>
      </c>
      <c r="G98" s="3">
        <f>123*1</f>
        <v>123</v>
      </c>
      <c r="H98" s="3">
        <f>30*1</f>
        <v>30</v>
      </c>
      <c r="I98" s="19">
        <f>1.09*1</f>
        <v>1.0900000000000001</v>
      </c>
    </row>
    <row r="99" spans="1:9" x14ac:dyDescent="0.3">
      <c r="A99" s="37" t="s">
        <v>181</v>
      </c>
      <c r="B99" s="3">
        <f>169*1.4</f>
        <v>236.6</v>
      </c>
      <c r="C99" s="3">
        <f>15.4*1.4</f>
        <v>21.56</v>
      </c>
      <c r="D99" s="5">
        <f>0.47*1.4</f>
        <v>0.65799999999999992</v>
      </c>
      <c r="F99" s="37" t="s">
        <v>184</v>
      </c>
      <c r="G99" s="3">
        <f>315*1.25</f>
        <v>393.75</v>
      </c>
      <c r="H99" s="3">
        <f>22*1.25</f>
        <v>27.5</v>
      </c>
      <c r="I99" s="5">
        <f>0.9*1.25</f>
        <v>1.125</v>
      </c>
    </row>
    <row r="100" spans="1:9" x14ac:dyDescent="0.3">
      <c r="A100" s="15"/>
      <c r="B100" s="3"/>
      <c r="C100" s="3"/>
      <c r="D100" s="19"/>
      <c r="F100" s="37" t="s">
        <v>179</v>
      </c>
      <c r="G100" s="21">
        <v>49</v>
      </c>
      <c r="H100" s="21">
        <v>5.5</v>
      </c>
      <c r="I100" s="5">
        <v>0.35</v>
      </c>
    </row>
    <row r="101" spans="1:9" x14ac:dyDescent="0.3">
      <c r="A101" s="15"/>
      <c r="B101" s="3"/>
      <c r="C101" s="3"/>
      <c r="D101" s="19"/>
      <c r="F101" s="15"/>
      <c r="G101" s="3"/>
      <c r="H101" s="3"/>
      <c r="I101" s="19"/>
    </row>
    <row r="102" spans="1:9" x14ac:dyDescent="0.3">
      <c r="A102" s="15"/>
      <c r="B102" s="3"/>
      <c r="C102" s="3"/>
      <c r="D102" s="19"/>
      <c r="F102" s="15"/>
      <c r="G102" s="3"/>
      <c r="H102" s="3"/>
      <c r="I102" s="19"/>
    </row>
    <row r="103" spans="1:9" x14ac:dyDescent="0.3">
      <c r="A103" s="15"/>
      <c r="B103" s="3"/>
      <c r="C103" s="3"/>
      <c r="D103" s="19"/>
      <c r="F103" s="15"/>
      <c r="G103" s="3"/>
      <c r="H103" s="3"/>
      <c r="I103" s="19"/>
    </row>
    <row r="104" spans="1:9" x14ac:dyDescent="0.3">
      <c r="A104" s="15" t="s">
        <v>134</v>
      </c>
      <c r="B104" s="17">
        <f>SUM(B94:B103)</f>
        <v>1825.2666666666664</v>
      </c>
      <c r="C104" s="17">
        <f t="shared" ref="C104:D104" si="29">SUM(C94:C103)</f>
        <v>159.86000000000001</v>
      </c>
      <c r="D104" s="35">
        <f t="shared" si="29"/>
        <v>4.4813333333333336</v>
      </c>
      <c r="F104" s="15" t="s">
        <v>134</v>
      </c>
      <c r="G104" s="17">
        <f>SUM(G94:G103)</f>
        <v>1954.4166666666665</v>
      </c>
      <c r="H104" s="17">
        <f t="shared" ref="H104:I104" si="30">SUM(H94:H103)</f>
        <v>154.69999999999999</v>
      </c>
      <c r="I104" s="35">
        <f t="shared" si="30"/>
        <v>4.708333333333333</v>
      </c>
    </row>
    <row r="106" spans="1:9" x14ac:dyDescent="0.3">
      <c r="A106" s="15" t="s">
        <v>173</v>
      </c>
      <c r="B106" s="15" t="s">
        <v>45</v>
      </c>
      <c r="C106" s="15" t="s">
        <v>83</v>
      </c>
      <c r="D106" s="15" t="s">
        <v>87</v>
      </c>
      <c r="F106" s="15" t="s">
        <v>177</v>
      </c>
      <c r="G106" s="15" t="s">
        <v>45</v>
      </c>
      <c r="H106" s="15" t="s">
        <v>83</v>
      </c>
      <c r="I106" s="15" t="s">
        <v>87</v>
      </c>
    </row>
    <row r="107" spans="1:9" x14ac:dyDescent="0.3">
      <c r="A107" s="36" t="s">
        <v>174</v>
      </c>
      <c r="B107" s="3">
        <f>(47*10)/3</f>
        <v>156.66666666666666</v>
      </c>
      <c r="C107" s="3">
        <f>(3.3*10)/3</f>
        <v>11</v>
      </c>
      <c r="D107" s="19">
        <f>(0.1*10)/3</f>
        <v>0.33333333333333331</v>
      </c>
      <c r="F107" s="36" t="s">
        <v>174</v>
      </c>
      <c r="G107" s="3">
        <f>(47*10)/3</f>
        <v>156.66666666666666</v>
      </c>
      <c r="H107" s="3">
        <f>(3.3*10)/3</f>
        <v>11</v>
      </c>
      <c r="I107" s="19">
        <f>(0.1*10)/3</f>
        <v>0.33333333333333331</v>
      </c>
    </row>
    <row r="108" spans="1:9" x14ac:dyDescent="0.3">
      <c r="A108" s="36" t="s">
        <v>138</v>
      </c>
      <c r="B108" s="3">
        <f>51*5</f>
        <v>255</v>
      </c>
      <c r="C108" s="3">
        <f>5.3*5</f>
        <v>26.5</v>
      </c>
      <c r="D108" s="19">
        <f>0.15*5</f>
        <v>0.75</v>
      </c>
      <c r="F108" s="36" t="s">
        <v>138</v>
      </c>
      <c r="G108" s="3">
        <f>51*5</f>
        <v>255</v>
      </c>
      <c r="H108" s="3">
        <f>5.3*5</f>
        <v>26.5</v>
      </c>
      <c r="I108" s="19">
        <f>0.15*5</f>
        <v>0.75</v>
      </c>
    </row>
    <row r="109" spans="1:9" x14ac:dyDescent="0.3">
      <c r="A109" s="15" t="s">
        <v>101</v>
      </c>
      <c r="B109" s="3">
        <f>$G$6*1</f>
        <v>257</v>
      </c>
      <c r="C109" s="3">
        <f>$H$6*1</f>
        <v>9.1999999999999993</v>
      </c>
      <c r="D109" s="19">
        <f>$I$6*1</f>
        <v>0.28000000000000003</v>
      </c>
      <c r="F109" s="15" t="s">
        <v>101</v>
      </c>
      <c r="G109" s="3">
        <f>$G$6*1</f>
        <v>257</v>
      </c>
      <c r="H109" s="3">
        <f>$H$6*1</f>
        <v>9.1999999999999993</v>
      </c>
      <c r="I109" s="19">
        <f>$I$6*1</f>
        <v>0.28000000000000003</v>
      </c>
    </row>
    <row r="110" spans="1:9" x14ac:dyDescent="0.3">
      <c r="A110" s="15" t="s">
        <v>168</v>
      </c>
      <c r="B110" s="3">
        <f>240*3</f>
        <v>720</v>
      </c>
      <c r="C110" s="3">
        <f>15*3</f>
        <v>45</v>
      </c>
      <c r="D110" s="19">
        <f>0.26*3</f>
        <v>0.78</v>
      </c>
      <c r="F110" s="15" t="s">
        <v>168</v>
      </c>
      <c r="G110" s="3">
        <f>240*3</f>
        <v>720</v>
      </c>
      <c r="H110" s="3">
        <f>15*3</f>
        <v>45</v>
      </c>
      <c r="I110" s="19">
        <f>0.26*3</f>
        <v>0.78</v>
      </c>
    </row>
    <row r="111" spans="1:9" x14ac:dyDescent="0.3">
      <c r="A111" s="37" t="s">
        <v>165</v>
      </c>
      <c r="B111" s="3">
        <f>100*2</f>
        <v>200</v>
      </c>
      <c r="C111" s="3">
        <f>23.3*2</f>
        <v>46.6</v>
      </c>
      <c r="D111" s="19">
        <f>0.84*2</f>
        <v>1.68</v>
      </c>
      <c r="F111" s="37" t="s">
        <v>178</v>
      </c>
      <c r="G111" s="3">
        <f>123*1</f>
        <v>123</v>
      </c>
      <c r="H111" s="3">
        <f>30*1</f>
        <v>30</v>
      </c>
      <c r="I111" s="19">
        <f>1.09*1</f>
        <v>1.0900000000000001</v>
      </c>
    </row>
    <row r="112" spans="1:9" x14ac:dyDescent="0.3">
      <c r="A112" s="37" t="s">
        <v>185</v>
      </c>
      <c r="B112" s="3">
        <f>315*0.625</f>
        <v>196.875</v>
      </c>
      <c r="C112" s="3">
        <f>22*0.625</f>
        <v>13.75</v>
      </c>
      <c r="D112" s="5">
        <f>0.9*0.625</f>
        <v>0.5625</v>
      </c>
      <c r="F112" s="37" t="s">
        <v>138</v>
      </c>
      <c r="G112" s="3">
        <f>51*5</f>
        <v>255</v>
      </c>
      <c r="H112" s="3">
        <f>5.3*5</f>
        <v>26.5</v>
      </c>
      <c r="I112" s="19">
        <f>0.15*5</f>
        <v>0.75</v>
      </c>
    </row>
    <row r="113" spans="1:9" x14ac:dyDescent="0.3">
      <c r="A113" s="15"/>
      <c r="B113" s="3"/>
      <c r="C113" s="3"/>
      <c r="D113" s="19"/>
      <c r="F113" s="37" t="s">
        <v>185</v>
      </c>
      <c r="G113" s="3">
        <f>315*0.625</f>
        <v>196.875</v>
      </c>
      <c r="H113" s="3">
        <f>22*0.625</f>
        <v>13.75</v>
      </c>
      <c r="I113" s="5">
        <f>0.9*0.625</f>
        <v>0.5625</v>
      </c>
    </row>
    <row r="114" spans="1:9" x14ac:dyDescent="0.3">
      <c r="A114" s="15"/>
      <c r="B114" s="3"/>
      <c r="C114" s="3"/>
      <c r="D114" s="19"/>
      <c r="F114" s="15"/>
      <c r="G114" s="3"/>
      <c r="H114" s="3"/>
      <c r="I114" s="19"/>
    </row>
    <row r="115" spans="1:9" x14ac:dyDescent="0.3">
      <c r="A115" s="15"/>
      <c r="B115" s="3"/>
      <c r="C115" s="3"/>
      <c r="D115" s="19"/>
      <c r="F115" s="15"/>
      <c r="G115" s="3"/>
      <c r="H115" s="3"/>
      <c r="I115" s="19"/>
    </row>
    <row r="116" spans="1:9" x14ac:dyDescent="0.3">
      <c r="A116" s="15"/>
      <c r="B116" s="3"/>
      <c r="C116" s="3"/>
      <c r="D116" s="19"/>
      <c r="F116" s="15"/>
      <c r="G116" s="3"/>
      <c r="H116" s="3"/>
      <c r="I116" s="19"/>
    </row>
    <row r="117" spans="1:9" x14ac:dyDescent="0.3">
      <c r="A117" s="15" t="s">
        <v>134</v>
      </c>
      <c r="B117" s="17">
        <f>SUM(B107:B116)</f>
        <v>1785.5416666666665</v>
      </c>
      <c r="C117" s="17">
        <f t="shared" ref="C117:D117" si="31">SUM(C107:C116)</f>
        <v>152.05000000000001</v>
      </c>
      <c r="D117" s="35">
        <f t="shared" si="31"/>
        <v>4.3858333333333333</v>
      </c>
      <c r="F117" s="15" t="s">
        <v>134</v>
      </c>
      <c r="G117" s="17">
        <f>SUM(G107:G116)</f>
        <v>1963.5416666666665</v>
      </c>
      <c r="H117" s="17">
        <f t="shared" ref="H117:I117" si="32">SUM(H107:H116)</f>
        <v>161.94999999999999</v>
      </c>
      <c r="I117" s="35">
        <f t="shared" si="32"/>
        <v>4.5458333333333334</v>
      </c>
    </row>
    <row r="119" spans="1:9" x14ac:dyDescent="0.3">
      <c r="A119" s="15" t="s">
        <v>173</v>
      </c>
      <c r="B119" s="15" t="s">
        <v>45</v>
      </c>
      <c r="C119" s="15" t="s">
        <v>83</v>
      </c>
      <c r="D119" s="15" t="s">
        <v>87</v>
      </c>
      <c r="F119" s="15" t="s">
        <v>177</v>
      </c>
      <c r="G119" s="15" t="s">
        <v>45</v>
      </c>
      <c r="H119" s="15" t="s">
        <v>83</v>
      </c>
      <c r="I119" s="15" t="s">
        <v>87</v>
      </c>
    </row>
    <row r="120" spans="1:9" x14ac:dyDescent="0.3">
      <c r="A120" s="36" t="s">
        <v>174</v>
      </c>
      <c r="B120" s="3">
        <f>(47*10)/3</f>
        <v>156.66666666666666</v>
      </c>
      <c r="C120" s="3">
        <f>(3.3*10)/3</f>
        <v>11</v>
      </c>
      <c r="D120" s="19">
        <f>(0.1*10)/3</f>
        <v>0.33333333333333331</v>
      </c>
      <c r="F120" s="36" t="s">
        <v>174</v>
      </c>
      <c r="G120" s="3">
        <f>(47*10)/3</f>
        <v>156.66666666666666</v>
      </c>
      <c r="H120" s="3">
        <f>(3.3*10)/3</f>
        <v>11</v>
      </c>
      <c r="I120" s="19">
        <f>(0.1*10)/3</f>
        <v>0.33333333333333331</v>
      </c>
    </row>
    <row r="121" spans="1:9" x14ac:dyDescent="0.3">
      <c r="A121" s="36" t="s">
        <v>138</v>
      </c>
      <c r="B121" s="3">
        <f>51*5</f>
        <v>255</v>
      </c>
      <c r="C121" s="3">
        <f>5.3*5</f>
        <v>26.5</v>
      </c>
      <c r="D121" s="19">
        <f>0.15*5</f>
        <v>0.75</v>
      </c>
      <c r="F121" s="36" t="s">
        <v>138</v>
      </c>
      <c r="G121" s="3">
        <f>51*5</f>
        <v>255</v>
      </c>
      <c r="H121" s="3">
        <f>5.3*5</f>
        <v>26.5</v>
      </c>
      <c r="I121" s="19">
        <f>0.15*5</f>
        <v>0.75</v>
      </c>
    </row>
    <row r="122" spans="1:9" x14ac:dyDescent="0.3">
      <c r="A122" s="15" t="s">
        <v>101</v>
      </c>
      <c r="B122" s="3">
        <f>$G$6*1</f>
        <v>257</v>
      </c>
      <c r="C122" s="3">
        <f>$H$6*1</f>
        <v>9.1999999999999993</v>
      </c>
      <c r="D122" s="19">
        <f>$I$6*1</f>
        <v>0.28000000000000003</v>
      </c>
      <c r="F122" s="15" t="s">
        <v>101</v>
      </c>
      <c r="G122" s="3">
        <f>$G$6*1</f>
        <v>257</v>
      </c>
      <c r="H122" s="3">
        <f>$H$6*1</f>
        <v>9.1999999999999993</v>
      </c>
      <c r="I122" s="19">
        <f>$I$6*1</f>
        <v>0.28000000000000003</v>
      </c>
    </row>
    <row r="123" spans="1:9" x14ac:dyDescent="0.3">
      <c r="A123" s="15" t="s">
        <v>168</v>
      </c>
      <c r="B123" s="3">
        <f>240*3</f>
        <v>720</v>
      </c>
      <c r="C123" s="3">
        <f>15*3</f>
        <v>45</v>
      </c>
      <c r="D123" s="19">
        <f>0.26*3</f>
        <v>0.78</v>
      </c>
      <c r="F123" s="15" t="s">
        <v>168</v>
      </c>
      <c r="G123" s="3">
        <f>240*3</f>
        <v>720</v>
      </c>
      <c r="H123" s="3">
        <f>15*3</f>
        <v>45</v>
      </c>
      <c r="I123" s="19">
        <f>0.26*3</f>
        <v>0.78</v>
      </c>
    </row>
    <row r="124" spans="1:9" x14ac:dyDescent="0.3">
      <c r="A124" s="37" t="s">
        <v>165</v>
      </c>
      <c r="B124" s="3">
        <f>100*2</f>
        <v>200</v>
      </c>
      <c r="C124" s="3">
        <f>23.3*2</f>
        <v>46.6</v>
      </c>
      <c r="D124" s="19">
        <f>0.84*2</f>
        <v>1.68</v>
      </c>
      <c r="F124" s="37" t="s">
        <v>141</v>
      </c>
      <c r="G124" s="3">
        <f>240*1</f>
        <v>240</v>
      </c>
      <c r="H124" s="3">
        <f>15*1</f>
        <v>15</v>
      </c>
      <c r="I124" s="19">
        <f>0.26*2</f>
        <v>0.52</v>
      </c>
    </row>
    <row r="125" spans="1:9" x14ac:dyDescent="0.3">
      <c r="A125" s="37" t="s">
        <v>138</v>
      </c>
      <c r="B125" s="3">
        <f>51*5</f>
        <v>255</v>
      </c>
      <c r="C125" s="3">
        <f>5.3*5</f>
        <v>26.5</v>
      </c>
      <c r="D125" s="19">
        <f>0.15*5</f>
        <v>0.75</v>
      </c>
      <c r="F125" s="37" t="s">
        <v>178</v>
      </c>
      <c r="G125" s="3">
        <f>123*1</f>
        <v>123</v>
      </c>
      <c r="H125" s="3">
        <f>30*1</f>
        <v>30</v>
      </c>
      <c r="I125" s="19">
        <f>1.09*1</f>
        <v>1.0900000000000001</v>
      </c>
    </row>
    <row r="126" spans="1:9" x14ac:dyDescent="0.3">
      <c r="A126" s="15"/>
      <c r="B126" s="3"/>
      <c r="C126" s="3"/>
      <c r="D126" s="19"/>
      <c r="F126" s="37" t="s">
        <v>185</v>
      </c>
      <c r="G126" s="3">
        <f>315*0.625</f>
        <v>196.875</v>
      </c>
      <c r="H126" s="3">
        <f>22*0.625</f>
        <v>13.75</v>
      </c>
      <c r="I126" s="5">
        <f>0.9*0.625</f>
        <v>0.5625</v>
      </c>
    </row>
    <row r="127" spans="1:9" x14ac:dyDescent="0.3">
      <c r="A127" s="15"/>
      <c r="B127" s="3"/>
      <c r="C127" s="3"/>
      <c r="D127" s="19"/>
      <c r="F127" s="15"/>
      <c r="G127" s="3"/>
      <c r="H127" s="3"/>
      <c r="I127" s="19"/>
    </row>
    <row r="128" spans="1:9" x14ac:dyDescent="0.3">
      <c r="A128" s="15"/>
      <c r="B128" s="3"/>
      <c r="C128" s="3"/>
      <c r="D128" s="19"/>
      <c r="F128" s="15"/>
      <c r="G128" s="3"/>
      <c r="H128" s="3"/>
      <c r="I128" s="19"/>
    </row>
    <row r="129" spans="1:9" x14ac:dyDescent="0.3">
      <c r="A129" s="15"/>
      <c r="B129" s="3"/>
      <c r="C129" s="3"/>
      <c r="D129" s="19"/>
      <c r="F129" s="15"/>
      <c r="G129" s="3"/>
      <c r="H129" s="3"/>
      <c r="I129" s="19"/>
    </row>
    <row r="130" spans="1:9" x14ac:dyDescent="0.3">
      <c r="A130" s="15" t="s">
        <v>134</v>
      </c>
      <c r="B130" s="17">
        <f>SUM(B120:B129)</f>
        <v>1843.6666666666665</v>
      </c>
      <c r="C130" s="17">
        <f t="shared" ref="C130:D130" si="33">SUM(C120:C129)</f>
        <v>164.8</v>
      </c>
      <c r="D130" s="35">
        <f t="shared" si="33"/>
        <v>4.5733333333333333</v>
      </c>
      <c r="F130" s="15" t="s">
        <v>134</v>
      </c>
      <c r="G130" s="17">
        <f>SUM(G120:G129)</f>
        <v>1948.5416666666665</v>
      </c>
      <c r="H130" s="17">
        <f t="shared" ref="H130:I130" si="34">SUM(H120:H129)</f>
        <v>150.44999999999999</v>
      </c>
      <c r="I130" s="35">
        <f t="shared" si="34"/>
        <v>4.3158333333333339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86E1A-8123-4323-AA3C-08DDA05A7259}">
  <dimension ref="A1:P28"/>
  <sheetViews>
    <sheetView workbookViewId="0">
      <selection activeCell="H19" sqref="H19"/>
    </sheetView>
  </sheetViews>
  <sheetFormatPr defaultRowHeight="14.4" x14ac:dyDescent="0.3"/>
  <cols>
    <col min="1" max="1" width="26" customWidth="1"/>
    <col min="8" max="8" width="21" customWidth="1"/>
    <col min="13" max="13" width="19.33203125" customWidth="1"/>
  </cols>
  <sheetData>
    <row r="1" spans="1:16" x14ac:dyDescent="0.3">
      <c r="A1" s="3"/>
      <c r="B1" s="15" t="s">
        <v>45</v>
      </c>
      <c r="C1" s="15" t="s">
        <v>83</v>
      </c>
      <c r="D1" s="15" t="s">
        <v>87</v>
      </c>
      <c r="E1" s="15" t="s">
        <v>88</v>
      </c>
      <c r="F1" s="15" t="s">
        <v>89</v>
      </c>
    </row>
    <row r="2" spans="1:16" x14ac:dyDescent="0.3">
      <c r="A2" s="15" t="s">
        <v>62</v>
      </c>
      <c r="B2" s="3">
        <v>123</v>
      </c>
      <c r="C2" s="3">
        <v>30</v>
      </c>
      <c r="D2" s="4">
        <v>1.0900000000000001</v>
      </c>
      <c r="E2" s="21">
        <f>C2/B2</f>
        <v>0.24390243902439024</v>
      </c>
      <c r="F2" s="21">
        <f>C2/D2</f>
        <v>27.52293577981651</v>
      </c>
    </row>
    <row r="3" spans="1:16" x14ac:dyDescent="0.3">
      <c r="A3" s="15" t="s">
        <v>63</v>
      </c>
      <c r="B3" s="3">
        <v>185</v>
      </c>
      <c r="C3" s="3"/>
      <c r="D3" s="5">
        <v>0.33</v>
      </c>
      <c r="E3" s="21">
        <f t="shared" ref="E3:E21" si="0">C3/B3</f>
        <v>0</v>
      </c>
      <c r="F3" s="28">
        <f t="shared" ref="F3:F21" si="1">C3/D3</f>
        <v>0</v>
      </c>
    </row>
    <row r="4" spans="1:16" x14ac:dyDescent="0.3">
      <c r="A4" s="15" t="s">
        <v>68</v>
      </c>
      <c r="B4" s="3">
        <v>257</v>
      </c>
      <c r="C4" s="3">
        <v>9.1999999999999993</v>
      </c>
      <c r="D4" s="19">
        <v>0.28000000000000003</v>
      </c>
      <c r="E4" s="21">
        <f t="shared" si="0"/>
        <v>3.5797665369649803E-2</v>
      </c>
      <c r="F4" s="28">
        <f t="shared" si="1"/>
        <v>32.857142857142854</v>
      </c>
      <c r="H4" s="3" t="s">
        <v>96</v>
      </c>
      <c r="I4" s="3" t="s">
        <v>45</v>
      </c>
      <c r="J4" s="3" t="s">
        <v>83</v>
      </c>
      <c r="K4" s="3" t="s">
        <v>87</v>
      </c>
      <c r="M4" s="3" t="s">
        <v>96</v>
      </c>
      <c r="N4" s="3" t="s">
        <v>45</v>
      </c>
      <c r="O4" s="3" t="s">
        <v>83</v>
      </c>
      <c r="P4" s="3" t="s">
        <v>87</v>
      </c>
    </row>
    <row r="5" spans="1:16" x14ac:dyDescent="0.3">
      <c r="A5" s="15" t="s">
        <v>30</v>
      </c>
      <c r="B5" s="3">
        <v>350</v>
      </c>
      <c r="C5" s="3">
        <v>11.5</v>
      </c>
      <c r="D5" s="5">
        <v>0.13</v>
      </c>
      <c r="E5" s="21">
        <f t="shared" si="0"/>
        <v>3.2857142857142856E-2</v>
      </c>
      <c r="F5" s="28">
        <f t="shared" si="1"/>
        <v>88.461538461538453</v>
      </c>
      <c r="H5" s="3" t="s">
        <v>187</v>
      </c>
      <c r="I5" s="3">
        <f>47*3</f>
        <v>141</v>
      </c>
      <c r="J5" s="3">
        <f>3.3*3</f>
        <v>9.8999999999999986</v>
      </c>
      <c r="K5" s="3">
        <f>0.1*3</f>
        <v>0.30000000000000004</v>
      </c>
      <c r="M5" s="3" t="s">
        <v>187</v>
      </c>
      <c r="N5" s="3">
        <f>47*3</f>
        <v>141</v>
      </c>
      <c r="O5" s="3">
        <f>3.3*3</f>
        <v>9.8999999999999986</v>
      </c>
      <c r="P5" s="3">
        <f>0.1*3</f>
        <v>0.30000000000000004</v>
      </c>
    </row>
    <row r="6" spans="1:16" x14ac:dyDescent="0.3">
      <c r="A6" s="15" t="s">
        <v>103</v>
      </c>
      <c r="B6" s="3">
        <v>75</v>
      </c>
      <c r="C6" s="3">
        <v>1.5</v>
      </c>
      <c r="D6" s="5">
        <v>0.18</v>
      </c>
      <c r="E6" s="21">
        <f t="shared" si="0"/>
        <v>0.02</v>
      </c>
      <c r="F6" s="28">
        <f t="shared" si="1"/>
        <v>8.3333333333333339</v>
      </c>
      <c r="H6" s="3" t="s">
        <v>188</v>
      </c>
      <c r="I6" s="3">
        <f>51*5</f>
        <v>255</v>
      </c>
      <c r="J6" s="3">
        <f>5.3*5</f>
        <v>26.5</v>
      </c>
      <c r="K6" s="3">
        <f>0.15*5</f>
        <v>0.75</v>
      </c>
      <c r="M6" s="3" t="s">
        <v>188</v>
      </c>
      <c r="N6" s="3">
        <f>51*5</f>
        <v>255</v>
      </c>
      <c r="O6" s="3">
        <f>5.3*5</f>
        <v>26.5</v>
      </c>
      <c r="P6" s="3">
        <f>0.15*5</f>
        <v>0.75</v>
      </c>
    </row>
    <row r="7" spans="1:16" x14ac:dyDescent="0.3">
      <c r="A7" s="15" t="s">
        <v>104</v>
      </c>
      <c r="B7" s="3">
        <v>174</v>
      </c>
      <c r="C7" s="3">
        <v>4.5</v>
      </c>
      <c r="D7" s="5">
        <v>0.1</v>
      </c>
      <c r="E7" s="21">
        <f t="shared" si="0"/>
        <v>2.5862068965517241E-2</v>
      </c>
      <c r="F7" s="28">
        <f t="shared" si="1"/>
        <v>45</v>
      </c>
      <c r="H7" s="3" t="s">
        <v>192</v>
      </c>
      <c r="I7" s="3">
        <f>100*2</f>
        <v>200</v>
      </c>
      <c r="J7" s="3">
        <f>23.2*2</f>
        <v>46.4</v>
      </c>
      <c r="K7" s="3">
        <f>0.8*2</f>
        <v>1.6</v>
      </c>
      <c r="M7" s="3" t="s">
        <v>192</v>
      </c>
      <c r="N7" s="3">
        <f>100*2</f>
        <v>200</v>
      </c>
      <c r="O7" s="3">
        <f>23.2*2</f>
        <v>46.4</v>
      </c>
      <c r="P7" s="3">
        <f>0.8*2</f>
        <v>1.6</v>
      </c>
    </row>
    <row r="8" spans="1:16" x14ac:dyDescent="0.3">
      <c r="A8" s="15" t="s">
        <v>109</v>
      </c>
      <c r="B8" s="3">
        <v>51</v>
      </c>
      <c r="C8" s="3">
        <v>5.3</v>
      </c>
      <c r="D8" s="5">
        <v>0.15</v>
      </c>
      <c r="E8" s="21">
        <f t="shared" si="0"/>
        <v>0.10392156862745097</v>
      </c>
      <c r="F8" s="21">
        <f t="shared" si="1"/>
        <v>35.333333333333336</v>
      </c>
      <c r="H8" s="3" t="s">
        <v>191</v>
      </c>
      <c r="I8" s="3">
        <f>382*2</f>
        <v>764</v>
      </c>
      <c r="J8" s="3">
        <f>28*2</f>
        <v>56</v>
      </c>
      <c r="K8" s="3">
        <f>0.75*2</f>
        <v>1.5</v>
      </c>
      <c r="M8" s="3" t="s">
        <v>191</v>
      </c>
      <c r="N8" s="3">
        <f>382*2</f>
        <v>764</v>
      </c>
      <c r="O8" s="3">
        <f>28*2</f>
        <v>56</v>
      </c>
      <c r="P8" s="3">
        <f>0.75*2</f>
        <v>1.5</v>
      </c>
    </row>
    <row r="9" spans="1:16" x14ac:dyDescent="0.3">
      <c r="A9" s="15" t="s">
        <v>110</v>
      </c>
      <c r="B9" s="3">
        <v>209</v>
      </c>
      <c r="C9" s="3">
        <v>13</v>
      </c>
      <c r="D9" s="5">
        <v>0.22</v>
      </c>
      <c r="E9" s="21">
        <f t="shared" si="0"/>
        <v>6.2200956937799042E-2</v>
      </c>
      <c r="F9" s="21">
        <f t="shared" si="1"/>
        <v>59.090909090909093</v>
      </c>
      <c r="H9" s="3" t="s">
        <v>199</v>
      </c>
      <c r="I9" s="3">
        <f>2*27.7</f>
        <v>55.4</v>
      </c>
      <c r="J9" s="3"/>
      <c r="K9" s="3"/>
      <c r="M9" s="3" t="s">
        <v>199</v>
      </c>
      <c r="N9" s="3">
        <f>2*72</f>
        <v>144</v>
      </c>
      <c r="O9" s="3"/>
      <c r="P9" s="3"/>
    </row>
    <row r="10" spans="1:16" x14ac:dyDescent="0.3">
      <c r="A10" s="15" t="s">
        <v>111</v>
      </c>
      <c r="B10" s="3">
        <v>84</v>
      </c>
      <c r="C10" s="3">
        <v>16.7</v>
      </c>
      <c r="D10" s="5">
        <v>0.8</v>
      </c>
      <c r="E10" s="21">
        <f t="shared" si="0"/>
        <v>0.1988095238095238</v>
      </c>
      <c r="F10" s="21">
        <f t="shared" si="1"/>
        <v>20.874999999999996</v>
      </c>
      <c r="H10" s="3" t="s">
        <v>200</v>
      </c>
      <c r="I10" s="3">
        <f>350*2.5</f>
        <v>875</v>
      </c>
      <c r="J10" s="3">
        <f>3*3</f>
        <v>9</v>
      </c>
      <c r="K10" s="3">
        <f>0.24*2.5</f>
        <v>0.6</v>
      </c>
      <c r="M10" s="3" t="s">
        <v>200</v>
      </c>
      <c r="N10" s="3">
        <f>350*2.5</f>
        <v>875</v>
      </c>
      <c r="O10" s="3">
        <f>3*3</f>
        <v>9</v>
      </c>
      <c r="P10" s="3">
        <f>0.24*2.5</f>
        <v>0.6</v>
      </c>
    </row>
    <row r="11" spans="1:16" x14ac:dyDescent="0.3">
      <c r="A11" s="15" t="s">
        <v>155</v>
      </c>
      <c r="B11" s="3">
        <v>100</v>
      </c>
      <c r="C11" s="3">
        <v>23.3</v>
      </c>
      <c r="D11" s="5">
        <v>0.8</v>
      </c>
      <c r="E11" s="21">
        <f t="shared" si="0"/>
        <v>0.23300000000000001</v>
      </c>
      <c r="F11" s="21">
        <f t="shared" si="1"/>
        <v>29.125</v>
      </c>
      <c r="H11" s="3" t="s">
        <v>134</v>
      </c>
      <c r="I11" s="3">
        <f>SUM(I5:I10)</f>
        <v>2290.4</v>
      </c>
      <c r="J11" s="3">
        <f t="shared" ref="J11:K11" si="2">SUM(J5:J10)</f>
        <v>147.80000000000001</v>
      </c>
      <c r="K11" s="3">
        <f t="shared" si="2"/>
        <v>4.75</v>
      </c>
      <c r="M11" s="3" t="s">
        <v>134</v>
      </c>
      <c r="N11" s="3">
        <f>SUM(N5:N10)</f>
        <v>2379</v>
      </c>
      <c r="O11" s="3">
        <f t="shared" ref="O11:P11" si="3">SUM(O5:O10)</f>
        <v>147.80000000000001</v>
      </c>
      <c r="P11" s="3">
        <f t="shared" si="3"/>
        <v>4.75</v>
      </c>
    </row>
    <row r="12" spans="1:16" x14ac:dyDescent="0.3">
      <c r="A12" s="15" t="s">
        <v>112</v>
      </c>
      <c r="B12" s="3">
        <v>47</v>
      </c>
      <c r="C12" s="3">
        <v>3.3</v>
      </c>
      <c r="D12" s="5">
        <v>0.1</v>
      </c>
      <c r="E12" s="21">
        <f t="shared" si="0"/>
        <v>7.0212765957446799E-2</v>
      </c>
      <c r="F12" s="21">
        <f t="shared" si="1"/>
        <v>32.999999999999993</v>
      </c>
    </row>
    <row r="13" spans="1:16" x14ac:dyDescent="0.3">
      <c r="A13" s="29" t="s">
        <v>116</v>
      </c>
      <c r="B13" s="11">
        <v>136</v>
      </c>
      <c r="C13" s="11">
        <v>12.4</v>
      </c>
      <c r="D13" s="12">
        <v>0.49</v>
      </c>
      <c r="E13" s="30">
        <f t="shared" si="0"/>
        <v>9.1176470588235303E-2</v>
      </c>
      <c r="F13" s="30">
        <f t="shared" si="1"/>
        <v>25.306122448979593</v>
      </c>
      <c r="H13" t="s">
        <v>193</v>
      </c>
    </row>
    <row r="14" spans="1:16" x14ac:dyDescent="0.3">
      <c r="A14" s="15" t="s">
        <v>153</v>
      </c>
      <c r="B14" s="3">
        <v>169</v>
      </c>
      <c r="C14" s="3">
        <v>15.4</v>
      </c>
      <c r="D14" s="5">
        <v>0.47</v>
      </c>
      <c r="E14" s="21">
        <f t="shared" si="0"/>
        <v>9.1124260355029588E-2</v>
      </c>
      <c r="F14" s="21">
        <f t="shared" si="1"/>
        <v>32.765957446808514</v>
      </c>
      <c r="H14" t="s">
        <v>194</v>
      </c>
    </row>
    <row r="15" spans="1:16" x14ac:dyDescent="0.3">
      <c r="A15" s="15" t="s">
        <v>163</v>
      </c>
      <c r="B15" s="3">
        <v>126</v>
      </c>
      <c r="C15" s="3">
        <v>17.899999999999999</v>
      </c>
      <c r="D15" s="5">
        <v>0.4</v>
      </c>
      <c r="E15" s="21">
        <f t="shared" si="0"/>
        <v>0.14206349206349206</v>
      </c>
      <c r="F15" s="21">
        <f t="shared" si="1"/>
        <v>44.749999999999993</v>
      </c>
      <c r="H15" t="s">
        <v>195</v>
      </c>
    </row>
    <row r="16" spans="1:16" x14ac:dyDescent="0.3">
      <c r="A16" s="15" t="s">
        <v>169</v>
      </c>
      <c r="B16" s="3">
        <v>206</v>
      </c>
      <c r="C16" s="3">
        <v>2.5</v>
      </c>
      <c r="D16" s="5">
        <v>0.4</v>
      </c>
      <c r="E16" s="21">
        <f t="shared" si="0"/>
        <v>1.2135922330097087E-2</v>
      </c>
      <c r="F16" s="21">
        <f t="shared" si="1"/>
        <v>6.25</v>
      </c>
      <c r="H16" t="s">
        <v>196</v>
      </c>
    </row>
    <row r="17" spans="1:6" x14ac:dyDescent="0.3">
      <c r="A17" s="15" t="s">
        <v>170</v>
      </c>
      <c r="B17" s="3">
        <v>115</v>
      </c>
      <c r="C17" s="3">
        <v>9</v>
      </c>
      <c r="D17" s="5">
        <v>0.3</v>
      </c>
      <c r="E17" s="21">
        <f t="shared" si="0"/>
        <v>7.8260869565217397E-2</v>
      </c>
      <c r="F17" s="21">
        <f t="shared" si="1"/>
        <v>30</v>
      </c>
    </row>
    <row r="18" spans="1:6" x14ac:dyDescent="0.3">
      <c r="A18" s="15" t="s">
        <v>171</v>
      </c>
      <c r="B18" s="3">
        <v>180</v>
      </c>
      <c r="C18" s="3">
        <v>15</v>
      </c>
      <c r="D18" s="5">
        <v>0.88</v>
      </c>
      <c r="E18" s="21">
        <f t="shared" si="0"/>
        <v>8.3333333333333329E-2</v>
      </c>
      <c r="F18" s="21">
        <f t="shared" si="1"/>
        <v>17.045454545454547</v>
      </c>
    </row>
    <row r="19" spans="1:6" x14ac:dyDescent="0.3">
      <c r="A19" s="15" t="s">
        <v>172</v>
      </c>
      <c r="B19" s="3">
        <v>96</v>
      </c>
      <c r="C19" s="3">
        <v>18</v>
      </c>
      <c r="D19" s="5">
        <v>2.29</v>
      </c>
      <c r="E19" s="21">
        <f t="shared" si="0"/>
        <v>0.1875</v>
      </c>
      <c r="F19" s="21">
        <f t="shared" si="1"/>
        <v>7.8602620087336241</v>
      </c>
    </row>
    <row r="20" spans="1:6" x14ac:dyDescent="0.3">
      <c r="A20" s="15" t="s">
        <v>175</v>
      </c>
      <c r="B20" s="3">
        <v>331</v>
      </c>
      <c r="C20" s="3">
        <v>19</v>
      </c>
      <c r="D20" s="5">
        <v>0.83</v>
      </c>
      <c r="E20" s="21">
        <f t="shared" si="0"/>
        <v>5.7401812688821753E-2</v>
      </c>
      <c r="F20" s="21">
        <f t="shared" si="1"/>
        <v>22.891566265060241</v>
      </c>
    </row>
    <row r="21" spans="1:6" x14ac:dyDescent="0.3">
      <c r="A21" s="15" t="s">
        <v>179</v>
      </c>
      <c r="B21" s="21">
        <v>49</v>
      </c>
      <c r="C21" s="21">
        <v>5.5</v>
      </c>
      <c r="D21" s="5">
        <v>0.35</v>
      </c>
      <c r="E21" s="21">
        <f t="shared" si="0"/>
        <v>0.11224489795918367</v>
      </c>
      <c r="F21" s="21">
        <f t="shared" si="1"/>
        <v>15.714285714285715</v>
      </c>
    </row>
    <row r="22" spans="1:6" x14ac:dyDescent="0.3">
      <c r="A22" s="15" t="s">
        <v>182</v>
      </c>
      <c r="B22" s="3">
        <v>315</v>
      </c>
      <c r="C22" s="3">
        <v>22</v>
      </c>
      <c r="D22" s="38">
        <v>0.9</v>
      </c>
      <c r="E22" s="21">
        <f>C22/B22</f>
        <v>6.9841269841269843E-2</v>
      </c>
      <c r="F22" s="21">
        <f>C22/D22</f>
        <v>24.444444444444443</v>
      </c>
    </row>
    <row r="23" spans="1:6" x14ac:dyDescent="0.3">
      <c r="A23" s="15" t="s">
        <v>183</v>
      </c>
      <c r="B23" s="3">
        <v>382</v>
      </c>
      <c r="C23" s="3">
        <v>28</v>
      </c>
      <c r="D23" s="38">
        <v>0.75</v>
      </c>
      <c r="E23" s="21">
        <f>C23/B23</f>
        <v>7.3298429319371722E-2</v>
      </c>
      <c r="F23" s="21">
        <f>C23/D23</f>
        <v>37.333333333333336</v>
      </c>
    </row>
    <row r="24" spans="1:6" x14ac:dyDescent="0.3">
      <c r="A24" s="15" t="s">
        <v>186</v>
      </c>
      <c r="B24" s="21">
        <v>146</v>
      </c>
      <c r="C24" s="21">
        <v>20.7</v>
      </c>
      <c r="D24" s="22">
        <v>0.7</v>
      </c>
      <c r="E24" s="21">
        <f>C24/B24</f>
        <v>0.14178082191780822</v>
      </c>
      <c r="F24" s="21">
        <f>C24/D24</f>
        <v>29.571428571428573</v>
      </c>
    </row>
    <row r="25" spans="1:6" x14ac:dyDescent="0.3">
      <c r="A25" s="15" t="s">
        <v>189</v>
      </c>
      <c r="B25" s="3">
        <v>350</v>
      </c>
      <c r="C25" s="3">
        <v>3</v>
      </c>
      <c r="D25" s="19">
        <v>0.19</v>
      </c>
      <c r="E25" s="21">
        <f>C25/B25</f>
        <v>8.5714285714285719E-3</v>
      </c>
      <c r="F25" s="21">
        <f>C25/D25</f>
        <v>15.789473684210526</v>
      </c>
    </row>
    <row r="26" spans="1:6" x14ac:dyDescent="0.3">
      <c r="A26" s="15" t="s">
        <v>190</v>
      </c>
      <c r="B26" s="3">
        <v>350</v>
      </c>
      <c r="C26" s="3">
        <v>7</v>
      </c>
      <c r="D26" s="38">
        <v>0.16</v>
      </c>
      <c r="E26" s="21">
        <f>C26/B26</f>
        <v>0.02</v>
      </c>
      <c r="F26" s="21">
        <f>C26/D26</f>
        <v>43.75</v>
      </c>
    </row>
    <row r="27" spans="1:6" x14ac:dyDescent="0.3">
      <c r="A27" s="39" t="s">
        <v>197</v>
      </c>
      <c r="B27" s="32">
        <v>277</v>
      </c>
    </row>
    <row r="28" spans="1:6" x14ac:dyDescent="0.3">
      <c r="A28" s="39" t="s">
        <v>198</v>
      </c>
      <c r="B28">
        <v>720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CF0DF-138B-4B49-BC97-299FF5018F54}">
  <dimension ref="A1:D2"/>
  <sheetViews>
    <sheetView tabSelected="1" workbookViewId="0">
      <selection activeCell="I14" sqref="I14"/>
    </sheetView>
  </sheetViews>
  <sheetFormatPr defaultRowHeight="14.4" x14ac:dyDescent="0.3"/>
  <cols>
    <col min="1" max="2" width="8.88671875" customWidth="1"/>
    <col min="4" max="4" width="10.33203125" customWidth="1"/>
  </cols>
  <sheetData>
    <row r="1" spans="1:4" x14ac:dyDescent="0.3">
      <c r="A1" s="15" t="s">
        <v>201</v>
      </c>
      <c r="B1" s="15" t="s">
        <v>202</v>
      </c>
      <c r="C1" s="15" t="s">
        <v>203</v>
      </c>
      <c r="D1" s="15" t="s">
        <v>206</v>
      </c>
    </row>
    <row r="2" spans="1:4" x14ac:dyDescent="0.3">
      <c r="A2" s="40">
        <v>2750</v>
      </c>
      <c r="B2" s="40" t="s">
        <v>204</v>
      </c>
      <c r="C2" s="40" t="s">
        <v>205</v>
      </c>
      <c r="D2" s="40" t="s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Foglio1</vt:lpstr>
      <vt:lpstr>Foglio2</vt:lpstr>
      <vt:lpstr>Foglio3</vt:lpstr>
      <vt:lpstr>Foglio4</vt:lpstr>
      <vt:lpstr>lean bulk last semester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bertelli</dc:creator>
  <cp:lastModifiedBy>Tommaso Bertelli</cp:lastModifiedBy>
  <dcterms:created xsi:type="dcterms:W3CDTF">2022-10-25T09:29:42Z</dcterms:created>
  <dcterms:modified xsi:type="dcterms:W3CDTF">2025-02-15T16:55:19Z</dcterms:modified>
</cp:coreProperties>
</file>