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namedSheetViews/namedSheetView1.xml" ContentType="application/vnd.ms-excel.namedsheetview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6332" documentId="8_{78C34441-216D-4C2D-AAA3-718125ADDEA7}" xr6:coauthVersionLast="47" xr6:coauthVersionMax="47" xr10:uidLastSave="{242EA8D2-ADDC-4849-A724-3F8EC57A3DD1}"/>
  <bookViews>
    <workbookView xWindow="-120" yWindow="-120" windowWidth="29040" windowHeight="15840" tabRatio="636" firstSheet="1" activeTab="9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PARAMETERS" sheetId="260" r:id="rId11"/>
    <sheet name="GEN SWITCHING LOGS" sheetId="88" r:id="rId12"/>
    <sheet name="ACTION LOGS" sheetId="89" r:id="rId13"/>
    <sheet name="BILLING" sheetId="79" r:id="rId14"/>
    <sheet name="EOD REPORT" sheetId="253" r:id="rId15"/>
    <sheet name="EOD REPORT_v1" sheetId="102" state="hidden" r:id="rId16"/>
    <sheet name="EOD REPORT_v2" sheetId="251" state="hidden" r:id="rId17"/>
    <sheet name="AGG DEMAND" sheetId="112" state="hidden" r:id="rId18"/>
    <sheet name="RunDown Time" sheetId="105" state="hidden" r:id="rId19"/>
  </sheets>
  <functionGroups builtInGroupCount="19"/>
  <definedNames>
    <definedName name="_9_2" localSheetId="10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2" hidden="1">'ACTION LOGS'!$A$1:$I$29</definedName>
    <definedName name="_xlnm._FilterDatabase" localSheetId="11" hidden="1">'GEN SWITCHING LOGS'!$A$1:$L$1317</definedName>
    <definedName name="_xlnm._FilterDatabase" localSheetId="10" hidden="1">PARAMETERS!$A$1:$CB$28</definedName>
    <definedName name="_xlnm._FilterDatabase" localSheetId="18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40" i="88" l="1"/>
  <c r="F416" i="88" l="1"/>
  <c r="F425" i="88"/>
  <c r="AB21" i="456"/>
  <c r="AB22" i="456"/>
  <c r="AB23" i="456"/>
  <c r="AB25" i="456"/>
  <c r="AB28" i="456"/>
  <c r="AB29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F420" i="88" l="1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X109" i="456"/>
  <c r="I109" i="456"/>
  <c r="G109" i="456"/>
  <c r="AC107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BD230" i="260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BD230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3B9E3A6F-A5D3-4262-9C34-96EE28A641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9A03CF93-0315-4182-BBC0-81ED3F25895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4A825EB-7718-44A2-80E4-FC6A6B35B17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BFA6D28-66CB-4535-8168-4B3F08574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<sst xmlns="http://schemas.openxmlformats.org/spreadsheetml/2006/main" count="18975" uniqueCount="1692">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</sst>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Array" Target="richData/rdarray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51.757200000000005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0</v>
      </c>
      <c r="Z11" s="252" cm="1">
        <f t="array" aca="1" ref="Z11" ca="1">INDIRECT("'"&amp;$A11&amp;"'!"&amp; "AC" &amp; $B11)</f>
        <v>0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51.757200000000005</v>
      </c>
      <c r="Z43" s="252" cm="1">
        <f t="array" aca="1" ref="Z43" ca="1">INDIRECT("'"&amp;$A43&amp;"'!"&amp; "AC" &amp; $B43)</f>
        <v>0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1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830" priority="74" operator="equal">
      <formula>"PMS"</formula>
    </cfRule>
    <cfRule type="cellIs" dxfId="1829" priority="75" operator="equal">
      <formula>"CMS"</formula>
    </cfRule>
    <cfRule type="cellIs" dxfId="1828" priority="76" operator="greaterThan">
      <formula>0</formula>
    </cfRule>
  </conditionalFormatting>
  <conditionalFormatting sqref="F138:AC138">
    <cfRule type="cellIs" dxfId="1827" priority="73" operator="greaterThan">
      <formula>60.3</formula>
    </cfRule>
  </conditionalFormatting>
  <conditionalFormatting sqref="F136:AC136">
    <cfRule type="cellIs" dxfId="1826" priority="72" operator="greaterThan">
      <formula>60.3</formula>
    </cfRule>
  </conditionalFormatting>
  <conditionalFormatting sqref="F137:AC137">
    <cfRule type="cellIs" dxfId="1825" priority="71" operator="greaterThan">
      <formula>60.3</formula>
    </cfRule>
  </conditionalFormatting>
  <conditionalFormatting sqref="G85:H85">
    <cfRule type="cellIs" dxfId="1824" priority="67" operator="equal">
      <formula>"PMS"</formula>
    </cfRule>
    <cfRule type="cellIs" dxfId="1823" priority="68" operator="equal">
      <formula>"CMS"</formula>
    </cfRule>
    <cfRule type="cellIs" dxfId="1822" priority="69" operator="greaterThan">
      <formula>0</formula>
    </cfRule>
  </conditionalFormatting>
  <conditionalFormatting sqref="G85:H85 F62:F64 V55:W65">
    <cfRule type="cellIs" dxfId="1821" priority="70" operator="lessThanOrEqual">
      <formula>0</formula>
    </cfRule>
  </conditionalFormatting>
  <conditionalFormatting sqref="AC62:AC64">
    <cfRule type="cellIs" dxfId="1820" priority="63" operator="equal">
      <formula>"PMS"</formula>
    </cfRule>
    <cfRule type="cellIs" dxfId="1819" priority="64" operator="equal">
      <formula>"CMS"</formula>
    </cfRule>
    <cfRule type="cellIs" dxfId="1818" priority="65" operator="greaterThan">
      <formula>0</formula>
    </cfRule>
  </conditionalFormatting>
  <conditionalFormatting sqref="AC62:AC64">
    <cfRule type="cellIs" dxfId="1817" priority="66" operator="lessThanOrEqual">
      <formula>0</formula>
    </cfRule>
  </conditionalFormatting>
  <conditionalFormatting sqref="G55:N55">
    <cfRule type="cellIs" dxfId="1816" priority="59" operator="equal">
      <formula>"PMS"</formula>
    </cfRule>
    <cfRule type="cellIs" dxfId="1815" priority="60" operator="equal">
      <formula>"CMS"</formula>
    </cfRule>
    <cfRule type="cellIs" dxfId="1814" priority="61" operator="greaterThan">
      <formula>0</formula>
    </cfRule>
  </conditionalFormatting>
  <conditionalFormatting sqref="G55:N55">
    <cfRule type="cellIs" dxfId="1813" priority="62" operator="lessThanOrEqual">
      <formula>0</formula>
    </cfRule>
  </conditionalFormatting>
  <conditionalFormatting sqref="G49:AC49 G52:AC53 G43:AC46 G84:AC85 G68:AC70 G13:AC16 G55:U65 X55:AC65">
    <cfRule type="cellIs" dxfId="1812" priority="55" operator="lessThanOrEqual">
      <formula>0</formula>
    </cfRule>
  </conditionalFormatting>
  <conditionalFormatting sqref="G49:AC49 G43:AC46 G84:AC85 F19:AC32 G68:AC70 G13:AC16 F52:AC65">
    <cfRule type="cellIs" dxfId="1811" priority="52" operator="equal">
      <formula>"CMS"</formula>
    </cfRule>
    <cfRule type="cellIs" dxfId="1810" priority="53" operator="equal">
      <formula>"PMS"</formula>
    </cfRule>
    <cfRule type="cellIs" dxfId="1809" priority="54" operator="greaterThan">
      <formula>0</formula>
    </cfRule>
  </conditionalFormatting>
  <conditionalFormatting sqref="G54:AC54">
    <cfRule type="cellIs" dxfId="1808" priority="48" operator="equal">
      <formula>"PMS"</formula>
    </cfRule>
    <cfRule type="cellIs" dxfId="1807" priority="49" operator="equal">
      <formula>"CMS"</formula>
    </cfRule>
    <cfRule type="cellIs" dxfId="1806" priority="50" operator="greaterThan">
      <formula>0</formula>
    </cfRule>
  </conditionalFormatting>
  <conditionalFormatting sqref="G54:AC54">
    <cfRule type="cellIs" dxfId="1805" priority="51" operator="lessThanOrEqual">
      <formula>0</formula>
    </cfRule>
  </conditionalFormatting>
  <conditionalFormatting sqref="G54:AC54">
    <cfRule type="cellIs" dxfId="1804" priority="47" operator="lessThanOrEqual">
      <formula>0</formula>
    </cfRule>
  </conditionalFormatting>
  <conditionalFormatting sqref="G54:T54">
    <cfRule type="cellIs" dxfId="1803" priority="44" operator="equal">
      <formula>"PMS"</formula>
    </cfRule>
    <cfRule type="cellIs" dxfId="1802" priority="45" operator="equal">
      <formula>"CMS"</formula>
    </cfRule>
    <cfRule type="cellIs" dxfId="1801" priority="46" operator="greaterThan">
      <formula>0</formula>
    </cfRule>
  </conditionalFormatting>
  <conditionalFormatting sqref="G54:T54">
    <cfRule type="cellIs" dxfId="1800" priority="43" operator="lessThanOrEqual">
      <formula>0</formula>
    </cfRule>
  </conditionalFormatting>
  <conditionalFormatting sqref="L60">
    <cfRule type="cellIs" dxfId="1799" priority="39" operator="equal">
      <formula>"PMS"</formula>
    </cfRule>
    <cfRule type="cellIs" dxfId="1798" priority="40" operator="equal">
      <formula>"CMS"</formula>
    </cfRule>
    <cfRule type="cellIs" dxfId="1797" priority="41" operator="greaterThan">
      <formula>0</formula>
    </cfRule>
  </conditionalFormatting>
  <conditionalFormatting sqref="L60">
    <cfRule type="cellIs" dxfId="1796" priority="42" operator="lessThanOrEqual">
      <formula>0</formula>
    </cfRule>
  </conditionalFormatting>
  <conditionalFormatting sqref="F49 F84:F85 F43:F46 F13:F16 F68:F70">
    <cfRule type="cellIs" dxfId="1795" priority="20" operator="equal">
      <formula>"PMS"</formula>
    </cfRule>
    <cfRule type="cellIs" dxfId="1794" priority="21" operator="equal">
      <formula>"CMS"</formula>
    </cfRule>
    <cfRule type="cellIs" dxfId="1793" priority="22" operator="greaterThan">
      <formula>0</formula>
    </cfRule>
  </conditionalFormatting>
  <conditionalFormatting sqref="F49 F52:F53 F55:F65 F84:F85 F43:F46 F13:F16 F68:F70">
    <cfRule type="cellIs" dxfId="1792" priority="15" operator="lessThanOrEqual">
      <formula>0</formula>
    </cfRule>
  </conditionalFormatting>
  <conditionalFormatting sqref="F49 F84:F85 F43:F46 F13:F16 F68:F70">
    <cfRule type="cellIs" dxfId="1791" priority="12" operator="equal">
      <formula>"CMS"</formula>
    </cfRule>
    <cfRule type="cellIs" dxfId="1790" priority="13" operator="equal">
      <formula>"PMS"</formula>
    </cfRule>
    <cfRule type="cellIs" dxfId="1789" priority="14" operator="greaterThan">
      <formula>0</formula>
    </cfRule>
  </conditionalFormatting>
  <conditionalFormatting sqref="F54">
    <cfRule type="cellIs" dxfId="1788" priority="8" operator="equal">
      <formula>"PMS"</formula>
    </cfRule>
    <cfRule type="cellIs" dxfId="1787" priority="9" operator="equal">
      <formula>"CMS"</formula>
    </cfRule>
    <cfRule type="cellIs" dxfId="1786" priority="10" operator="greaterThan">
      <formula>0</formula>
    </cfRule>
  </conditionalFormatting>
  <conditionalFormatting sqref="F54">
    <cfRule type="cellIs" dxfId="1785" priority="11" operator="lessThanOrEqual">
      <formula>0</formula>
    </cfRule>
  </conditionalFormatting>
  <conditionalFormatting sqref="F54">
    <cfRule type="cellIs" dxfId="1784" priority="7" operator="lessThanOrEqual">
      <formula>0</formula>
    </cfRule>
  </conditionalFormatting>
  <conditionalFormatting sqref="F19:AC32">
    <cfRule type="cellIs" dxfId="1783" priority="6" operator="lessThanOrEqual">
      <formula>0</formula>
    </cfRule>
  </conditionalFormatting>
  <conditionalFormatting sqref="AC65">
    <cfRule type="cellIs" dxfId="1782" priority="2" operator="equal">
      <formula>"PMS"</formula>
    </cfRule>
    <cfRule type="cellIs" dxfId="1781" priority="3" operator="equal">
      <formula>"CMS"</formula>
    </cfRule>
    <cfRule type="cellIs" dxfId="1780" priority="4" operator="greaterThan">
      <formula>0</formula>
    </cfRule>
  </conditionalFormatting>
  <conditionalFormatting sqref="AC65">
    <cfRule type="cellIs" dxfId="1779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78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777" priority="72" operator="equal">
      <formula>"PMS"</formula>
    </cfRule>
    <cfRule type="cellIs" dxfId="1776" priority="73" operator="equal">
      <formula>"CMS"</formula>
    </cfRule>
    <cfRule type="cellIs" dxfId="1775" priority="74" operator="greaterThan">
      <formula>0</formula>
    </cfRule>
  </conditionalFormatting>
  <conditionalFormatting sqref="F138:AC138">
    <cfRule type="cellIs" dxfId="1774" priority="71" operator="greaterThan">
      <formula>60.3</formula>
    </cfRule>
  </conditionalFormatting>
  <conditionalFormatting sqref="F136:M136">
    <cfRule type="cellIs" dxfId="1773" priority="70" operator="greaterThan">
      <formula>60.3</formula>
    </cfRule>
  </conditionalFormatting>
  <conditionalFormatting sqref="F137:AC137">
    <cfRule type="cellIs" dxfId="1772" priority="69" operator="greaterThan">
      <formula>60.3</formula>
    </cfRule>
  </conditionalFormatting>
  <conditionalFormatting sqref="G85:H85">
    <cfRule type="cellIs" dxfId="1771" priority="65" operator="equal">
      <formula>"PMS"</formula>
    </cfRule>
    <cfRule type="cellIs" dxfId="1770" priority="66" operator="equal">
      <formula>"CMS"</formula>
    </cfRule>
    <cfRule type="cellIs" dxfId="1769" priority="67" operator="greaterThan">
      <formula>0</formula>
    </cfRule>
  </conditionalFormatting>
  <conditionalFormatting sqref="G85:H85 V55:W65">
    <cfRule type="cellIs" dxfId="1768" priority="68" operator="lessThanOrEqual">
      <formula>0</formula>
    </cfRule>
  </conditionalFormatting>
  <conditionalFormatting sqref="AC62:AC64">
    <cfRule type="cellIs" dxfId="1767" priority="61" operator="equal">
      <formula>"PMS"</formula>
    </cfRule>
    <cfRule type="cellIs" dxfId="1766" priority="62" operator="equal">
      <formula>"CMS"</formula>
    </cfRule>
    <cfRule type="cellIs" dxfId="1765" priority="63" operator="greaterThan">
      <formula>0</formula>
    </cfRule>
  </conditionalFormatting>
  <conditionalFormatting sqref="AC62:AC64">
    <cfRule type="cellIs" dxfId="1764" priority="64" operator="lessThanOrEqual">
      <formula>0</formula>
    </cfRule>
  </conditionalFormatting>
  <conditionalFormatting sqref="G55:N55">
    <cfRule type="cellIs" dxfId="1763" priority="57" operator="equal">
      <formula>"PMS"</formula>
    </cfRule>
    <cfRule type="cellIs" dxfId="1762" priority="58" operator="equal">
      <formula>"CMS"</formula>
    </cfRule>
    <cfRule type="cellIs" dxfId="1761" priority="59" operator="greaterThan">
      <formula>0</formula>
    </cfRule>
  </conditionalFormatting>
  <conditionalFormatting sqref="G55:N55">
    <cfRule type="cellIs" dxfId="1760" priority="60" operator="lessThanOrEqual">
      <formula>0</formula>
    </cfRule>
  </conditionalFormatting>
  <conditionalFormatting sqref="G49:AC49 G52:AC53 G13:AC16 G55:U65 V56:V57 V61:V65 G43:AC46 X55:AC65 G84:AC85 G68:AC70">
    <cfRule type="cellIs" dxfId="1759" priority="56" operator="lessThanOrEqual">
      <formula>0</formula>
    </cfRule>
  </conditionalFormatting>
  <conditionalFormatting sqref="G49:AC49 G13:AC16 G43:AC46 G52:AC65 G84:AC85 G68:AC70 G19:AC32">
    <cfRule type="cellIs" dxfId="1758" priority="53" operator="equal">
      <formula>"CMS"</formula>
    </cfRule>
    <cfRule type="cellIs" dxfId="1757" priority="54" operator="equal">
      <formula>"PMS"</formula>
    </cfRule>
    <cfRule type="cellIs" dxfId="1756" priority="55" operator="greaterThan">
      <formula>0</formula>
    </cfRule>
  </conditionalFormatting>
  <conditionalFormatting sqref="G54:AC54">
    <cfRule type="cellIs" dxfId="1755" priority="49" operator="equal">
      <formula>"PMS"</formula>
    </cfRule>
    <cfRule type="cellIs" dxfId="1754" priority="50" operator="equal">
      <formula>"CMS"</formula>
    </cfRule>
    <cfRule type="cellIs" dxfId="1753" priority="51" operator="greaterThan">
      <formula>0</formula>
    </cfRule>
  </conditionalFormatting>
  <conditionalFormatting sqref="G54:AC54">
    <cfRule type="cellIs" dxfId="1752" priority="52" operator="lessThanOrEqual">
      <formula>0</formula>
    </cfRule>
  </conditionalFormatting>
  <conditionalFormatting sqref="G54:AC54">
    <cfRule type="cellIs" dxfId="1751" priority="48" operator="lessThanOrEqual">
      <formula>0</formula>
    </cfRule>
  </conditionalFormatting>
  <conditionalFormatting sqref="G54:T54">
    <cfRule type="cellIs" dxfId="1750" priority="45" operator="equal">
      <formula>"PMS"</formula>
    </cfRule>
    <cfRule type="cellIs" dxfId="1749" priority="46" operator="equal">
      <formula>"CMS"</formula>
    </cfRule>
    <cfRule type="cellIs" dxfId="1748" priority="47" operator="greaterThan">
      <formula>0</formula>
    </cfRule>
  </conditionalFormatting>
  <conditionalFormatting sqref="G54:T54">
    <cfRule type="cellIs" dxfId="1747" priority="44" operator="lessThanOrEqual">
      <formula>0</formula>
    </cfRule>
  </conditionalFormatting>
  <conditionalFormatting sqref="L60">
    <cfRule type="cellIs" dxfId="1746" priority="40" operator="equal">
      <formula>"PMS"</formula>
    </cfRule>
    <cfRule type="cellIs" dxfId="1745" priority="41" operator="equal">
      <formula>"CMS"</formula>
    </cfRule>
    <cfRule type="cellIs" dxfId="1744" priority="42" operator="greaterThan">
      <formula>0</formula>
    </cfRule>
  </conditionalFormatting>
  <conditionalFormatting sqref="L60">
    <cfRule type="cellIs" dxfId="1743" priority="43" operator="lessThanOrEqual">
      <formula>0</formula>
    </cfRule>
  </conditionalFormatting>
  <conditionalFormatting sqref="G19:AC32">
    <cfRule type="cellIs" dxfId="1742" priority="27" operator="lessThanOrEqual">
      <formula>0</formula>
    </cfRule>
  </conditionalFormatting>
  <conditionalFormatting sqref="AC65">
    <cfRule type="cellIs" dxfId="1741" priority="23" operator="equal">
      <formula>"PMS"</formula>
    </cfRule>
    <cfRule type="cellIs" dxfId="1740" priority="24" operator="equal">
      <formula>"CMS"</formula>
    </cfRule>
    <cfRule type="cellIs" dxfId="1739" priority="25" operator="greaterThan">
      <formula>0</formula>
    </cfRule>
  </conditionalFormatting>
  <conditionalFormatting sqref="AC65">
    <cfRule type="cellIs" dxfId="1738" priority="26" operator="lessThanOrEqual">
      <formula>0</formula>
    </cfRule>
  </conditionalFormatting>
  <conditionalFormatting sqref="F49 F43:F46 F84:F85 F19:F32 F68:F70 F13:F16 F55:F65">
    <cfRule type="cellIs" dxfId="1737" priority="20" operator="equal">
      <formula>"PMS"</formula>
    </cfRule>
    <cfRule type="cellIs" dxfId="1736" priority="21" operator="equal">
      <formula>"CMS"</formula>
    </cfRule>
    <cfRule type="cellIs" dxfId="1735" priority="22" operator="greaterThan">
      <formula>0</formula>
    </cfRule>
  </conditionalFormatting>
  <conditionalFormatting sqref="F62:F64">
    <cfRule type="cellIs" dxfId="1734" priority="16" operator="equal">
      <formula>"PMS"</formula>
    </cfRule>
    <cfRule type="cellIs" dxfId="1733" priority="17" operator="equal">
      <formula>"CMS"</formula>
    </cfRule>
    <cfRule type="cellIs" dxfId="1732" priority="18" operator="greaterThan">
      <formula>0</formula>
    </cfRule>
  </conditionalFormatting>
  <conditionalFormatting sqref="F62:F64">
    <cfRule type="cellIs" dxfId="1731" priority="19" operator="lessThanOrEqual">
      <formula>0</formula>
    </cfRule>
  </conditionalFormatting>
  <conditionalFormatting sqref="F49 F52:F53 F43:F46 F84:F85 F68:F70 F13:F16 F55:F65">
    <cfRule type="cellIs" dxfId="1730" priority="15" operator="lessThanOrEqual">
      <formula>0</formula>
    </cfRule>
  </conditionalFormatting>
  <conditionalFormatting sqref="F49 F43:F46 F84:F85 F19:F32 F68:F70 F13:F16 F52:F65">
    <cfRule type="cellIs" dxfId="1729" priority="12" operator="equal">
      <formula>"CMS"</formula>
    </cfRule>
    <cfRule type="cellIs" dxfId="1728" priority="13" operator="equal">
      <formula>"PMS"</formula>
    </cfRule>
    <cfRule type="cellIs" dxfId="1727" priority="14" operator="greaterThan">
      <formula>0</formula>
    </cfRule>
  </conditionalFormatting>
  <conditionalFormatting sqref="F54">
    <cfRule type="cellIs" dxfId="1726" priority="8" operator="equal">
      <formula>"PMS"</formula>
    </cfRule>
    <cfRule type="cellIs" dxfId="1725" priority="9" operator="equal">
      <formula>"CMS"</formula>
    </cfRule>
    <cfRule type="cellIs" dxfId="1724" priority="10" operator="greaterThan">
      <formula>0</formula>
    </cfRule>
  </conditionalFormatting>
  <conditionalFormatting sqref="F54">
    <cfRule type="cellIs" dxfId="1723" priority="11" operator="lessThanOrEqual">
      <formula>0</formula>
    </cfRule>
  </conditionalFormatting>
  <conditionalFormatting sqref="F54">
    <cfRule type="cellIs" dxfId="1722" priority="7" operator="lessThanOrEqual">
      <formula>0</formula>
    </cfRule>
  </conditionalFormatting>
  <conditionalFormatting sqref="F19:F32">
    <cfRule type="cellIs" dxfId="1721" priority="6" operator="lessThanOrEqual">
      <formula>0</formula>
    </cfRule>
  </conditionalFormatting>
  <conditionalFormatting sqref="F65">
    <cfRule type="cellIs" dxfId="1720" priority="2" operator="equal">
      <formula>"PMS"</formula>
    </cfRule>
    <cfRule type="cellIs" dxfId="1719" priority="3" operator="equal">
      <formula>"CMS"</formula>
    </cfRule>
    <cfRule type="cellIs" dxfId="1718" priority="4" operator="greaterThan">
      <formula>0</formula>
    </cfRule>
  </conditionalFormatting>
  <conditionalFormatting sqref="F65">
    <cfRule type="cellIs" dxfId="1717" priority="5" operator="lessThanOrEqual">
      <formula>0</formula>
    </cfRule>
  </conditionalFormatting>
  <conditionalFormatting sqref="N136:AC136">
    <cfRule type="cellIs" dxfId="171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15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714" priority="88" operator="equal">
      <formula>"PMS"</formula>
    </cfRule>
    <cfRule type="cellIs" dxfId="1713" priority="89" operator="equal">
      <formula>"CMS"</formula>
    </cfRule>
    <cfRule type="cellIs" dxfId="1712" priority="90" operator="greaterThan">
      <formula>0</formula>
    </cfRule>
  </conditionalFormatting>
  <conditionalFormatting sqref="F138:AC138">
    <cfRule type="cellIs" dxfId="1711" priority="87" operator="greaterThan">
      <formula>60.3</formula>
    </cfRule>
  </conditionalFormatting>
  <conditionalFormatting sqref="F137:AC137">
    <cfRule type="cellIs" dxfId="1710" priority="85" operator="greaterThan">
      <formula>60.3</formula>
    </cfRule>
  </conditionalFormatting>
  <conditionalFormatting sqref="G85:I85">
    <cfRule type="cellIs" dxfId="1709" priority="81" operator="equal">
      <formula>"PMS"</formula>
    </cfRule>
    <cfRule type="cellIs" dxfId="1708" priority="82" operator="equal">
      <formula>"CMS"</formula>
    </cfRule>
    <cfRule type="cellIs" dxfId="1707" priority="83" operator="greaterThan">
      <formula>0</formula>
    </cfRule>
  </conditionalFormatting>
  <conditionalFormatting sqref="G85:I85 V55:W65">
    <cfRule type="cellIs" dxfId="1706" priority="84" operator="lessThanOrEqual">
      <formula>0</formula>
    </cfRule>
  </conditionalFormatting>
  <conditionalFormatting sqref="AC62:AC64">
    <cfRule type="cellIs" dxfId="1705" priority="77" operator="equal">
      <formula>"PMS"</formula>
    </cfRule>
    <cfRule type="cellIs" dxfId="1704" priority="78" operator="equal">
      <formula>"CMS"</formula>
    </cfRule>
    <cfRule type="cellIs" dxfId="1703" priority="79" operator="greaterThan">
      <formula>0</formula>
    </cfRule>
  </conditionalFormatting>
  <conditionalFormatting sqref="AC62:AC64">
    <cfRule type="cellIs" dxfId="1702" priority="80" operator="lessThanOrEqual">
      <formula>0</formula>
    </cfRule>
  </conditionalFormatting>
  <conditionalFormatting sqref="G55:N55">
    <cfRule type="cellIs" dxfId="1701" priority="73" operator="equal">
      <formula>"PMS"</formula>
    </cfRule>
    <cfRule type="cellIs" dxfId="1700" priority="74" operator="equal">
      <formula>"CMS"</formula>
    </cfRule>
    <cfRule type="cellIs" dxfId="1699" priority="75" operator="greaterThan">
      <formula>0</formula>
    </cfRule>
  </conditionalFormatting>
  <conditionalFormatting sqref="G55:N55">
    <cfRule type="cellIs" dxfId="1698" priority="76" operator="lessThanOrEqual">
      <formula>0</formula>
    </cfRule>
  </conditionalFormatting>
  <conditionalFormatting sqref="G49:AC49 G52:AC53 X55:AC65 G43:AC46 G55:U65 V56:V57 V61:V65 G84:AC85 G13:AC16 G68:AC70">
    <cfRule type="cellIs" dxfId="1697" priority="72" operator="lessThanOrEqual">
      <formula>0</formula>
    </cfRule>
  </conditionalFormatting>
  <conditionalFormatting sqref="G49:AC49 G43:AC46 G52:AC65 G84:AC85 G13:AC16 G68:AC70 G19:AC32">
    <cfRule type="cellIs" dxfId="1696" priority="69" operator="equal">
      <formula>"CMS"</formula>
    </cfRule>
    <cfRule type="cellIs" dxfId="1695" priority="70" operator="equal">
      <formula>"PMS"</formula>
    </cfRule>
    <cfRule type="cellIs" dxfId="1694" priority="71" operator="greaterThan">
      <formula>0</formula>
    </cfRule>
  </conditionalFormatting>
  <conditionalFormatting sqref="G54:AC54">
    <cfRule type="cellIs" dxfId="1693" priority="65" operator="equal">
      <formula>"PMS"</formula>
    </cfRule>
    <cfRule type="cellIs" dxfId="1692" priority="66" operator="equal">
      <formula>"CMS"</formula>
    </cfRule>
    <cfRule type="cellIs" dxfId="1691" priority="67" operator="greaterThan">
      <formula>0</formula>
    </cfRule>
  </conditionalFormatting>
  <conditionalFormatting sqref="G54:AC54">
    <cfRule type="cellIs" dxfId="1690" priority="68" operator="lessThanOrEqual">
      <formula>0</formula>
    </cfRule>
  </conditionalFormatting>
  <conditionalFormatting sqref="G54:AC54">
    <cfRule type="cellIs" dxfId="1689" priority="64" operator="lessThanOrEqual">
      <formula>0</formula>
    </cfRule>
  </conditionalFormatting>
  <conditionalFormatting sqref="G54:T54">
    <cfRule type="cellIs" dxfId="1688" priority="61" operator="equal">
      <formula>"PMS"</formula>
    </cfRule>
    <cfRule type="cellIs" dxfId="1687" priority="62" operator="equal">
      <formula>"CMS"</formula>
    </cfRule>
    <cfRule type="cellIs" dxfId="1686" priority="63" operator="greaterThan">
      <formula>0</formula>
    </cfRule>
  </conditionalFormatting>
  <conditionalFormatting sqref="G54:T54">
    <cfRule type="cellIs" dxfId="1685" priority="60" operator="lessThanOrEqual">
      <formula>0</formula>
    </cfRule>
  </conditionalFormatting>
  <conditionalFormatting sqref="L60">
    <cfRule type="cellIs" dxfId="1684" priority="56" operator="equal">
      <formula>"PMS"</formula>
    </cfRule>
    <cfRule type="cellIs" dxfId="1683" priority="57" operator="equal">
      <formula>"CMS"</formula>
    </cfRule>
    <cfRule type="cellIs" dxfId="1682" priority="58" operator="greaterThan">
      <formula>0</formula>
    </cfRule>
  </conditionalFormatting>
  <conditionalFormatting sqref="L60">
    <cfRule type="cellIs" dxfId="1681" priority="59" operator="lessThanOrEqual">
      <formula>0</formula>
    </cfRule>
  </conditionalFormatting>
  <conditionalFormatting sqref="G19:AC32">
    <cfRule type="cellIs" dxfId="1680" priority="55" operator="lessThanOrEqual">
      <formula>0</formula>
    </cfRule>
  </conditionalFormatting>
  <conditionalFormatting sqref="AC65">
    <cfRule type="cellIs" dxfId="1679" priority="51" operator="equal">
      <formula>"PMS"</formula>
    </cfRule>
    <cfRule type="cellIs" dxfId="1678" priority="52" operator="equal">
      <formula>"CMS"</formula>
    </cfRule>
    <cfRule type="cellIs" dxfId="1677" priority="53" operator="greaterThan">
      <formula>0</formula>
    </cfRule>
  </conditionalFormatting>
  <conditionalFormatting sqref="AC65">
    <cfRule type="cellIs" dxfId="1676" priority="54" operator="lessThanOrEqual">
      <formula>0</formula>
    </cfRule>
  </conditionalFormatting>
  <conditionalFormatting sqref="F49 F13:F16 F43:F46 F55:F65 F84:F85 F68:F70 F19:F32">
    <cfRule type="cellIs" dxfId="1675" priority="27" operator="equal">
      <formula>"PMS"</formula>
    </cfRule>
    <cfRule type="cellIs" dxfId="1674" priority="28" operator="equal">
      <formula>"CMS"</formula>
    </cfRule>
    <cfRule type="cellIs" dxfId="1673" priority="29" operator="greaterThan">
      <formula>0</formula>
    </cfRule>
  </conditionalFormatting>
  <conditionalFormatting sqref="F62:F64">
    <cfRule type="cellIs" dxfId="1672" priority="23" operator="equal">
      <formula>"PMS"</formula>
    </cfRule>
    <cfRule type="cellIs" dxfId="1671" priority="24" operator="equal">
      <formula>"CMS"</formula>
    </cfRule>
    <cfRule type="cellIs" dxfId="1670" priority="25" operator="greaterThan">
      <formula>0</formula>
    </cfRule>
  </conditionalFormatting>
  <conditionalFormatting sqref="F62:F64">
    <cfRule type="cellIs" dxfId="1669" priority="26" operator="lessThanOrEqual">
      <formula>0</formula>
    </cfRule>
  </conditionalFormatting>
  <conditionalFormatting sqref="F49 F52:F53 F13:F16 F43:F46 F55:F65 F84:F85 F68:F70">
    <cfRule type="cellIs" dxfId="1668" priority="22" operator="lessThanOrEqual">
      <formula>0</formula>
    </cfRule>
  </conditionalFormatting>
  <conditionalFormatting sqref="F49 F13:F16 F43:F46 F52:F65 F84:F85 F68:F70 F19:F32">
    <cfRule type="cellIs" dxfId="1667" priority="19" operator="equal">
      <formula>"CMS"</formula>
    </cfRule>
    <cfRule type="cellIs" dxfId="1666" priority="20" operator="equal">
      <formula>"PMS"</formula>
    </cfRule>
    <cfRule type="cellIs" dxfId="1665" priority="21" operator="greaterThan">
      <formula>0</formula>
    </cfRule>
  </conditionalFormatting>
  <conditionalFormatting sqref="F54">
    <cfRule type="cellIs" dxfId="1664" priority="15" operator="equal">
      <formula>"PMS"</formula>
    </cfRule>
    <cfRule type="cellIs" dxfId="1663" priority="16" operator="equal">
      <formula>"CMS"</formula>
    </cfRule>
    <cfRule type="cellIs" dxfId="1662" priority="17" operator="greaterThan">
      <formula>0</formula>
    </cfRule>
  </conditionalFormatting>
  <conditionalFormatting sqref="F54">
    <cfRule type="cellIs" dxfId="1661" priority="18" operator="lessThanOrEqual">
      <formula>0</formula>
    </cfRule>
  </conditionalFormatting>
  <conditionalFormatting sqref="F54">
    <cfRule type="cellIs" dxfId="1660" priority="14" operator="lessThanOrEqual">
      <formula>0</formula>
    </cfRule>
  </conditionalFormatting>
  <conditionalFormatting sqref="F19:F32">
    <cfRule type="cellIs" dxfId="1659" priority="13" operator="lessThanOrEqual">
      <formula>0</formula>
    </cfRule>
  </conditionalFormatting>
  <conditionalFormatting sqref="F65">
    <cfRule type="cellIs" dxfId="1658" priority="9" operator="equal">
      <formula>"PMS"</formula>
    </cfRule>
    <cfRule type="cellIs" dxfId="1657" priority="10" operator="equal">
      <formula>"CMS"</formula>
    </cfRule>
    <cfRule type="cellIs" dxfId="1656" priority="11" operator="greaterThan">
      <formula>0</formula>
    </cfRule>
  </conditionalFormatting>
  <conditionalFormatting sqref="F65">
    <cfRule type="cellIs" dxfId="1655" priority="12" operator="lessThanOrEqual">
      <formula>0</formula>
    </cfRule>
  </conditionalFormatting>
  <conditionalFormatting sqref="F136:AC136">
    <cfRule type="cellIs" dxfId="165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53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652" priority="95" operator="equal">
      <formula>"PMS"</formula>
    </cfRule>
    <cfRule type="cellIs" dxfId="1651" priority="96" operator="equal">
      <formula>"CMS"</formula>
    </cfRule>
    <cfRule type="cellIs" dxfId="1650" priority="97" operator="greaterThan">
      <formula>0</formula>
    </cfRule>
  </conditionalFormatting>
  <conditionalFormatting sqref="F138:AC138">
    <cfRule type="cellIs" dxfId="1649" priority="94" operator="greaterThan">
      <formula>60.3</formula>
    </cfRule>
  </conditionalFormatting>
  <conditionalFormatting sqref="F137:AC137">
    <cfRule type="cellIs" dxfId="1648" priority="92" operator="greaterThan">
      <formula>60.3</formula>
    </cfRule>
  </conditionalFormatting>
  <conditionalFormatting sqref="G85:I85">
    <cfRule type="cellIs" dxfId="1647" priority="88" operator="equal">
      <formula>"PMS"</formula>
    </cfRule>
    <cfRule type="cellIs" dxfId="1646" priority="89" operator="equal">
      <formula>"CMS"</formula>
    </cfRule>
    <cfRule type="cellIs" dxfId="1645" priority="90" operator="greaterThan">
      <formula>0</formula>
    </cfRule>
  </conditionalFormatting>
  <conditionalFormatting sqref="G85:I85 V55:W65">
    <cfRule type="cellIs" dxfId="1644" priority="91" operator="lessThanOrEqual">
      <formula>0</formula>
    </cfRule>
  </conditionalFormatting>
  <conditionalFormatting sqref="AC62:AC64">
    <cfRule type="cellIs" dxfId="1643" priority="84" operator="equal">
      <formula>"PMS"</formula>
    </cfRule>
    <cfRule type="cellIs" dxfId="1642" priority="85" operator="equal">
      <formula>"CMS"</formula>
    </cfRule>
    <cfRule type="cellIs" dxfId="1641" priority="86" operator="greaterThan">
      <formula>0</formula>
    </cfRule>
  </conditionalFormatting>
  <conditionalFormatting sqref="AC62:AC64">
    <cfRule type="cellIs" dxfId="1640" priority="87" operator="lessThanOrEqual">
      <formula>0</formula>
    </cfRule>
  </conditionalFormatting>
  <conditionalFormatting sqref="G55:N55">
    <cfRule type="cellIs" dxfId="1639" priority="80" operator="equal">
      <formula>"PMS"</formula>
    </cfRule>
    <cfRule type="cellIs" dxfId="1638" priority="81" operator="equal">
      <formula>"CMS"</formula>
    </cfRule>
    <cfRule type="cellIs" dxfId="1637" priority="82" operator="greaterThan">
      <formula>0</formula>
    </cfRule>
  </conditionalFormatting>
  <conditionalFormatting sqref="G55:N55">
    <cfRule type="cellIs" dxfId="1636" priority="83" operator="lessThanOrEqual">
      <formula>0</formula>
    </cfRule>
  </conditionalFormatting>
  <conditionalFormatting sqref="G49:AC49 G52:AC53 X55:AC65 V56:V57 V61:V65 G13:AC16 G84:AC85 G43:AC46 G55:U65 G68:AC70">
    <cfRule type="cellIs" dxfId="1635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634" priority="76" operator="equal">
      <formula>"CMS"</formula>
    </cfRule>
    <cfRule type="cellIs" dxfId="1633" priority="77" operator="equal">
      <formula>"PMS"</formula>
    </cfRule>
    <cfRule type="cellIs" dxfId="1632" priority="78" operator="greaterThan">
      <formula>0</formula>
    </cfRule>
  </conditionalFormatting>
  <conditionalFormatting sqref="G54:AC54">
    <cfRule type="cellIs" dxfId="1631" priority="72" operator="equal">
      <formula>"PMS"</formula>
    </cfRule>
    <cfRule type="cellIs" dxfId="1630" priority="73" operator="equal">
      <formula>"CMS"</formula>
    </cfRule>
    <cfRule type="cellIs" dxfId="1629" priority="74" operator="greaterThan">
      <formula>0</formula>
    </cfRule>
  </conditionalFormatting>
  <conditionalFormatting sqref="G54:AC54">
    <cfRule type="cellIs" dxfId="1628" priority="75" operator="lessThanOrEqual">
      <formula>0</formula>
    </cfRule>
  </conditionalFormatting>
  <conditionalFormatting sqref="G54:AC54">
    <cfRule type="cellIs" dxfId="1627" priority="71" operator="lessThanOrEqual">
      <formula>0</formula>
    </cfRule>
  </conditionalFormatting>
  <conditionalFormatting sqref="G54:T54">
    <cfRule type="cellIs" dxfId="1626" priority="68" operator="equal">
      <formula>"PMS"</formula>
    </cfRule>
    <cfRule type="cellIs" dxfId="1625" priority="69" operator="equal">
      <formula>"CMS"</formula>
    </cfRule>
    <cfRule type="cellIs" dxfId="1624" priority="70" operator="greaterThan">
      <formula>0</formula>
    </cfRule>
  </conditionalFormatting>
  <conditionalFormatting sqref="G54:T54">
    <cfRule type="cellIs" dxfId="1623" priority="67" operator="lessThanOrEqual">
      <formula>0</formula>
    </cfRule>
  </conditionalFormatting>
  <conditionalFormatting sqref="L60">
    <cfRule type="cellIs" dxfId="1622" priority="63" operator="equal">
      <formula>"PMS"</formula>
    </cfRule>
    <cfRule type="cellIs" dxfId="1621" priority="64" operator="equal">
      <formula>"CMS"</formula>
    </cfRule>
    <cfRule type="cellIs" dxfId="1620" priority="65" operator="greaterThan">
      <formula>0</formula>
    </cfRule>
  </conditionalFormatting>
  <conditionalFormatting sqref="L60">
    <cfRule type="cellIs" dxfId="1619" priority="66" operator="lessThanOrEqual">
      <formula>0</formula>
    </cfRule>
  </conditionalFormatting>
  <conditionalFormatting sqref="G20:K20 G19 G21:G23 I21:K23 I19:V19 L20:V23 W19:AC23 G24:AC32">
    <cfRule type="cellIs" dxfId="1618" priority="62" operator="lessThanOrEqual">
      <formula>0</formula>
    </cfRule>
  </conditionalFormatting>
  <conditionalFormatting sqref="AC65">
    <cfRule type="cellIs" dxfId="1617" priority="58" operator="equal">
      <formula>"PMS"</formula>
    </cfRule>
    <cfRule type="cellIs" dxfId="1616" priority="59" operator="equal">
      <formula>"CMS"</formula>
    </cfRule>
    <cfRule type="cellIs" dxfId="1615" priority="60" operator="greaterThan">
      <formula>0</formula>
    </cfRule>
  </conditionalFormatting>
  <conditionalFormatting sqref="AC65">
    <cfRule type="cellIs" dxfId="1614" priority="61" operator="lessThanOrEqual">
      <formula>0</formula>
    </cfRule>
  </conditionalFormatting>
  <conditionalFormatting sqref="F49 F43:F46 F55:F65 F84:F85 F13:F16 F68:F70 F19:F32">
    <cfRule type="cellIs" dxfId="1613" priority="34" operator="equal">
      <formula>"PMS"</formula>
    </cfRule>
    <cfRule type="cellIs" dxfId="1612" priority="35" operator="equal">
      <formula>"CMS"</formula>
    </cfRule>
    <cfRule type="cellIs" dxfId="1611" priority="36" operator="greaterThan">
      <formula>0</formula>
    </cfRule>
  </conditionalFormatting>
  <conditionalFormatting sqref="F62:F64">
    <cfRule type="cellIs" dxfId="1610" priority="30" operator="equal">
      <formula>"PMS"</formula>
    </cfRule>
    <cfRule type="cellIs" dxfId="1609" priority="31" operator="equal">
      <formula>"CMS"</formula>
    </cfRule>
    <cfRule type="cellIs" dxfId="1608" priority="32" operator="greaterThan">
      <formula>0</formula>
    </cfRule>
  </conditionalFormatting>
  <conditionalFormatting sqref="F62:F64">
    <cfRule type="cellIs" dxfId="1607" priority="33" operator="lessThanOrEqual">
      <formula>0</formula>
    </cfRule>
  </conditionalFormatting>
  <conditionalFormatting sqref="F49 F52:F53 F55:F65 F43:F46 F84:F85 F13:F16 F68:F70">
    <cfRule type="cellIs" dxfId="1606" priority="29" operator="lessThanOrEqual">
      <formula>0</formula>
    </cfRule>
  </conditionalFormatting>
  <conditionalFormatting sqref="F49 F43:F46 F52:F65 F84:F85 F13:F16 F68:F70 F19:F32">
    <cfRule type="cellIs" dxfId="1605" priority="26" operator="equal">
      <formula>"CMS"</formula>
    </cfRule>
    <cfRule type="cellIs" dxfId="1604" priority="27" operator="equal">
      <formula>"PMS"</formula>
    </cfRule>
    <cfRule type="cellIs" dxfId="1603" priority="28" operator="greaterThan">
      <formula>0</formula>
    </cfRule>
  </conditionalFormatting>
  <conditionalFormatting sqref="F54">
    <cfRule type="cellIs" dxfId="1602" priority="22" operator="equal">
      <formula>"PMS"</formula>
    </cfRule>
    <cfRule type="cellIs" dxfId="1601" priority="23" operator="equal">
      <formula>"CMS"</formula>
    </cfRule>
    <cfRule type="cellIs" dxfId="1600" priority="24" operator="greaterThan">
      <formula>0</formula>
    </cfRule>
  </conditionalFormatting>
  <conditionalFormatting sqref="F54">
    <cfRule type="cellIs" dxfId="1599" priority="25" operator="lessThanOrEqual">
      <formula>0</formula>
    </cfRule>
  </conditionalFormatting>
  <conditionalFormatting sqref="F54">
    <cfRule type="cellIs" dxfId="1598" priority="21" operator="lessThanOrEqual">
      <formula>0</formula>
    </cfRule>
  </conditionalFormatting>
  <conditionalFormatting sqref="F19:F32">
    <cfRule type="cellIs" dxfId="1597" priority="20" operator="lessThanOrEqual">
      <formula>0</formula>
    </cfRule>
  </conditionalFormatting>
  <conditionalFormatting sqref="F65">
    <cfRule type="cellIs" dxfId="1596" priority="16" operator="equal">
      <formula>"PMS"</formula>
    </cfRule>
    <cfRule type="cellIs" dxfId="1595" priority="17" operator="equal">
      <formula>"CMS"</formula>
    </cfRule>
    <cfRule type="cellIs" dxfId="1594" priority="18" operator="greaterThan">
      <formula>0</formula>
    </cfRule>
  </conditionalFormatting>
  <conditionalFormatting sqref="F65">
    <cfRule type="cellIs" dxfId="1593" priority="19" operator="lessThanOrEqual">
      <formula>0</formula>
    </cfRule>
  </conditionalFormatting>
  <conditionalFormatting sqref="H19">
    <cfRule type="cellIs" dxfId="1592" priority="13" operator="equal">
      <formula>"PMS"</formula>
    </cfRule>
    <cfRule type="cellIs" dxfId="1591" priority="14" operator="equal">
      <formula>"CMS"</formula>
    </cfRule>
    <cfRule type="cellIs" dxfId="1590" priority="15" operator="greaterThan">
      <formula>0</formula>
    </cfRule>
  </conditionalFormatting>
  <conditionalFormatting sqref="H19">
    <cfRule type="cellIs" dxfId="1589" priority="10" operator="equal">
      <formula>"CMS"</formula>
    </cfRule>
    <cfRule type="cellIs" dxfId="1588" priority="11" operator="equal">
      <formula>"PMS"</formula>
    </cfRule>
    <cfRule type="cellIs" dxfId="1587" priority="12" operator="greaterThan">
      <formula>0</formula>
    </cfRule>
  </conditionalFormatting>
  <conditionalFormatting sqref="H19">
    <cfRule type="cellIs" dxfId="1586" priority="9" operator="lessThanOrEqual">
      <formula>0</formula>
    </cfRule>
  </conditionalFormatting>
  <conditionalFormatting sqref="H21:H23">
    <cfRule type="cellIs" dxfId="1585" priority="6" operator="equal">
      <formula>"PMS"</formula>
    </cfRule>
    <cfRule type="cellIs" dxfId="1584" priority="7" operator="equal">
      <formula>"CMS"</formula>
    </cfRule>
    <cfRule type="cellIs" dxfId="1583" priority="8" operator="greaterThan">
      <formula>0</formula>
    </cfRule>
  </conditionalFormatting>
  <conditionalFormatting sqref="H21:H23">
    <cfRule type="cellIs" dxfId="1582" priority="3" operator="equal">
      <formula>"CMS"</formula>
    </cfRule>
    <cfRule type="cellIs" dxfId="1581" priority="4" operator="equal">
      <formula>"PMS"</formula>
    </cfRule>
    <cfRule type="cellIs" dxfId="1580" priority="5" operator="greaterThan">
      <formula>0</formula>
    </cfRule>
  </conditionalFormatting>
  <conditionalFormatting sqref="H21:H23">
    <cfRule type="cellIs" dxfId="1579" priority="2" operator="lessThanOrEqual">
      <formula>0</formula>
    </cfRule>
  </conditionalFormatting>
  <conditionalFormatting sqref="F136:AC136">
    <cfRule type="cellIs" dxfId="15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7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576" priority="127" operator="equal">
      <formula>"PMS"</formula>
    </cfRule>
    <cfRule type="cellIs" dxfId="1575" priority="128" operator="equal">
      <formula>"CMS"</formula>
    </cfRule>
    <cfRule type="cellIs" dxfId="1574" priority="129" operator="greaterThan">
      <formula>0</formula>
    </cfRule>
  </conditionalFormatting>
  <conditionalFormatting sqref="F138:AC138">
    <cfRule type="cellIs" dxfId="1573" priority="126" operator="greaterThan">
      <formula>60.3</formula>
    </cfRule>
  </conditionalFormatting>
  <conditionalFormatting sqref="F137:AC137">
    <cfRule type="cellIs" dxfId="1572" priority="124" operator="greaterThan">
      <formula>60.3</formula>
    </cfRule>
  </conditionalFormatting>
  <conditionalFormatting sqref="G85:I85">
    <cfRule type="cellIs" dxfId="1571" priority="120" operator="equal">
      <formula>"PMS"</formula>
    </cfRule>
    <cfRule type="cellIs" dxfId="1570" priority="121" operator="equal">
      <formula>"CMS"</formula>
    </cfRule>
    <cfRule type="cellIs" dxfId="1569" priority="122" operator="greaterThan">
      <formula>0</formula>
    </cfRule>
  </conditionalFormatting>
  <conditionalFormatting sqref="G85:I85 V55:W65">
    <cfRule type="cellIs" dxfId="1568" priority="123" operator="lessThanOrEqual">
      <formula>0</formula>
    </cfRule>
  </conditionalFormatting>
  <conditionalFormatting sqref="AC62:AC64">
    <cfRule type="cellIs" dxfId="1567" priority="116" operator="equal">
      <formula>"PMS"</formula>
    </cfRule>
    <cfRule type="cellIs" dxfId="1566" priority="117" operator="equal">
      <formula>"CMS"</formula>
    </cfRule>
    <cfRule type="cellIs" dxfId="1565" priority="118" operator="greaterThan">
      <formula>0</formula>
    </cfRule>
  </conditionalFormatting>
  <conditionalFormatting sqref="AC62:AC64">
    <cfRule type="cellIs" dxfId="1564" priority="119" operator="lessThanOrEqual">
      <formula>0</formula>
    </cfRule>
  </conditionalFormatting>
  <conditionalFormatting sqref="G55:N55">
    <cfRule type="cellIs" dxfId="1563" priority="112" operator="equal">
      <formula>"PMS"</formula>
    </cfRule>
    <cfRule type="cellIs" dxfId="1562" priority="113" operator="equal">
      <formula>"CMS"</formula>
    </cfRule>
    <cfRule type="cellIs" dxfId="1561" priority="114" operator="greaterThan">
      <formula>0</formula>
    </cfRule>
  </conditionalFormatting>
  <conditionalFormatting sqref="G55:N55">
    <cfRule type="cellIs" dxfId="1560" priority="115" operator="lessThanOrEqual">
      <formula>0</formula>
    </cfRule>
  </conditionalFormatting>
  <conditionalFormatting sqref="G49:AC49 G52:AC53 V56:V57 V61:V65 G43:AC46 G13:AC16 G55:U65 G84:AC85 X55:AC65 G68:AC70">
    <cfRule type="cellIs" dxfId="1559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558" priority="108" operator="equal">
      <formula>"CMS"</formula>
    </cfRule>
    <cfRule type="cellIs" dxfId="1557" priority="109" operator="equal">
      <formula>"PMS"</formula>
    </cfRule>
    <cfRule type="cellIs" dxfId="1556" priority="110" operator="greaterThan">
      <formula>0</formula>
    </cfRule>
  </conditionalFormatting>
  <conditionalFormatting sqref="G54:AC54">
    <cfRule type="cellIs" dxfId="1555" priority="104" operator="equal">
      <formula>"PMS"</formula>
    </cfRule>
    <cfRule type="cellIs" dxfId="1554" priority="105" operator="equal">
      <formula>"CMS"</formula>
    </cfRule>
    <cfRule type="cellIs" dxfId="1553" priority="106" operator="greaterThan">
      <formula>0</formula>
    </cfRule>
  </conditionalFormatting>
  <conditionalFormatting sqref="G54:AC54">
    <cfRule type="cellIs" dxfId="1552" priority="107" operator="lessThanOrEqual">
      <formula>0</formula>
    </cfRule>
  </conditionalFormatting>
  <conditionalFormatting sqref="G54:AC54">
    <cfRule type="cellIs" dxfId="1551" priority="103" operator="lessThanOrEqual">
      <formula>0</formula>
    </cfRule>
  </conditionalFormatting>
  <conditionalFormatting sqref="G54:T54">
    <cfRule type="cellIs" dxfId="1550" priority="100" operator="equal">
      <formula>"PMS"</formula>
    </cfRule>
    <cfRule type="cellIs" dxfId="1549" priority="101" operator="equal">
      <formula>"CMS"</formula>
    </cfRule>
    <cfRule type="cellIs" dxfId="1548" priority="102" operator="greaterThan">
      <formula>0</formula>
    </cfRule>
  </conditionalFormatting>
  <conditionalFormatting sqref="G54:T54">
    <cfRule type="cellIs" dxfId="1547" priority="99" operator="lessThanOrEqual">
      <formula>0</formula>
    </cfRule>
  </conditionalFormatting>
  <conditionalFormatting sqref="L60">
    <cfRule type="cellIs" dxfId="1546" priority="95" operator="equal">
      <formula>"PMS"</formula>
    </cfRule>
    <cfRule type="cellIs" dxfId="1545" priority="96" operator="equal">
      <formula>"CMS"</formula>
    </cfRule>
    <cfRule type="cellIs" dxfId="1544" priority="97" operator="greaterThan">
      <formula>0</formula>
    </cfRule>
  </conditionalFormatting>
  <conditionalFormatting sqref="L60">
    <cfRule type="cellIs" dxfId="1543" priority="98" operator="lessThanOrEqual">
      <formula>0</formula>
    </cfRule>
  </conditionalFormatting>
  <conditionalFormatting sqref="G19:G23 G24:N24 G25 I25:M25 I19:AC19 G26:M26 N25:N26 G27:N32 I20:N23 O20:AC32">
    <cfRule type="cellIs" dxfId="1542" priority="94" operator="lessThanOrEqual">
      <formula>0</formula>
    </cfRule>
  </conditionalFormatting>
  <conditionalFormatting sqref="AC65">
    <cfRule type="cellIs" dxfId="1541" priority="90" operator="equal">
      <formula>"PMS"</formula>
    </cfRule>
    <cfRule type="cellIs" dxfId="1540" priority="91" operator="equal">
      <formula>"CMS"</formula>
    </cfRule>
    <cfRule type="cellIs" dxfId="1539" priority="92" operator="greaterThan">
      <formula>0</formula>
    </cfRule>
  </conditionalFormatting>
  <conditionalFormatting sqref="AC65">
    <cfRule type="cellIs" dxfId="1538" priority="93" operator="lessThanOrEqual">
      <formula>0</formula>
    </cfRule>
  </conditionalFormatting>
  <conditionalFormatting sqref="F49 F55:F65 F13:F16 F84:F85 F43:F46 F19:F32 F68:F70">
    <cfRule type="cellIs" dxfId="1537" priority="52" operator="equal">
      <formula>"PMS"</formula>
    </cfRule>
    <cfRule type="cellIs" dxfId="1536" priority="53" operator="equal">
      <formula>"CMS"</formula>
    </cfRule>
    <cfRule type="cellIs" dxfId="1535" priority="54" operator="greaterThan">
      <formula>0</formula>
    </cfRule>
  </conditionalFormatting>
  <conditionalFormatting sqref="F62:F64">
    <cfRule type="cellIs" dxfId="1534" priority="48" operator="equal">
      <formula>"PMS"</formula>
    </cfRule>
    <cfRule type="cellIs" dxfId="1533" priority="49" operator="equal">
      <formula>"CMS"</formula>
    </cfRule>
    <cfRule type="cellIs" dxfId="1532" priority="50" operator="greaterThan">
      <formula>0</formula>
    </cfRule>
  </conditionalFormatting>
  <conditionalFormatting sqref="F62:F64">
    <cfRule type="cellIs" dxfId="1531" priority="51" operator="lessThanOrEqual">
      <formula>0</formula>
    </cfRule>
  </conditionalFormatting>
  <conditionalFormatting sqref="F49 F52:F53 F55:F65 F13:F16 F84:F85 F43:F46 F68:F70">
    <cfRule type="cellIs" dxfId="1530" priority="47" operator="lessThanOrEqual">
      <formula>0</formula>
    </cfRule>
  </conditionalFormatting>
  <conditionalFormatting sqref="F49 F13:F16 F84:F85 F43:F46 F52:F65 F19:F32 F68:F70">
    <cfRule type="cellIs" dxfId="1529" priority="44" operator="equal">
      <formula>"CMS"</formula>
    </cfRule>
    <cfRule type="cellIs" dxfId="1528" priority="45" operator="equal">
      <formula>"PMS"</formula>
    </cfRule>
    <cfRule type="cellIs" dxfId="1527" priority="46" operator="greaterThan">
      <formula>0</formula>
    </cfRule>
  </conditionalFormatting>
  <conditionalFormatting sqref="F54">
    <cfRule type="cellIs" dxfId="1526" priority="40" operator="equal">
      <formula>"PMS"</formula>
    </cfRule>
    <cfRule type="cellIs" dxfId="1525" priority="41" operator="equal">
      <formula>"CMS"</formula>
    </cfRule>
    <cfRule type="cellIs" dxfId="1524" priority="42" operator="greaterThan">
      <formula>0</formula>
    </cfRule>
  </conditionalFormatting>
  <conditionalFormatting sqref="F54">
    <cfRule type="cellIs" dxfId="1523" priority="43" operator="lessThanOrEqual">
      <formula>0</formula>
    </cfRule>
  </conditionalFormatting>
  <conditionalFormatting sqref="F54">
    <cfRule type="cellIs" dxfId="1522" priority="39" operator="lessThanOrEqual">
      <formula>0</formula>
    </cfRule>
  </conditionalFormatting>
  <conditionalFormatting sqref="F19:F32">
    <cfRule type="cellIs" dxfId="1521" priority="38" operator="lessThanOrEqual">
      <formula>0</formula>
    </cfRule>
  </conditionalFormatting>
  <conditionalFormatting sqref="F65">
    <cfRule type="cellIs" dxfId="1520" priority="34" operator="equal">
      <formula>"PMS"</formula>
    </cfRule>
    <cfRule type="cellIs" dxfId="1519" priority="35" operator="equal">
      <formula>"CMS"</formula>
    </cfRule>
    <cfRule type="cellIs" dxfId="1518" priority="36" operator="greaterThan">
      <formula>0</formula>
    </cfRule>
  </conditionalFormatting>
  <conditionalFormatting sqref="F65">
    <cfRule type="cellIs" dxfId="1517" priority="37" operator="lessThanOrEqual">
      <formula>0</formula>
    </cfRule>
  </conditionalFormatting>
  <conditionalFormatting sqref="H19:H23">
    <cfRule type="cellIs" dxfId="1516" priority="31" operator="equal">
      <formula>"PMS"</formula>
    </cfRule>
    <cfRule type="cellIs" dxfId="1515" priority="32" operator="equal">
      <formula>"CMS"</formula>
    </cfRule>
    <cfRule type="cellIs" dxfId="1514" priority="33" operator="greaterThan">
      <formula>0</formula>
    </cfRule>
  </conditionalFormatting>
  <conditionalFormatting sqref="H19:H23">
    <cfRule type="cellIs" dxfId="1513" priority="28" operator="equal">
      <formula>"CMS"</formula>
    </cfRule>
    <cfRule type="cellIs" dxfId="1512" priority="29" operator="equal">
      <formula>"PMS"</formula>
    </cfRule>
    <cfRule type="cellIs" dxfId="1511" priority="30" operator="greaterThan">
      <formula>0</formula>
    </cfRule>
  </conditionalFormatting>
  <conditionalFormatting sqref="H19:H23">
    <cfRule type="cellIs" dxfId="1510" priority="27" operator="lessThanOrEqual">
      <formula>0</formula>
    </cfRule>
  </conditionalFormatting>
  <conditionalFormatting sqref="H25">
    <cfRule type="cellIs" dxfId="1509" priority="17" operator="equal">
      <formula>"PMS"</formula>
    </cfRule>
    <cfRule type="cellIs" dxfId="1508" priority="18" operator="equal">
      <formula>"CMS"</formula>
    </cfRule>
    <cfRule type="cellIs" dxfId="1507" priority="19" operator="greaterThan">
      <formula>0</formula>
    </cfRule>
  </conditionalFormatting>
  <conditionalFormatting sqref="H25">
    <cfRule type="cellIs" dxfId="1506" priority="14" operator="equal">
      <formula>"CMS"</formula>
    </cfRule>
    <cfRule type="cellIs" dxfId="1505" priority="15" operator="equal">
      <formula>"PMS"</formula>
    </cfRule>
    <cfRule type="cellIs" dxfId="1504" priority="16" operator="greaterThan">
      <formula>0</formula>
    </cfRule>
  </conditionalFormatting>
  <conditionalFormatting sqref="H25">
    <cfRule type="cellIs" dxfId="1503" priority="13" operator="lessThanOrEqual">
      <formula>0</formula>
    </cfRule>
  </conditionalFormatting>
  <conditionalFormatting sqref="M44">
    <cfRule type="cellIs" dxfId="1502" priority="12" operator="lessThanOrEqual">
      <formula>0</formula>
    </cfRule>
  </conditionalFormatting>
  <conditionalFormatting sqref="N44">
    <cfRule type="cellIs" dxfId="1501" priority="11" operator="lessThanOrEqual">
      <formula>0</formula>
    </cfRule>
  </conditionalFormatting>
  <conditionalFormatting sqref="Q55">
    <cfRule type="cellIs" dxfId="1500" priority="7" operator="equal">
      <formula>"PMS"</formula>
    </cfRule>
    <cfRule type="cellIs" dxfId="1499" priority="8" operator="equal">
      <formula>"CMS"</formula>
    </cfRule>
    <cfRule type="cellIs" dxfId="1498" priority="9" operator="greaterThan">
      <formula>0</formula>
    </cfRule>
  </conditionalFormatting>
  <conditionalFormatting sqref="Q55">
    <cfRule type="cellIs" dxfId="1497" priority="10" operator="lessThanOrEqual">
      <formula>0</formula>
    </cfRule>
  </conditionalFormatting>
  <conditionalFormatting sqref="Q55">
    <cfRule type="cellIs" dxfId="1496" priority="6" operator="lessThanOrEqual">
      <formula>0</formula>
    </cfRule>
  </conditionalFormatting>
  <conditionalFormatting sqref="Q55">
    <cfRule type="cellIs" dxfId="1495" priority="3" operator="equal">
      <formula>"PMS"</formula>
    </cfRule>
    <cfRule type="cellIs" dxfId="1494" priority="4" operator="equal">
      <formula>"CMS"</formula>
    </cfRule>
    <cfRule type="cellIs" dxfId="1493" priority="5" operator="greaterThan">
      <formula>0</formula>
    </cfRule>
  </conditionalFormatting>
  <conditionalFormatting sqref="Q55">
    <cfRule type="cellIs" dxfId="1492" priority="2" operator="lessThanOrEqual">
      <formula>0</formula>
    </cfRule>
  </conditionalFormatting>
  <conditionalFormatting sqref="F136:AC136">
    <cfRule type="cellIs" dxfId="149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90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489" priority="105" operator="equal">
      <formula>"PMS"</formula>
    </cfRule>
    <cfRule type="cellIs" dxfId="1488" priority="106" operator="equal">
      <formula>"CMS"</formula>
    </cfRule>
    <cfRule type="cellIs" dxfId="1487" priority="107" operator="greaterThan">
      <formula>0</formula>
    </cfRule>
  </conditionalFormatting>
  <conditionalFormatting sqref="F138:AC138">
    <cfRule type="cellIs" dxfId="1486" priority="104" operator="greaterThan">
      <formula>60.3</formula>
    </cfRule>
  </conditionalFormatting>
  <conditionalFormatting sqref="F136:AC136">
    <cfRule type="cellIs" dxfId="1485" priority="103" operator="greaterThan">
      <formula>60.3</formula>
    </cfRule>
  </conditionalFormatting>
  <conditionalFormatting sqref="F137:AC137">
    <cfRule type="cellIs" dxfId="1484" priority="102" operator="greaterThan">
      <formula>60.3</formula>
    </cfRule>
  </conditionalFormatting>
  <conditionalFormatting sqref="G85:I85">
    <cfRule type="cellIs" dxfId="1483" priority="98" operator="equal">
      <formula>"PMS"</formula>
    </cfRule>
    <cfRule type="cellIs" dxfId="1482" priority="99" operator="equal">
      <formula>"CMS"</formula>
    </cfRule>
    <cfRule type="cellIs" dxfId="1481" priority="100" operator="greaterThan">
      <formula>0</formula>
    </cfRule>
  </conditionalFormatting>
  <conditionalFormatting sqref="G85:I85 V55:W65">
    <cfRule type="cellIs" dxfId="1480" priority="101" operator="lessThanOrEqual">
      <formula>0</formula>
    </cfRule>
  </conditionalFormatting>
  <conditionalFormatting sqref="AC62:AC64">
    <cfRule type="cellIs" dxfId="1479" priority="94" operator="equal">
      <formula>"PMS"</formula>
    </cfRule>
    <cfRule type="cellIs" dxfId="1478" priority="95" operator="equal">
      <formula>"CMS"</formula>
    </cfRule>
    <cfRule type="cellIs" dxfId="1477" priority="96" operator="greaterThan">
      <formula>0</formula>
    </cfRule>
  </conditionalFormatting>
  <conditionalFormatting sqref="AC62:AC64">
    <cfRule type="cellIs" dxfId="1476" priority="97" operator="lessThanOrEqual">
      <formula>0</formula>
    </cfRule>
  </conditionalFormatting>
  <conditionalFormatting sqref="G55:N55">
    <cfRule type="cellIs" dxfId="1475" priority="90" operator="equal">
      <formula>"PMS"</formula>
    </cfRule>
    <cfRule type="cellIs" dxfId="1474" priority="91" operator="equal">
      <formula>"CMS"</formula>
    </cfRule>
    <cfRule type="cellIs" dxfId="1473" priority="92" operator="greaterThan">
      <formula>0</formula>
    </cfRule>
  </conditionalFormatting>
  <conditionalFormatting sqref="G55:N55">
    <cfRule type="cellIs" dxfId="1472" priority="93" operator="lessThanOrEqual">
      <formula>0</formula>
    </cfRule>
  </conditionalFormatting>
  <conditionalFormatting sqref="G49:AC49 G52:AC53 V56:V57 V61:V65 G13:AC16 G55:U65 G43:AC46 X55:AC65 G68:AC70 G84:AC85">
    <cfRule type="cellIs" dxfId="1471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470" priority="86" operator="equal">
      <formula>"CMS"</formula>
    </cfRule>
    <cfRule type="cellIs" dxfId="1469" priority="87" operator="equal">
      <formula>"PMS"</formula>
    </cfRule>
    <cfRule type="cellIs" dxfId="1468" priority="88" operator="greaterThan">
      <formula>0</formula>
    </cfRule>
  </conditionalFormatting>
  <conditionalFormatting sqref="G54:AC54">
    <cfRule type="cellIs" dxfId="1467" priority="82" operator="equal">
      <formula>"PMS"</formula>
    </cfRule>
    <cfRule type="cellIs" dxfId="1466" priority="83" operator="equal">
      <formula>"CMS"</formula>
    </cfRule>
    <cfRule type="cellIs" dxfId="1465" priority="84" operator="greaterThan">
      <formula>0</formula>
    </cfRule>
  </conditionalFormatting>
  <conditionalFormatting sqref="G54:AC54">
    <cfRule type="cellIs" dxfId="1464" priority="85" operator="lessThanOrEqual">
      <formula>0</formula>
    </cfRule>
  </conditionalFormatting>
  <conditionalFormatting sqref="G54:AC54">
    <cfRule type="cellIs" dxfId="1463" priority="81" operator="lessThanOrEqual">
      <formula>0</formula>
    </cfRule>
  </conditionalFormatting>
  <conditionalFormatting sqref="G54:T54">
    <cfRule type="cellIs" dxfId="1462" priority="78" operator="equal">
      <formula>"PMS"</formula>
    </cfRule>
    <cfRule type="cellIs" dxfId="1461" priority="79" operator="equal">
      <formula>"CMS"</formula>
    </cfRule>
    <cfRule type="cellIs" dxfId="1460" priority="80" operator="greaterThan">
      <formula>0</formula>
    </cfRule>
  </conditionalFormatting>
  <conditionalFormatting sqref="G54:T54">
    <cfRule type="cellIs" dxfId="1459" priority="77" operator="lessThanOrEqual">
      <formula>0</formula>
    </cfRule>
  </conditionalFormatting>
  <conditionalFormatting sqref="L60">
    <cfRule type="cellIs" dxfId="1458" priority="73" operator="equal">
      <formula>"PMS"</formula>
    </cfRule>
    <cfRule type="cellIs" dxfId="1457" priority="74" operator="equal">
      <formula>"CMS"</formula>
    </cfRule>
    <cfRule type="cellIs" dxfId="1456" priority="75" operator="greaterThan">
      <formula>0</formula>
    </cfRule>
  </conditionalFormatting>
  <conditionalFormatting sqref="L60">
    <cfRule type="cellIs" dxfId="1455" priority="76" operator="lessThanOrEqual">
      <formula>0</formula>
    </cfRule>
  </conditionalFormatting>
  <conditionalFormatting sqref="G19:G23 G24:N24 G25 I25:M25 I19:AC19 G26:M26 N25:N26 G27:N32 I20:N23 O20:AC32">
    <cfRule type="cellIs" dxfId="1454" priority="72" operator="lessThanOrEqual">
      <formula>0</formula>
    </cfRule>
  </conditionalFormatting>
  <conditionalFormatting sqref="AC65">
    <cfRule type="cellIs" dxfId="1453" priority="68" operator="equal">
      <formula>"PMS"</formula>
    </cfRule>
    <cfRule type="cellIs" dxfId="1452" priority="69" operator="equal">
      <formula>"CMS"</formula>
    </cfRule>
    <cfRule type="cellIs" dxfId="1451" priority="70" operator="greaterThan">
      <formula>0</formula>
    </cfRule>
  </conditionalFormatting>
  <conditionalFormatting sqref="AC65">
    <cfRule type="cellIs" dxfId="1450" priority="71" operator="lessThanOrEqual">
      <formula>0</formula>
    </cfRule>
  </conditionalFormatting>
  <conditionalFormatting sqref="H19:H23">
    <cfRule type="cellIs" dxfId="1449" priority="44" operator="equal">
      <formula>"PMS"</formula>
    </cfRule>
    <cfRule type="cellIs" dxfId="1448" priority="45" operator="equal">
      <formula>"CMS"</formula>
    </cfRule>
    <cfRule type="cellIs" dxfId="1447" priority="46" operator="greaterThan">
      <formula>0</formula>
    </cfRule>
  </conditionalFormatting>
  <conditionalFormatting sqref="H19:H23">
    <cfRule type="cellIs" dxfId="1446" priority="41" operator="equal">
      <formula>"CMS"</formula>
    </cfRule>
    <cfRule type="cellIs" dxfId="1445" priority="42" operator="equal">
      <formula>"PMS"</formula>
    </cfRule>
    <cfRule type="cellIs" dxfId="1444" priority="43" operator="greaterThan">
      <formula>0</formula>
    </cfRule>
  </conditionalFormatting>
  <conditionalFormatting sqref="H19:H23">
    <cfRule type="cellIs" dxfId="1443" priority="40" operator="lessThanOrEqual">
      <formula>0</formula>
    </cfRule>
  </conditionalFormatting>
  <conditionalFormatting sqref="H25">
    <cfRule type="cellIs" dxfId="1442" priority="37" operator="equal">
      <formula>"PMS"</formula>
    </cfRule>
    <cfRule type="cellIs" dxfId="1441" priority="38" operator="equal">
      <formula>"CMS"</formula>
    </cfRule>
    <cfRule type="cellIs" dxfId="1440" priority="39" operator="greaterThan">
      <formula>0</formula>
    </cfRule>
  </conditionalFormatting>
  <conditionalFormatting sqref="H25">
    <cfRule type="cellIs" dxfId="1439" priority="34" operator="equal">
      <formula>"CMS"</formula>
    </cfRule>
    <cfRule type="cellIs" dxfId="1438" priority="35" operator="equal">
      <formula>"PMS"</formula>
    </cfRule>
    <cfRule type="cellIs" dxfId="1437" priority="36" operator="greaterThan">
      <formula>0</formula>
    </cfRule>
  </conditionalFormatting>
  <conditionalFormatting sqref="H25">
    <cfRule type="cellIs" dxfId="1436" priority="33" operator="lessThanOrEqual">
      <formula>0</formula>
    </cfRule>
  </conditionalFormatting>
  <conditionalFormatting sqref="M44">
    <cfRule type="cellIs" dxfId="1435" priority="32" operator="lessThanOrEqual">
      <formula>0</formula>
    </cfRule>
  </conditionalFormatting>
  <conditionalFormatting sqref="N44">
    <cfRule type="cellIs" dxfId="1434" priority="31" operator="lessThanOrEqual">
      <formula>0</formula>
    </cfRule>
  </conditionalFormatting>
  <conditionalFormatting sqref="Q55">
    <cfRule type="cellIs" dxfId="1433" priority="27" operator="equal">
      <formula>"PMS"</formula>
    </cfRule>
    <cfRule type="cellIs" dxfId="1432" priority="28" operator="equal">
      <formula>"CMS"</formula>
    </cfRule>
    <cfRule type="cellIs" dxfId="1431" priority="29" operator="greaterThan">
      <formula>0</formula>
    </cfRule>
  </conditionalFormatting>
  <conditionalFormatting sqref="Q55">
    <cfRule type="cellIs" dxfId="1430" priority="30" operator="lessThanOrEqual">
      <formula>0</formula>
    </cfRule>
  </conditionalFormatting>
  <conditionalFormatting sqref="Q55">
    <cfRule type="cellIs" dxfId="1429" priority="26" operator="lessThanOrEqual">
      <formula>0</formula>
    </cfRule>
  </conditionalFormatting>
  <conditionalFormatting sqref="Q55">
    <cfRule type="cellIs" dxfId="1428" priority="23" operator="equal">
      <formula>"PMS"</formula>
    </cfRule>
    <cfRule type="cellIs" dxfId="1427" priority="24" operator="equal">
      <formula>"CMS"</formula>
    </cfRule>
    <cfRule type="cellIs" dxfId="1426" priority="25" operator="greaterThan">
      <formula>0</formula>
    </cfRule>
  </conditionalFormatting>
  <conditionalFormatting sqref="Q55">
    <cfRule type="cellIs" dxfId="1425" priority="22" operator="lessThanOrEqual">
      <formula>0</formula>
    </cfRule>
  </conditionalFormatting>
  <conditionalFormatting sqref="F49 F43:F46 F13:F16 F84:F85 F55:F65 F68:F70 F19:F32">
    <cfRule type="cellIs" dxfId="1424" priority="19" operator="equal">
      <formula>"PMS"</formula>
    </cfRule>
    <cfRule type="cellIs" dxfId="1423" priority="20" operator="equal">
      <formula>"CMS"</formula>
    </cfRule>
    <cfRule type="cellIs" dxfId="1422" priority="21" operator="greaterThan">
      <formula>0</formula>
    </cfRule>
  </conditionalFormatting>
  <conditionalFormatting sqref="F62:F64">
    <cfRule type="cellIs" dxfId="1421" priority="15" operator="equal">
      <formula>"PMS"</formula>
    </cfRule>
    <cfRule type="cellIs" dxfId="1420" priority="16" operator="equal">
      <formula>"CMS"</formula>
    </cfRule>
    <cfRule type="cellIs" dxfId="1419" priority="17" operator="greaterThan">
      <formula>0</formula>
    </cfRule>
  </conditionalFormatting>
  <conditionalFormatting sqref="F62:F64">
    <cfRule type="cellIs" dxfId="1418" priority="18" operator="lessThanOrEqual">
      <formula>0</formula>
    </cfRule>
  </conditionalFormatting>
  <conditionalFormatting sqref="F49 F52:F53 F43:F46 F13:F16 F84:F85 F55:F65 F68:F70">
    <cfRule type="cellIs" dxfId="1417" priority="14" operator="lessThanOrEqual">
      <formula>0</formula>
    </cfRule>
  </conditionalFormatting>
  <conditionalFormatting sqref="F49 F43:F46 F13:F16 F84:F85 F52:F65 F68:F70 F19:F32">
    <cfRule type="cellIs" dxfId="1416" priority="11" operator="equal">
      <formula>"CMS"</formula>
    </cfRule>
    <cfRule type="cellIs" dxfId="1415" priority="12" operator="equal">
      <formula>"PMS"</formula>
    </cfRule>
    <cfRule type="cellIs" dxfId="1414" priority="13" operator="greaterThan">
      <formula>0</formula>
    </cfRule>
  </conditionalFormatting>
  <conditionalFormatting sqref="F54">
    <cfRule type="cellIs" dxfId="1413" priority="7" operator="equal">
      <formula>"PMS"</formula>
    </cfRule>
    <cfRule type="cellIs" dxfId="1412" priority="8" operator="equal">
      <formula>"CMS"</formula>
    </cfRule>
    <cfRule type="cellIs" dxfId="1411" priority="9" operator="greaterThan">
      <formula>0</formula>
    </cfRule>
  </conditionalFormatting>
  <conditionalFormatting sqref="F54">
    <cfRule type="cellIs" dxfId="1410" priority="10" operator="lessThanOrEqual">
      <formula>0</formula>
    </cfRule>
  </conditionalFormatting>
  <conditionalFormatting sqref="F54">
    <cfRule type="cellIs" dxfId="1409" priority="6" operator="lessThanOrEqual">
      <formula>0</formula>
    </cfRule>
  </conditionalFormatting>
  <conditionalFormatting sqref="F19:F32">
    <cfRule type="cellIs" dxfId="1408" priority="5" operator="lessThanOrEqual">
      <formula>0</formula>
    </cfRule>
  </conditionalFormatting>
  <conditionalFormatting sqref="F65">
    <cfRule type="cellIs" dxfId="1407" priority="1" operator="equal">
      <formula>"PMS"</formula>
    </cfRule>
    <cfRule type="cellIs" dxfId="1406" priority="2" operator="equal">
      <formula>"CMS"</formula>
    </cfRule>
    <cfRule type="cellIs" dxfId="1405" priority="3" operator="greaterThan">
      <formula>0</formula>
    </cfRule>
  </conditionalFormatting>
  <conditionalFormatting sqref="F65">
    <cfRule type="cellIs" dxfId="140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03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402" priority="119" operator="equal">
      <formula>"PMS"</formula>
    </cfRule>
    <cfRule type="cellIs" dxfId="1401" priority="120" operator="equal">
      <formula>"CMS"</formula>
    </cfRule>
    <cfRule type="cellIs" dxfId="1400" priority="121" operator="greaterThan">
      <formula>0</formula>
    </cfRule>
  </conditionalFormatting>
  <conditionalFormatting sqref="F138:AC138">
    <cfRule type="cellIs" dxfId="1399" priority="118" operator="greaterThan">
      <formula>60.3</formula>
    </cfRule>
  </conditionalFormatting>
  <conditionalFormatting sqref="F136:AC136">
    <cfRule type="cellIs" dxfId="1398" priority="117" operator="greaterThan">
      <formula>60.3</formula>
    </cfRule>
  </conditionalFormatting>
  <conditionalFormatting sqref="F137:AC137">
    <cfRule type="cellIs" dxfId="1397" priority="116" operator="greaterThan">
      <formula>60.3</formula>
    </cfRule>
  </conditionalFormatting>
  <conditionalFormatting sqref="G85:I85">
    <cfRule type="cellIs" dxfId="1396" priority="112" operator="equal">
      <formula>"PMS"</formula>
    </cfRule>
    <cfRule type="cellIs" dxfId="1395" priority="113" operator="equal">
      <formula>"CMS"</formula>
    </cfRule>
    <cfRule type="cellIs" dxfId="1394" priority="114" operator="greaterThan">
      <formula>0</formula>
    </cfRule>
  </conditionalFormatting>
  <conditionalFormatting sqref="G85:I85 V55:W65">
    <cfRule type="cellIs" dxfId="1393" priority="115" operator="lessThanOrEqual">
      <formula>0</formula>
    </cfRule>
  </conditionalFormatting>
  <conditionalFormatting sqref="AC62:AC64">
    <cfRule type="cellIs" dxfId="1392" priority="108" operator="equal">
      <formula>"PMS"</formula>
    </cfRule>
    <cfRule type="cellIs" dxfId="1391" priority="109" operator="equal">
      <formula>"CMS"</formula>
    </cfRule>
    <cfRule type="cellIs" dxfId="1390" priority="110" operator="greaterThan">
      <formula>0</formula>
    </cfRule>
  </conditionalFormatting>
  <conditionalFormatting sqref="AC62:AC64">
    <cfRule type="cellIs" dxfId="1389" priority="111" operator="lessThanOrEqual">
      <formula>0</formula>
    </cfRule>
  </conditionalFormatting>
  <conditionalFormatting sqref="G55:N55">
    <cfRule type="cellIs" dxfId="1388" priority="104" operator="equal">
      <formula>"PMS"</formula>
    </cfRule>
    <cfRule type="cellIs" dxfId="1387" priority="105" operator="equal">
      <formula>"CMS"</formula>
    </cfRule>
    <cfRule type="cellIs" dxfId="1386" priority="106" operator="greaterThan">
      <formula>0</formula>
    </cfRule>
  </conditionalFormatting>
  <conditionalFormatting sqref="G55:N55">
    <cfRule type="cellIs" dxfId="1385" priority="107" operator="lessThanOrEqual">
      <formula>0</formula>
    </cfRule>
  </conditionalFormatting>
  <conditionalFormatting sqref="G52:AC53 V56:V57 V61:V65 G55:U65 G43:AC46 G49:AC49 G13:AC16 X55:AC65 G84:AC85 G68:AC70">
    <cfRule type="cellIs" dxfId="1384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383" priority="100" operator="equal">
      <formula>"CMS"</formula>
    </cfRule>
    <cfRule type="cellIs" dxfId="1382" priority="101" operator="equal">
      <formula>"PMS"</formula>
    </cfRule>
    <cfRule type="cellIs" dxfId="1381" priority="102" operator="greaterThan">
      <formula>0</formula>
    </cfRule>
  </conditionalFormatting>
  <conditionalFormatting sqref="G54:AC54">
    <cfRule type="cellIs" dxfId="1380" priority="96" operator="equal">
      <formula>"PMS"</formula>
    </cfRule>
    <cfRule type="cellIs" dxfId="1379" priority="97" operator="equal">
      <formula>"CMS"</formula>
    </cfRule>
    <cfRule type="cellIs" dxfId="1378" priority="98" operator="greaterThan">
      <formula>0</formula>
    </cfRule>
  </conditionalFormatting>
  <conditionalFormatting sqref="G54:AC54">
    <cfRule type="cellIs" dxfId="1377" priority="99" operator="lessThanOrEqual">
      <formula>0</formula>
    </cfRule>
  </conditionalFormatting>
  <conditionalFormatting sqref="G54:AC54">
    <cfRule type="cellIs" dxfId="1376" priority="95" operator="lessThanOrEqual">
      <formula>0</formula>
    </cfRule>
  </conditionalFormatting>
  <conditionalFormatting sqref="G54:T54">
    <cfRule type="cellIs" dxfId="1375" priority="92" operator="equal">
      <formula>"PMS"</formula>
    </cfRule>
    <cfRule type="cellIs" dxfId="1374" priority="93" operator="equal">
      <formula>"CMS"</formula>
    </cfRule>
    <cfRule type="cellIs" dxfId="1373" priority="94" operator="greaterThan">
      <formula>0</formula>
    </cfRule>
  </conditionalFormatting>
  <conditionalFormatting sqref="G54:T54">
    <cfRule type="cellIs" dxfId="1372" priority="91" operator="lessThanOrEqual">
      <formula>0</formula>
    </cfRule>
  </conditionalFormatting>
  <conditionalFormatting sqref="L60">
    <cfRule type="cellIs" dxfId="1371" priority="87" operator="equal">
      <formula>"PMS"</formula>
    </cfRule>
    <cfRule type="cellIs" dxfId="1370" priority="88" operator="equal">
      <formula>"CMS"</formula>
    </cfRule>
    <cfRule type="cellIs" dxfId="1369" priority="89" operator="greaterThan">
      <formula>0</formula>
    </cfRule>
  </conditionalFormatting>
  <conditionalFormatting sqref="L60">
    <cfRule type="cellIs" dxfId="1368" priority="90" operator="lessThanOrEqual">
      <formula>0</formula>
    </cfRule>
  </conditionalFormatting>
  <conditionalFormatting sqref="G19:G23 G24:N24 G25 I25:M25 G26:M26 N25:N26 G27:N32 I20:N23 I19:AC19 O20:AC32">
    <cfRule type="cellIs" dxfId="1367" priority="86" operator="lessThanOrEqual">
      <formula>0</formula>
    </cfRule>
  </conditionalFormatting>
  <conditionalFormatting sqref="AC65">
    <cfRule type="cellIs" dxfId="1366" priority="82" operator="equal">
      <formula>"PMS"</formula>
    </cfRule>
    <cfRule type="cellIs" dxfId="1365" priority="83" operator="equal">
      <formula>"CMS"</formula>
    </cfRule>
    <cfRule type="cellIs" dxfId="1364" priority="84" operator="greaterThan">
      <formula>0</formula>
    </cfRule>
  </conditionalFormatting>
  <conditionalFormatting sqref="AC65">
    <cfRule type="cellIs" dxfId="1363" priority="85" operator="lessThanOrEqual">
      <formula>0</formula>
    </cfRule>
  </conditionalFormatting>
  <conditionalFormatting sqref="H25">
    <cfRule type="cellIs" dxfId="1362" priority="72" operator="equal">
      <formula>"PMS"</formula>
    </cfRule>
    <cfRule type="cellIs" dxfId="1361" priority="73" operator="equal">
      <formula>"CMS"</formula>
    </cfRule>
    <cfRule type="cellIs" dxfId="1360" priority="74" operator="greaterThan">
      <formula>0</formula>
    </cfRule>
  </conditionalFormatting>
  <conditionalFormatting sqref="H25">
    <cfRule type="cellIs" dxfId="1359" priority="69" operator="equal">
      <formula>"CMS"</formula>
    </cfRule>
    <cfRule type="cellIs" dxfId="1358" priority="70" operator="equal">
      <formula>"PMS"</formula>
    </cfRule>
    <cfRule type="cellIs" dxfId="1357" priority="71" operator="greaterThan">
      <formula>0</formula>
    </cfRule>
  </conditionalFormatting>
  <conditionalFormatting sqref="H25">
    <cfRule type="cellIs" dxfId="1356" priority="68" operator="lessThanOrEqual">
      <formula>0</formula>
    </cfRule>
  </conditionalFormatting>
  <conditionalFormatting sqref="M44">
    <cfRule type="cellIs" dxfId="1355" priority="67" operator="lessThanOrEqual">
      <formula>0</formula>
    </cfRule>
  </conditionalFormatting>
  <conditionalFormatting sqref="N44">
    <cfRule type="cellIs" dxfId="1354" priority="66" operator="lessThanOrEqual">
      <formula>0</formula>
    </cfRule>
  </conditionalFormatting>
  <conditionalFormatting sqref="Q55">
    <cfRule type="cellIs" dxfId="1353" priority="62" operator="equal">
      <formula>"PMS"</formula>
    </cfRule>
    <cfRule type="cellIs" dxfId="1352" priority="63" operator="equal">
      <formula>"CMS"</formula>
    </cfRule>
    <cfRule type="cellIs" dxfId="1351" priority="64" operator="greaterThan">
      <formula>0</formula>
    </cfRule>
  </conditionalFormatting>
  <conditionalFormatting sqref="Q55">
    <cfRule type="cellIs" dxfId="1350" priority="65" operator="lessThanOrEqual">
      <formula>0</formula>
    </cfRule>
  </conditionalFormatting>
  <conditionalFormatting sqref="Q55">
    <cfRule type="cellIs" dxfId="1349" priority="61" operator="lessThanOrEqual">
      <formula>0</formula>
    </cfRule>
  </conditionalFormatting>
  <conditionalFormatting sqref="Q55">
    <cfRule type="cellIs" dxfId="1348" priority="58" operator="equal">
      <formula>"PMS"</formula>
    </cfRule>
    <cfRule type="cellIs" dxfId="1347" priority="59" operator="equal">
      <formula>"CMS"</formula>
    </cfRule>
    <cfRule type="cellIs" dxfId="1346" priority="60" operator="greaterThan">
      <formula>0</formula>
    </cfRule>
  </conditionalFormatting>
  <conditionalFormatting sqref="Q55">
    <cfRule type="cellIs" dxfId="1345" priority="57" operator="lessThanOrEqual">
      <formula>0</formula>
    </cfRule>
  </conditionalFormatting>
  <conditionalFormatting sqref="F49 F13:F16 F55:F65 F43:F46 F68:F70 F84:F85 F19:F32">
    <cfRule type="cellIs" dxfId="1344" priority="33" operator="equal">
      <formula>"PMS"</formula>
    </cfRule>
    <cfRule type="cellIs" dxfId="1343" priority="34" operator="equal">
      <formula>"CMS"</formula>
    </cfRule>
    <cfRule type="cellIs" dxfId="1342" priority="35" operator="greaterThan">
      <formula>0</formula>
    </cfRule>
  </conditionalFormatting>
  <conditionalFormatting sqref="F62:F64">
    <cfRule type="cellIs" dxfId="1341" priority="29" operator="equal">
      <formula>"PMS"</formula>
    </cfRule>
    <cfRule type="cellIs" dxfId="1340" priority="30" operator="equal">
      <formula>"CMS"</formula>
    </cfRule>
    <cfRule type="cellIs" dxfId="1339" priority="31" operator="greaterThan">
      <formula>0</formula>
    </cfRule>
  </conditionalFormatting>
  <conditionalFormatting sqref="F62:F64">
    <cfRule type="cellIs" dxfId="1338" priority="32" operator="lessThanOrEqual">
      <formula>0</formula>
    </cfRule>
  </conditionalFormatting>
  <conditionalFormatting sqref="F49 F52:F53 F13:F16 F43:F46 F55:F65 F68:F70 F84:F85">
    <cfRule type="cellIs" dxfId="1337" priority="28" operator="lessThanOrEqual">
      <formula>0</formula>
    </cfRule>
  </conditionalFormatting>
  <conditionalFormatting sqref="F49 F13:F16 F43:F46 F52:F65 F68:F70 F84:F85 F19:F32">
    <cfRule type="cellIs" dxfId="1336" priority="25" operator="equal">
      <formula>"CMS"</formula>
    </cfRule>
    <cfRule type="cellIs" dxfId="1335" priority="26" operator="equal">
      <formula>"PMS"</formula>
    </cfRule>
    <cfRule type="cellIs" dxfId="1334" priority="27" operator="greaterThan">
      <formula>0</formula>
    </cfRule>
  </conditionalFormatting>
  <conditionalFormatting sqref="F54">
    <cfRule type="cellIs" dxfId="1333" priority="21" operator="equal">
      <formula>"PMS"</formula>
    </cfRule>
    <cfRule type="cellIs" dxfId="1332" priority="22" operator="equal">
      <formula>"CMS"</formula>
    </cfRule>
    <cfRule type="cellIs" dxfId="1331" priority="23" operator="greaterThan">
      <formula>0</formula>
    </cfRule>
  </conditionalFormatting>
  <conditionalFormatting sqref="F54">
    <cfRule type="cellIs" dxfId="1330" priority="24" operator="lessThanOrEqual">
      <formula>0</formula>
    </cfRule>
  </conditionalFormatting>
  <conditionalFormatting sqref="F54">
    <cfRule type="cellIs" dxfId="1329" priority="20" operator="lessThanOrEqual">
      <formula>0</formula>
    </cfRule>
  </conditionalFormatting>
  <conditionalFormatting sqref="F19:F32">
    <cfRule type="cellIs" dxfId="1328" priority="19" operator="lessThanOrEqual">
      <formula>0</formula>
    </cfRule>
  </conditionalFormatting>
  <conditionalFormatting sqref="F65">
    <cfRule type="cellIs" dxfId="1327" priority="15" operator="equal">
      <formula>"PMS"</formula>
    </cfRule>
    <cfRule type="cellIs" dxfId="1326" priority="16" operator="equal">
      <formula>"CMS"</formula>
    </cfRule>
    <cfRule type="cellIs" dxfId="1325" priority="17" operator="greaterThan">
      <formula>0</formula>
    </cfRule>
  </conditionalFormatting>
  <conditionalFormatting sqref="F65">
    <cfRule type="cellIs" dxfId="1324" priority="18" operator="lessThanOrEqual">
      <formula>0</formula>
    </cfRule>
  </conditionalFormatting>
  <conditionalFormatting sqref="H19:H23">
    <cfRule type="cellIs" dxfId="1323" priority="12" operator="equal">
      <formula>"PMS"</formula>
    </cfRule>
    <cfRule type="cellIs" dxfId="1322" priority="13" operator="equal">
      <formula>"CMS"</formula>
    </cfRule>
    <cfRule type="cellIs" dxfId="1321" priority="14" operator="greaterThan">
      <formula>0</formula>
    </cfRule>
  </conditionalFormatting>
  <conditionalFormatting sqref="H19:H23">
    <cfRule type="cellIs" dxfId="1320" priority="9" operator="equal">
      <formula>"CMS"</formula>
    </cfRule>
    <cfRule type="cellIs" dxfId="1319" priority="10" operator="equal">
      <formula>"PMS"</formula>
    </cfRule>
    <cfRule type="cellIs" dxfId="1318" priority="11" operator="greaterThan">
      <formula>0</formula>
    </cfRule>
  </conditionalFormatting>
  <conditionalFormatting sqref="H19:H23">
    <cfRule type="cellIs" dxfId="1317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13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316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315" priority="105" operator="equal">
      <formula>"PMS"</formula>
    </cfRule>
    <cfRule type="cellIs" dxfId="1314" priority="106" operator="equal">
      <formula>"CMS"</formula>
    </cfRule>
    <cfRule type="cellIs" dxfId="1313" priority="107" operator="greaterThan">
      <formula>0</formula>
    </cfRule>
  </conditionalFormatting>
  <conditionalFormatting sqref="F138:AC138">
    <cfRule type="cellIs" dxfId="1312" priority="104" operator="greaterThan">
      <formula>60.3</formula>
    </cfRule>
  </conditionalFormatting>
  <conditionalFormatting sqref="F136:AC136">
    <cfRule type="cellIs" dxfId="1311" priority="103" operator="greaterThan">
      <formula>60.3</formula>
    </cfRule>
  </conditionalFormatting>
  <conditionalFormatting sqref="F137:AC137">
    <cfRule type="cellIs" dxfId="1310" priority="102" operator="greaterThan">
      <formula>60.3</formula>
    </cfRule>
  </conditionalFormatting>
  <conditionalFormatting sqref="G85:I85">
    <cfRule type="cellIs" dxfId="1309" priority="98" operator="equal">
      <formula>"PMS"</formula>
    </cfRule>
    <cfRule type="cellIs" dxfId="1308" priority="99" operator="equal">
      <formula>"CMS"</formula>
    </cfRule>
    <cfRule type="cellIs" dxfId="1307" priority="100" operator="greaterThan">
      <formula>0</formula>
    </cfRule>
  </conditionalFormatting>
  <conditionalFormatting sqref="G85:I85 V55:W65">
    <cfRule type="cellIs" dxfId="1306" priority="101" operator="lessThanOrEqual">
      <formula>0</formula>
    </cfRule>
  </conditionalFormatting>
  <conditionalFormatting sqref="AC62:AC64">
    <cfRule type="cellIs" dxfId="1305" priority="94" operator="equal">
      <formula>"PMS"</formula>
    </cfRule>
    <cfRule type="cellIs" dxfId="1304" priority="95" operator="equal">
      <formula>"CMS"</formula>
    </cfRule>
    <cfRule type="cellIs" dxfId="1303" priority="96" operator="greaterThan">
      <formula>0</formula>
    </cfRule>
  </conditionalFormatting>
  <conditionalFormatting sqref="AC62:AC64">
    <cfRule type="cellIs" dxfId="1302" priority="97" operator="lessThanOrEqual">
      <formula>0</formula>
    </cfRule>
  </conditionalFormatting>
  <conditionalFormatting sqref="G55:N55">
    <cfRule type="cellIs" dxfId="1301" priority="90" operator="equal">
      <formula>"PMS"</formula>
    </cfRule>
    <cfRule type="cellIs" dxfId="1300" priority="91" operator="equal">
      <formula>"CMS"</formula>
    </cfRule>
    <cfRule type="cellIs" dxfId="1299" priority="92" operator="greaterThan">
      <formula>0</formula>
    </cfRule>
  </conditionalFormatting>
  <conditionalFormatting sqref="G55:N55">
    <cfRule type="cellIs" dxfId="1298" priority="93" operator="lessThanOrEqual">
      <formula>0</formula>
    </cfRule>
  </conditionalFormatting>
  <conditionalFormatting sqref="G52:AC53 V56:V57 V61:V65 G49:AC49 G13:AC16 X55:AC65 G84:AC85 G43:AC46 G55:U65 G68:AC70">
    <cfRule type="cellIs" dxfId="1297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296" priority="86" operator="equal">
      <formula>"CMS"</formula>
    </cfRule>
    <cfRule type="cellIs" dxfId="1295" priority="87" operator="equal">
      <formula>"PMS"</formula>
    </cfRule>
    <cfRule type="cellIs" dxfId="1294" priority="88" operator="greaterThan">
      <formula>0</formula>
    </cfRule>
  </conditionalFormatting>
  <conditionalFormatting sqref="G54:AC54">
    <cfRule type="cellIs" dxfId="1293" priority="82" operator="equal">
      <formula>"PMS"</formula>
    </cfRule>
    <cfRule type="cellIs" dxfId="1292" priority="83" operator="equal">
      <formula>"CMS"</formula>
    </cfRule>
    <cfRule type="cellIs" dxfId="1291" priority="84" operator="greaterThan">
      <formula>0</formula>
    </cfRule>
  </conditionalFormatting>
  <conditionalFormatting sqref="G54:AC54">
    <cfRule type="cellIs" dxfId="1290" priority="85" operator="lessThanOrEqual">
      <formula>0</formula>
    </cfRule>
  </conditionalFormatting>
  <conditionalFormatting sqref="G54:AC54">
    <cfRule type="cellIs" dxfId="1289" priority="81" operator="lessThanOrEqual">
      <formula>0</formula>
    </cfRule>
  </conditionalFormatting>
  <conditionalFormatting sqref="G54:T54">
    <cfRule type="cellIs" dxfId="1288" priority="78" operator="equal">
      <formula>"PMS"</formula>
    </cfRule>
    <cfRule type="cellIs" dxfId="1287" priority="79" operator="equal">
      <formula>"CMS"</formula>
    </cfRule>
    <cfRule type="cellIs" dxfId="1286" priority="80" operator="greaterThan">
      <formula>0</formula>
    </cfRule>
  </conditionalFormatting>
  <conditionalFormatting sqref="G54:T54">
    <cfRule type="cellIs" dxfId="1285" priority="77" operator="lessThanOrEqual">
      <formula>0</formula>
    </cfRule>
  </conditionalFormatting>
  <conditionalFormatting sqref="L60">
    <cfRule type="cellIs" dxfId="1284" priority="73" operator="equal">
      <formula>"PMS"</formula>
    </cfRule>
    <cfRule type="cellIs" dxfId="1283" priority="74" operator="equal">
      <formula>"CMS"</formula>
    </cfRule>
    <cfRule type="cellIs" dxfId="1282" priority="75" operator="greaterThan">
      <formula>0</formula>
    </cfRule>
  </conditionalFormatting>
  <conditionalFormatting sqref="L60">
    <cfRule type="cellIs" dxfId="1281" priority="76" operator="lessThanOrEqual">
      <formula>0</formula>
    </cfRule>
  </conditionalFormatting>
  <conditionalFormatting sqref="G19:G23 G24:N24 G25 I25:M25 G26:M26 N25:N26 G27:N32 I19:AC19 I20:N23 O20:AC32">
    <cfRule type="cellIs" dxfId="1280" priority="72" operator="lessThanOrEqual">
      <formula>0</formula>
    </cfRule>
  </conditionalFormatting>
  <conditionalFormatting sqref="AC65">
    <cfRule type="cellIs" dxfId="1279" priority="68" operator="equal">
      <formula>"PMS"</formula>
    </cfRule>
    <cfRule type="cellIs" dxfId="1278" priority="69" operator="equal">
      <formula>"CMS"</formula>
    </cfRule>
    <cfRule type="cellIs" dxfId="1277" priority="70" operator="greaterThan">
      <formula>0</formula>
    </cfRule>
  </conditionalFormatting>
  <conditionalFormatting sqref="AC65">
    <cfRule type="cellIs" dxfId="1276" priority="71" operator="lessThanOrEqual">
      <formula>0</formula>
    </cfRule>
  </conditionalFormatting>
  <conditionalFormatting sqref="H25">
    <cfRule type="cellIs" dxfId="1275" priority="65" operator="equal">
      <formula>"PMS"</formula>
    </cfRule>
    <cfRule type="cellIs" dxfId="1274" priority="66" operator="equal">
      <formula>"CMS"</formula>
    </cfRule>
    <cfRule type="cellIs" dxfId="1273" priority="67" operator="greaterThan">
      <formula>0</formula>
    </cfRule>
  </conditionalFormatting>
  <conditionalFormatting sqref="H25">
    <cfRule type="cellIs" dxfId="1272" priority="62" operator="equal">
      <formula>"CMS"</formula>
    </cfRule>
    <cfRule type="cellIs" dxfId="1271" priority="63" operator="equal">
      <formula>"PMS"</formula>
    </cfRule>
    <cfRule type="cellIs" dxfId="1270" priority="64" operator="greaterThan">
      <formula>0</formula>
    </cfRule>
  </conditionalFormatting>
  <conditionalFormatting sqref="H25">
    <cfRule type="cellIs" dxfId="1269" priority="61" operator="lessThanOrEqual">
      <formula>0</formula>
    </cfRule>
  </conditionalFormatting>
  <conditionalFormatting sqref="M44">
    <cfRule type="cellIs" dxfId="1268" priority="60" operator="lessThanOrEqual">
      <formula>0</formula>
    </cfRule>
  </conditionalFormatting>
  <conditionalFormatting sqref="N43:N44">
    <cfRule type="cellIs" dxfId="1267" priority="59" operator="lessThanOrEqual">
      <formula>0</formula>
    </cfRule>
  </conditionalFormatting>
  <conditionalFormatting sqref="Q55">
    <cfRule type="cellIs" dxfId="1266" priority="55" operator="equal">
      <formula>"PMS"</formula>
    </cfRule>
    <cfRule type="cellIs" dxfId="1265" priority="56" operator="equal">
      <formula>"CMS"</formula>
    </cfRule>
    <cfRule type="cellIs" dxfId="1264" priority="57" operator="greaterThan">
      <formula>0</formula>
    </cfRule>
  </conditionalFormatting>
  <conditionalFormatting sqref="Q55">
    <cfRule type="cellIs" dxfId="1263" priority="58" operator="lessThanOrEqual">
      <formula>0</formula>
    </cfRule>
  </conditionalFormatting>
  <conditionalFormatting sqref="Q55">
    <cfRule type="cellIs" dxfId="1262" priority="54" operator="lessThanOrEqual">
      <formula>0</formula>
    </cfRule>
  </conditionalFormatting>
  <conditionalFormatting sqref="Q55">
    <cfRule type="cellIs" dxfId="1261" priority="51" operator="equal">
      <formula>"PMS"</formula>
    </cfRule>
    <cfRule type="cellIs" dxfId="1260" priority="52" operator="equal">
      <formula>"CMS"</formula>
    </cfRule>
    <cfRule type="cellIs" dxfId="1259" priority="53" operator="greaterThan">
      <formula>0</formula>
    </cfRule>
  </conditionalFormatting>
  <conditionalFormatting sqref="Q55">
    <cfRule type="cellIs" dxfId="1258" priority="50" operator="lessThanOrEqual">
      <formula>0</formula>
    </cfRule>
  </conditionalFormatting>
  <conditionalFormatting sqref="H19:H23">
    <cfRule type="cellIs" dxfId="1257" priority="26" operator="equal">
      <formula>"PMS"</formula>
    </cfRule>
    <cfRule type="cellIs" dxfId="1256" priority="27" operator="equal">
      <formula>"CMS"</formula>
    </cfRule>
    <cfRule type="cellIs" dxfId="1255" priority="28" operator="greaterThan">
      <formula>0</formula>
    </cfRule>
  </conditionalFormatting>
  <conditionalFormatting sqref="H19:H23">
    <cfRule type="cellIs" dxfId="1254" priority="23" operator="equal">
      <formula>"CMS"</formula>
    </cfRule>
    <cfRule type="cellIs" dxfId="1253" priority="24" operator="equal">
      <formula>"PMS"</formula>
    </cfRule>
    <cfRule type="cellIs" dxfId="1252" priority="25" operator="greaterThan">
      <formula>0</formula>
    </cfRule>
  </conditionalFormatting>
  <conditionalFormatting sqref="H19:H23">
    <cfRule type="cellIs" dxfId="1251" priority="22" operator="lessThanOrEqual">
      <formula>0</formula>
    </cfRule>
  </conditionalFormatting>
  <conditionalFormatting sqref="F55:F65 F43:F46 F49 F13:F16 F84:F85 F68:F70 F19:F32">
    <cfRule type="cellIs" dxfId="1250" priority="19" operator="equal">
      <formula>"PMS"</formula>
    </cfRule>
    <cfRule type="cellIs" dxfId="1249" priority="20" operator="equal">
      <formula>"CMS"</formula>
    </cfRule>
    <cfRule type="cellIs" dxfId="1248" priority="21" operator="greaterThan">
      <formula>0</formula>
    </cfRule>
  </conditionalFormatting>
  <conditionalFormatting sqref="F62:F64">
    <cfRule type="cellIs" dxfId="1247" priority="15" operator="equal">
      <formula>"PMS"</formula>
    </cfRule>
    <cfRule type="cellIs" dxfId="1246" priority="16" operator="equal">
      <formula>"CMS"</formula>
    </cfRule>
    <cfRule type="cellIs" dxfId="1245" priority="17" operator="greaterThan">
      <formula>0</formula>
    </cfRule>
  </conditionalFormatting>
  <conditionalFormatting sqref="F62:F64">
    <cfRule type="cellIs" dxfId="1244" priority="18" operator="lessThanOrEqual">
      <formula>0</formula>
    </cfRule>
  </conditionalFormatting>
  <conditionalFormatting sqref="F52:F53 F43:F46 F49 F13:F16 F55:F65 F84:F85 F68:F70">
    <cfRule type="cellIs" dxfId="1243" priority="14" operator="lessThanOrEqual">
      <formula>0</formula>
    </cfRule>
  </conditionalFormatting>
  <conditionalFormatting sqref="F43:F46 F49 F13:F16 F52:F65 F84:F85 F68:F70 F19:F32">
    <cfRule type="cellIs" dxfId="1242" priority="11" operator="equal">
      <formula>"CMS"</formula>
    </cfRule>
    <cfRule type="cellIs" dxfId="1241" priority="12" operator="equal">
      <formula>"PMS"</formula>
    </cfRule>
    <cfRule type="cellIs" dxfId="1240" priority="13" operator="greaterThan">
      <formula>0</formula>
    </cfRule>
  </conditionalFormatting>
  <conditionalFormatting sqref="F54">
    <cfRule type="cellIs" dxfId="1239" priority="7" operator="equal">
      <formula>"PMS"</formula>
    </cfRule>
    <cfRule type="cellIs" dxfId="1238" priority="8" operator="equal">
      <formula>"CMS"</formula>
    </cfRule>
    <cfRule type="cellIs" dxfId="1237" priority="9" operator="greaterThan">
      <formula>0</formula>
    </cfRule>
  </conditionalFormatting>
  <conditionalFormatting sqref="F54">
    <cfRule type="cellIs" dxfId="1236" priority="10" operator="lessThanOrEqual">
      <formula>0</formula>
    </cfRule>
  </conditionalFormatting>
  <conditionalFormatting sqref="F54">
    <cfRule type="cellIs" dxfId="1235" priority="6" operator="lessThanOrEqual">
      <formula>0</formula>
    </cfRule>
  </conditionalFormatting>
  <conditionalFormatting sqref="F19:F32">
    <cfRule type="cellIs" dxfId="1234" priority="5" operator="lessThanOrEqual">
      <formula>0</formula>
    </cfRule>
  </conditionalFormatting>
  <conditionalFormatting sqref="F65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65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tabSelected="1" zoomScale="70" zoomScaleNormal="70" workbookViewId="0">
      <pane xSplit="5" ySplit="11" topLeftCell="S18" activePane="bottomRight" state="frozen"/>
      <selection pane="topRight" activeCell="F1" sqref="F1"/>
      <selection pane="bottomLeft" activeCell="A12" sqref="A12"/>
      <selection pane="bottomRight" activeCell="AL47" sqref="AL4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1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>
        <f>9.909/10</f>
        <v>0.99090000000000011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>
        <f>9.909/10</f>
        <v>0.99090000000000011</v>
      </c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>
        <f>9.909/10</f>
        <v>0.99090000000000011</v>
      </c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9">SUM(C19:C32)</f>
        <v>14</v>
      </c>
      <c r="D33" s="16">
        <f t="shared" si="19"/>
        <v>0</v>
      </c>
      <c r="E33" s="16">
        <f t="shared" si="19"/>
        <v>0</v>
      </c>
      <c r="F33" s="16">
        <f t="shared" si="19"/>
        <v>3.9</v>
      </c>
      <c r="G33" s="16">
        <f t="shared" si="19"/>
        <v>7.9189999999999987</v>
      </c>
      <c r="H33" s="16">
        <f t="shared" si="19"/>
        <v>5.4820000000000002</v>
      </c>
      <c r="I33" s="16">
        <f t="shared" si="19"/>
        <v>4.4269999999999996</v>
      </c>
      <c r="J33" s="16">
        <f t="shared" si="19"/>
        <v>0</v>
      </c>
      <c r="K33" s="16">
        <f t="shared" si="19"/>
        <v>0</v>
      </c>
      <c r="L33" s="16">
        <f t="shared" si="19"/>
        <v>2.9390000000000001</v>
      </c>
      <c r="M33" s="16">
        <f t="shared" si="19"/>
        <v>1.9359999999999999</v>
      </c>
      <c r="N33" s="16">
        <f t="shared" si="19"/>
        <v>6.9019999999999992</v>
      </c>
      <c r="O33" s="16">
        <f t="shared" si="19"/>
        <v>12.831</v>
      </c>
      <c r="P33" s="16">
        <f t="shared" si="19"/>
        <v>12.859</v>
      </c>
      <c r="Q33" s="16">
        <f t="shared" si="19"/>
        <v>12.83</v>
      </c>
      <c r="R33" s="16">
        <f t="shared" si="19"/>
        <v>12.845000000000001</v>
      </c>
      <c r="S33" s="16">
        <f t="shared" si="19"/>
        <v>12.823</v>
      </c>
      <c r="T33" s="16">
        <f t="shared" si="19"/>
        <v>12.825000000000001</v>
      </c>
      <c r="U33" s="16">
        <f t="shared" si="19"/>
        <v>12.827999999999998</v>
      </c>
      <c r="V33" s="16">
        <f t="shared" si="19"/>
        <v>12.853999999999999</v>
      </c>
      <c r="W33" s="16">
        <f t="shared" si="19"/>
        <v>12.851999999999997</v>
      </c>
      <c r="X33" s="16">
        <f t="shared" si="19"/>
        <v>10.827999999999999</v>
      </c>
      <c r="Y33" s="16">
        <f t="shared" si="19"/>
        <v>10.821999999999996</v>
      </c>
      <c r="Z33" s="16">
        <f t="shared" si="19"/>
        <v>9.9009999999999998</v>
      </c>
      <c r="AA33" s="16">
        <f t="shared" si="19"/>
        <v>9.9090000000000007</v>
      </c>
      <c r="AB33" s="16">
        <f t="shared" si="19"/>
        <v>10.927200000000001</v>
      </c>
      <c r="AC33" s="16">
        <f t="shared" si="19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23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20">SUM(C43:C46)</f>
        <v>26.6</v>
      </c>
      <c r="D47" s="16">
        <f t="shared" si="20"/>
        <v>0</v>
      </c>
      <c r="E47" s="16">
        <f t="shared" si="20"/>
        <v>0</v>
      </c>
      <c r="F47" s="16">
        <f t="shared" si="20"/>
        <v>9.4</v>
      </c>
      <c r="G47" s="16">
        <f t="shared" si="20"/>
        <v>10.8</v>
      </c>
      <c r="H47" s="16">
        <f t="shared" si="20"/>
        <v>11.2</v>
      </c>
      <c r="I47" s="16">
        <f t="shared" si="20"/>
        <v>11.2</v>
      </c>
      <c r="J47" s="16">
        <f t="shared" si="20"/>
        <v>11</v>
      </c>
      <c r="K47" s="16">
        <f t="shared" si="20"/>
        <v>10.5</v>
      </c>
      <c r="L47" s="16">
        <f t="shared" si="20"/>
        <v>11</v>
      </c>
      <c r="M47" s="16">
        <f t="shared" si="20"/>
        <v>10.9</v>
      </c>
      <c r="N47" s="16">
        <f t="shared" si="20"/>
        <v>11.3</v>
      </c>
      <c r="O47" s="16">
        <f t="shared" si="20"/>
        <v>13.7</v>
      </c>
      <c r="P47" s="16">
        <f t="shared" si="20"/>
        <v>16.5</v>
      </c>
      <c r="Q47" s="16">
        <f t="shared" si="20"/>
        <v>18</v>
      </c>
      <c r="R47" s="16">
        <f t="shared" si="20"/>
        <v>16.5</v>
      </c>
      <c r="S47" s="16">
        <f t="shared" si="20"/>
        <v>15.5</v>
      </c>
      <c r="T47" s="16">
        <f t="shared" si="20"/>
        <v>15</v>
      </c>
      <c r="U47" s="16">
        <f t="shared" si="20"/>
        <v>17</v>
      </c>
      <c r="V47" s="16">
        <f t="shared" si="20"/>
        <v>15.5</v>
      </c>
      <c r="W47" s="16">
        <f t="shared" si="20"/>
        <v>15.5</v>
      </c>
      <c r="X47" s="16">
        <f t="shared" si="20"/>
        <v>13.7</v>
      </c>
      <c r="Y47" s="16">
        <f t="shared" si="20"/>
        <v>13.7</v>
      </c>
      <c r="Z47" s="16">
        <f t="shared" si="20"/>
        <v>15</v>
      </c>
      <c r="AA47" s="16">
        <f t="shared" si="20"/>
        <v>14</v>
      </c>
      <c r="AB47" s="16">
        <f t="shared" si="20"/>
        <v>11</v>
      </c>
      <c r="AC47" s="16">
        <f t="shared" si="20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14.3</v>
      </c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23</v>
      </c>
    </row>
    <row r="50" spans="1:35" x14ac:dyDescent="0.25">
      <c r="A50" s="8" t="s">
        <v>21</v>
      </c>
      <c r="B50" s="16">
        <f>B49</f>
        <v>0</v>
      </c>
      <c r="C50" s="16">
        <f t="shared" ref="C50:AC50" si="21">C49</f>
        <v>15</v>
      </c>
      <c r="D50" s="16">
        <f t="shared" si="21"/>
        <v>0</v>
      </c>
      <c r="E50" s="16">
        <f t="shared" si="21"/>
        <v>0</v>
      </c>
      <c r="F50" s="16">
        <f t="shared" si="21"/>
        <v>14.26</v>
      </c>
      <c r="G50" s="16">
        <f t="shared" si="21"/>
        <v>14.23</v>
      </c>
      <c r="H50" s="16">
        <f t="shared" si="21"/>
        <v>14.28</v>
      </c>
      <c r="I50" s="16">
        <f t="shared" si="21"/>
        <v>14.29</v>
      </c>
      <c r="J50" s="16">
        <f t="shared" si="21"/>
        <v>14.28</v>
      </c>
      <c r="K50" s="16">
        <f t="shared" si="21"/>
        <v>14.3</v>
      </c>
      <c r="L50" s="16">
        <f t="shared" si="21"/>
        <v>14.3</v>
      </c>
      <c r="M50" s="16">
        <f t="shared" si="21"/>
        <v>14.25</v>
      </c>
      <c r="N50" s="16">
        <f t="shared" si="21"/>
        <v>14.25</v>
      </c>
      <c r="O50" s="16">
        <f t="shared" si="21"/>
        <v>14.23</v>
      </c>
      <c r="P50" s="16">
        <f t="shared" si="21"/>
        <v>14.24</v>
      </c>
      <c r="Q50" s="16">
        <f t="shared" si="21"/>
        <v>14.25</v>
      </c>
      <c r="R50" s="16">
        <f t="shared" si="21"/>
        <v>14.22</v>
      </c>
      <c r="S50" s="16">
        <f t="shared" si="21"/>
        <v>14.22</v>
      </c>
      <c r="T50" s="16">
        <f t="shared" si="21"/>
        <v>14.18</v>
      </c>
      <c r="U50" s="16">
        <f t="shared" si="21"/>
        <v>14.2</v>
      </c>
      <c r="V50" s="16">
        <f t="shared" si="21"/>
        <v>14.24</v>
      </c>
      <c r="W50" s="16">
        <f t="shared" si="21"/>
        <v>14.21</v>
      </c>
      <c r="X50" s="16">
        <f t="shared" si="21"/>
        <v>14.24</v>
      </c>
      <c r="Y50" s="16">
        <f t="shared" si="21"/>
        <v>14.28</v>
      </c>
      <c r="Z50" s="16">
        <f t="shared" si="21"/>
        <v>14.25</v>
      </c>
      <c r="AA50" s="16">
        <f t="shared" si="21"/>
        <v>14.3</v>
      </c>
      <c r="AB50" s="16">
        <f t="shared" si="21"/>
        <v>14.3</v>
      </c>
      <c r="AC50" s="16">
        <f t="shared" si="21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/>
      <c r="AD52" s="36"/>
      <c r="AE52" s="36"/>
      <c r="AF52" s="10">
        <f t="shared" ref="AF52:AF65" si="22">COUNTIF(F52:AC52,$AJ$8)</f>
        <v>0</v>
      </c>
      <c r="AG52" s="10">
        <f t="shared" ref="AG52:AG65" si="23">COUNTIF(G52:AD52,$AJ$7)</f>
        <v>0</v>
      </c>
      <c r="AH52" s="10">
        <f t="shared" ref="AH52:AH65" si="2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/>
      <c r="AD53" s="36"/>
      <c r="AE53" s="36"/>
      <c r="AF53" s="10">
        <f t="shared" si="22"/>
        <v>0</v>
      </c>
      <c r="AG53" s="10">
        <f t="shared" si="23"/>
        <v>0</v>
      </c>
      <c r="AH53" s="10">
        <f t="shared" si="2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/>
      <c r="AD54" s="36"/>
      <c r="AE54" s="36"/>
      <c r="AF54" s="10">
        <f t="shared" si="22"/>
        <v>0</v>
      </c>
      <c r="AG54" s="10">
        <f t="shared" si="23"/>
        <v>0</v>
      </c>
      <c r="AH54" s="10">
        <f t="shared" si="2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2"/>
        <v>0</v>
      </c>
      <c r="AG55" s="10">
        <f t="shared" si="23"/>
        <v>0</v>
      </c>
      <c r="AH55" s="10">
        <f t="shared" si="2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2"/>
        <v>0</v>
      </c>
      <c r="AG56" s="10">
        <f t="shared" si="23"/>
        <v>0</v>
      </c>
      <c r="AH56" s="10">
        <f t="shared" si="24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/>
      <c r="AD57" s="36"/>
      <c r="AE57" s="36"/>
      <c r="AF57" s="10">
        <f t="shared" si="22"/>
        <v>0</v>
      </c>
      <c r="AG57" s="10">
        <f t="shared" si="23"/>
        <v>0</v>
      </c>
      <c r="AH57" s="10">
        <f t="shared" si="24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2"/>
        <v>0</v>
      </c>
      <c r="AG58" s="10">
        <f t="shared" si="23"/>
        <v>0</v>
      </c>
      <c r="AH58" s="10">
        <f t="shared" si="24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2"/>
        <v>0</v>
      </c>
      <c r="AG60" s="10">
        <f t="shared" si="23"/>
        <v>0</v>
      </c>
      <c r="AH60" s="10">
        <f t="shared" si="24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2"/>
        <v>0</v>
      </c>
      <c r="AG61" s="10">
        <f t="shared" si="23"/>
        <v>0</v>
      </c>
      <c r="AH61" s="10">
        <f t="shared" si="2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2"/>
        <v>0</v>
      </c>
      <c r="AG62" s="10">
        <f t="shared" si="23"/>
        <v>0</v>
      </c>
      <c r="AH62" s="10">
        <f t="shared" si="2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2"/>
        <v>0</v>
      </c>
      <c r="AG63" s="10">
        <f t="shared" si="23"/>
        <v>0</v>
      </c>
      <c r="AH63" s="10">
        <f t="shared" si="24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2"/>
        <v>0</v>
      </c>
      <c r="AG64" s="10">
        <f t="shared" si="23"/>
        <v>0</v>
      </c>
      <c r="AH64" s="10">
        <f t="shared" si="24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2"/>
        <v>0</v>
      </c>
      <c r="AG65" s="10">
        <f t="shared" si="23"/>
        <v>0</v>
      </c>
      <c r="AH65" s="10">
        <f t="shared" si="24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5">SUM(F52:F65)</f>
        <v>0</v>
      </c>
      <c r="G66" s="16">
        <f t="shared" si="25"/>
        <v>0</v>
      </c>
      <c r="H66" s="16">
        <f t="shared" si="25"/>
        <v>0</v>
      </c>
      <c r="I66" s="16">
        <f t="shared" si="25"/>
        <v>0</v>
      </c>
      <c r="J66" s="16">
        <f t="shared" si="25"/>
        <v>0</v>
      </c>
      <c r="K66" s="16">
        <f t="shared" si="25"/>
        <v>0</v>
      </c>
      <c r="L66" s="16">
        <f t="shared" si="25"/>
        <v>0</v>
      </c>
      <c r="M66" s="16">
        <f t="shared" si="25"/>
        <v>0</v>
      </c>
      <c r="N66" s="16">
        <f t="shared" si="25"/>
        <v>0</v>
      </c>
      <c r="O66" s="16">
        <f t="shared" si="25"/>
        <v>2.8</v>
      </c>
      <c r="P66" s="16">
        <f t="shared" si="25"/>
        <v>5.2</v>
      </c>
      <c r="Q66" s="16">
        <f t="shared" si="25"/>
        <v>5.2</v>
      </c>
      <c r="R66" s="16">
        <f t="shared" si="25"/>
        <v>3.5</v>
      </c>
      <c r="S66" s="16">
        <f t="shared" si="25"/>
        <v>4.4000000000000004</v>
      </c>
      <c r="T66" s="16">
        <f>SUM(T52:T65)</f>
        <v>4.4000000000000004</v>
      </c>
      <c r="U66" s="16">
        <f t="shared" si="25"/>
        <v>3.5</v>
      </c>
      <c r="V66" s="16">
        <f t="shared" si="25"/>
        <v>2.8</v>
      </c>
      <c r="W66" s="16">
        <f t="shared" si="25"/>
        <v>0.7</v>
      </c>
      <c r="X66" s="16">
        <f t="shared" si="25"/>
        <v>0</v>
      </c>
      <c r="Y66" s="16">
        <f t="shared" si="25"/>
        <v>0</v>
      </c>
      <c r="Z66" s="16">
        <f t="shared" si="25"/>
        <v>0</v>
      </c>
      <c r="AA66" s="16">
        <f t="shared" si="25"/>
        <v>0</v>
      </c>
      <c r="AB66" s="16">
        <f t="shared" si="25"/>
        <v>0</v>
      </c>
      <c r="AC66" s="16">
        <f t="shared" si="2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6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6"/>
        <v>0.55999999999999994</v>
      </c>
      <c r="Z69" s="273">
        <f>1.54/3</f>
        <v>0.51333333333333331</v>
      </c>
      <c r="AA69" s="273">
        <v>0.7</v>
      </c>
      <c r="AB69" s="273">
        <v>0.7</v>
      </c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19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6"/>
        <v>0.55999999999999994</v>
      </c>
      <c r="Z70" s="273">
        <f>1.54/3</f>
        <v>0.51333333333333331</v>
      </c>
      <c r="AA70" s="273">
        <v>0.7</v>
      </c>
      <c r="AB70" s="273">
        <v>0.7</v>
      </c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7">SUM(C68:C70)</f>
        <v>2.5499999999999998</v>
      </c>
      <c r="D71" s="16">
        <f t="shared" si="27"/>
        <v>0</v>
      </c>
      <c r="E71" s="16">
        <f t="shared" si="27"/>
        <v>0</v>
      </c>
      <c r="F71" s="16">
        <f t="shared" si="27"/>
        <v>0.98</v>
      </c>
      <c r="G71" s="16">
        <f t="shared" si="27"/>
        <v>0.9</v>
      </c>
      <c r="H71" s="16">
        <f t="shared" si="27"/>
        <v>0.87</v>
      </c>
      <c r="I71" s="16">
        <f t="shared" si="27"/>
        <v>0.85</v>
      </c>
      <c r="J71" s="16">
        <f t="shared" si="27"/>
        <v>0.85</v>
      </c>
      <c r="K71" s="16">
        <f t="shared" si="27"/>
        <v>1</v>
      </c>
      <c r="L71" s="16">
        <f t="shared" si="27"/>
        <v>1.25</v>
      </c>
      <c r="M71" s="16">
        <f t="shared" si="27"/>
        <v>1.24</v>
      </c>
      <c r="N71" s="16">
        <f t="shared" si="27"/>
        <v>1.1399999999999999</v>
      </c>
      <c r="O71" s="16">
        <f t="shared" si="27"/>
        <v>1.47</v>
      </c>
      <c r="P71" s="16">
        <f t="shared" si="27"/>
        <v>1.51</v>
      </c>
      <c r="Q71" s="16">
        <f t="shared" si="27"/>
        <v>1.51</v>
      </c>
      <c r="R71" s="16">
        <f t="shared" si="27"/>
        <v>1.5699999999999998</v>
      </c>
      <c r="S71" s="16">
        <f t="shared" si="27"/>
        <v>1.58</v>
      </c>
      <c r="T71" s="16">
        <f t="shared" si="27"/>
        <v>1.5500000000000003</v>
      </c>
      <c r="U71" s="16">
        <f t="shared" si="27"/>
        <v>1.54</v>
      </c>
      <c r="V71" s="16">
        <f t="shared" si="27"/>
        <v>1.47</v>
      </c>
      <c r="W71" s="16">
        <f t="shared" si="27"/>
        <v>1.44</v>
      </c>
      <c r="X71" s="16">
        <f t="shared" si="27"/>
        <v>1.5</v>
      </c>
      <c r="Y71" s="16">
        <f t="shared" si="27"/>
        <v>1.6799999999999997</v>
      </c>
      <c r="Z71" s="16">
        <f t="shared" si="27"/>
        <v>1.54</v>
      </c>
      <c r="AA71" s="16">
        <f t="shared" si="27"/>
        <v>1.4</v>
      </c>
      <c r="AB71" s="16">
        <f t="shared" si="27"/>
        <v>1.4</v>
      </c>
      <c r="AC71" s="16">
        <f t="shared" si="27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8">COUNTIF(F73:AC73,$AF$11)</f>
        <v>0</v>
      </c>
      <c r="AG73" s="10">
        <f t="shared" ref="AG73:AG81" si="29">COUNTIF(G73:AC73,$AG$11)</f>
        <v>0</v>
      </c>
      <c r="AH73" s="10">
        <f t="shared" ref="AH73:AH81" si="3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8"/>
        <v>0</v>
      </c>
      <c r="AG74" s="10">
        <f t="shared" si="29"/>
        <v>0</v>
      </c>
      <c r="AH74" s="10">
        <f t="shared" si="3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8"/>
        <v>0</v>
      </c>
      <c r="AG76" s="10">
        <f t="shared" si="29"/>
        <v>0</v>
      </c>
      <c r="AH76" s="10">
        <f t="shared" si="3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8"/>
        <v>0</v>
      </c>
      <c r="AG77" s="10">
        <f t="shared" si="29"/>
        <v>0</v>
      </c>
      <c r="AH77" s="10">
        <f t="shared" si="3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8"/>
        <v>0</v>
      </c>
      <c r="AG78" s="10">
        <f t="shared" si="29"/>
        <v>0</v>
      </c>
      <c r="AH78" s="10">
        <f t="shared" si="3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8"/>
        <v>0</v>
      </c>
      <c r="AG79" s="10">
        <f t="shared" si="29"/>
        <v>0</v>
      </c>
      <c r="AH79" s="10">
        <f t="shared" si="3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8"/>
        <v>0</v>
      </c>
      <c r="AG80" s="10">
        <f t="shared" si="29"/>
        <v>0</v>
      </c>
      <c r="AH80" s="10">
        <f t="shared" si="3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8"/>
        <v>0</v>
      </c>
      <c r="AG81" s="10">
        <f t="shared" si="29"/>
        <v>0</v>
      </c>
      <c r="AH81" s="10">
        <f t="shared" si="3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0.93</v>
      </c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1">SUM(C84:C85)</f>
        <v>2</v>
      </c>
      <c r="D86" s="16">
        <f t="shared" si="31"/>
        <v>0</v>
      </c>
      <c r="E86" s="16">
        <f t="shared" si="31"/>
        <v>0</v>
      </c>
      <c r="F86" s="16">
        <f t="shared" si="31"/>
        <v>0.8</v>
      </c>
      <c r="G86" s="16">
        <f t="shared" si="31"/>
        <v>0.76</v>
      </c>
      <c r="H86" s="16">
        <f t="shared" si="31"/>
        <v>0.73</v>
      </c>
      <c r="I86" s="16">
        <f t="shared" si="31"/>
        <v>0.71</v>
      </c>
      <c r="J86" s="16">
        <f t="shared" si="31"/>
        <v>0</v>
      </c>
      <c r="K86" s="16">
        <f t="shared" si="31"/>
        <v>0.7</v>
      </c>
      <c r="L86" s="16">
        <f t="shared" si="31"/>
        <v>0.83</v>
      </c>
      <c r="M86" s="16">
        <f t="shared" si="31"/>
        <v>0</v>
      </c>
      <c r="N86" s="16">
        <f t="shared" si="31"/>
        <v>0.78</v>
      </c>
      <c r="O86" s="16">
        <f t="shared" si="31"/>
        <v>0.85</v>
      </c>
      <c r="P86" s="16">
        <f t="shared" si="31"/>
        <v>0.89</v>
      </c>
      <c r="Q86" s="16">
        <f t="shared" si="31"/>
        <v>0.91</v>
      </c>
      <c r="R86" s="16">
        <f t="shared" si="31"/>
        <v>0.93</v>
      </c>
      <c r="S86" s="16">
        <f t="shared" si="31"/>
        <v>0.91</v>
      </c>
      <c r="T86" s="16">
        <f t="shared" si="31"/>
        <v>0.94</v>
      </c>
      <c r="U86" s="16">
        <f t="shared" si="31"/>
        <v>0.92</v>
      </c>
      <c r="V86" s="16">
        <f t="shared" si="31"/>
        <v>0.94</v>
      </c>
      <c r="W86" s="16">
        <f t="shared" si="31"/>
        <v>0.93</v>
      </c>
      <c r="X86" s="16">
        <f t="shared" si="31"/>
        <v>0.94</v>
      </c>
      <c r="Y86" s="16">
        <f t="shared" si="31"/>
        <v>1.02</v>
      </c>
      <c r="Z86" s="16">
        <f t="shared" si="31"/>
        <v>1</v>
      </c>
      <c r="AA86" s="16">
        <f t="shared" si="31"/>
        <v>0.93</v>
      </c>
      <c r="AB86" s="16">
        <f t="shared" si="31"/>
        <v>0.93</v>
      </c>
      <c r="AC86" s="16">
        <f t="shared" si="31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2">SUM(F13:F16,F19:F32,F35:F37,F40,F43:F46,F49,F55,F56,F58,F60,F61,F62,F63,F64,F65,F68:F70,F84:F85,F57)</f>
        <v>42.54</v>
      </c>
      <c r="G89" s="23">
        <f t="shared" si="32"/>
        <v>40.908999999999999</v>
      </c>
      <c r="H89" s="23">
        <f t="shared" si="32"/>
        <v>39.061999999999998</v>
      </c>
      <c r="I89" s="23">
        <f t="shared" si="32"/>
        <v>37.976999999999997</v>
      </c>
      <c r="J89" s="23">
        <f t="shared" si="32"/>
        <v>37.829999999999991</v>
      </c>
      <c r="K89" s="23">
        <f t="shared" si="32"/>
        <v>40.100000000000009</v>
      </c>
      <c r="L89" s="23">
        <f t="shared" si="32"/>
        <v>43.718999999999994</v>
      </c>
      <c r="M89" s="23">
        <f t="shared" si="32"/>
        <v>41.725999999999992</v>
      </c>
      <c r="N89" s="23">
        <f t="shared" si="32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3">SUM(P13:P16,P19:P32,P35:P37,P40,P43:P46,P49,P55,P56,P58,P60,P61,P62,P63,P64,P65,P68:P70,P84:P85,P57)</f>
        <v>64.599000000000018</v>
      </c>
      <c r="Q89" s="23">
        <f t="shared" si="33"/>
        <v>66.099999999999994</v>
      </c>
      <c r="R89" s="23">
        <f t="shared" si="33"/>
        <v>62.765000000000015</v>
      </c>
      <c r="S89" s="23">
        <f t="shared" si="33"/>
        <v>62.832999999999998</v>
      </c>
      <c r="T89" s="23">
        <f t="shared" si="33"/>
        <v>62.295000000000016</v>
      </c>
      <c r="U89" s="23">
        <f t="shared" si="33"/>
        <v>63.388000000000019</v>
      </c>
      <c r="V89" s="23">
        <f t="shared" si="33"/>
        <v>61.204000000000001</v>
      </c>
      <c r="W89" s="23">
        <f t="shared" si="33"/>
        <v>58.832000000000015</v>
      </c>
      <c r="X89" s="23">
        <f t="shared" si="33"/>
        <v>54.607999999999997</v>
      </c>
      <c r="Y89" s="23">
        <f t="shared" si="33"/>
        <v>54.302000000000014</v>
      </c>
      <c r="Z89" s="23">
        <f t="shared" si="33"/>
        <v>55.090999999999994</v>
      </c>
      <c r="AA89" s="23">
        <f t="shared" si="33"/>
        <v>53.738999999999997</v>
      </c>
      <c r="AB89" s="23">
        <f t="shared" si="33"/>
        <v>51.757200000000005</v>
      </c>
      <c r="AC89" s="23">
        <f t="shared" si="33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4">F17</f>
        <v>13.2</v>
      </c>
      <c r="G97" s="58">
        <f t="shared" si="34"/>
        <v>6.3</v>
      </c>
      <c r="H97" s="58">
        <f t="shared" si="34"/>
        <v>6.5</v>
      </c>
      <c r="I97" s="58">
        <f t="shared" si="34"/>
        <v>6.5</v>
      </c>
      <c r="J97" s="58">
        <f t="shared" si="34"/>
        <v>11.7</v>
      </c>
      <c r="K97" s="58">
        <f t="shared" si="34"/>
        <v>13.6</v>
      </c>
      <c r="L97" s="58">
        <f t="shared" si="34"/>
        <v>13.4</v>
      </c>
      <c r="M97" s="58">
        <f t="shared" si="34"/>
        <v>13.4</v>
      </c>
      <c r="N97" s="58">
        <f t="shared" si="34"/>
        <v>13.2</v>
      </c>
      <c r="O97" s="58">
        <f t="shared" si="34"/>
        <v>13.6</v>
      </c>
      <c r="P97" s="58">
        <f t="shared" si="34"/>
        <v>13.4</v>
      </c>
      <c r="Q97" s="58">
        <f t="shared" si="34"/>
        <v>13.4</v>
      </c>
      <c r="R97" s="58">
        <f t="shared" si="34"/>
        <v>13.2</v>
      </c>
      <c r="S97" s="58">
        <f t="shared" si="34"/>
        <v>7</v>
      </c>
      <c r="T97" s="58">
        <f t="shared" si="34"/>
        <v>13.4</v>
      </c>
      <c r="U97" s="58">
        <f t="shared" si="34"/>
        <v>13.4</v>
      </c>
      <c r="V97" s="58">
        <f t="shared" si="34"/>
        <v>13.4</v>
      </c>
      <c r="W97" s="58">
        <f t="shared" si="34"/>
        <v>13.2</v>
      </c>
      <c r="X97" s="58">
        <f t="shared" si="34"/>
        <v>13.4</v>
      </c>
      <c r="Y97" s="58">
        <f t="shared" si="34"/>
        <v>12.8</v>
      </c>
      <c r="Z97" s="58">
        <f t="shared" si="34"/>
        <v>13.4</v>
      </c>
      <c r="AA97" s="58">
        <f t="shared" si="34"/>
        <v>13.2</v>
      </c>
      <c r="AB97" s="58">
        <f t="shared" si="34"/>
        <v>13.2</v>
      </c>
      <c r="AC97" s="58">
        <f t="shared" si="34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5">F33</f>
        <v>3.9</v>
      </c>
      <c r="G99" s="58">
        <f t="shared" si="35"/>
        <v>7.9189999999999987</v>
      </c>
      <c r="H99" s="58">
        <f t="shared" si="35"/>
        <v>5.4820000000000002</v>
      </c>
      <c r="I99" s="58">
        <f t="shared" si="35"/>
        <v>4.4269999999999996</v>
      </c>
      <c r="J99" s="58">
        <f t="shared" si="35"/>
        <v>0</v>
      </c>
      <c r="K99" s="58">
        <f t="shared" si="35"/>
        <v>0</v>
      </c>
      <c r="L99" s="58">
        <f t="shared" si="35"/>
        <v>2.9390000000000001</v>
      </c>
      <c r="M99" s="58">
        <f t="shared" si="35"/>
        <v>1.9359999999999999</v>
      </c>
      <c r="N99" s="58">
        <f t="shared" si="35"/>
        <v>6.9019999999999992</v>
      </c>
      <c r="O99" s="58">
        <f t="shared" si="35"/>
        <v>12.831</v>
      </c>
      <c r="P99" s="58">
        <f t="shared" si="35"/>
        <v>12.859</v>
      </c>
      <c r="Q99" s="58">
        <f t="shared" si="35"/>
        <v>12.83</v>
      </c>
      <c r="R99" s="58">
        <f t="shared" si="35"/>
        <v>12.845000000000001</v>
      </c>
      <c r="S99" s="58">
        <f t="shared" si="35"/>
        <v>12.823</v>
      </c>
      <c r="T99" s="58">
        <f t="shared" si="35"/>
        <v>12.825000000000001</v>
      </c>
      <c r="U99" s="58">
        <f t="shared" si="35"/>
        <v>12.827999999999998</v>
      </c>
      <c r="V99" s="58">
        <f t="shared" si="35"/>
        <v>12.853999999999999</v>
      </c>
      <c r="W99" s="58">
        <f t="shared" si="35"/>
        <v>12.851999999999997</v>
      </c>
      <c r="X99" s="58">
        <f t="shared" si="35"/>
        <v>10.827999999999999</v>
      </c>
      <c r="Y99" s="58">
        <f t="shared" si="35"/>
        <v>10.821999999999996</v>
      </c>
      <c r="Z99" s="58">
        <f t="shared" si="35"/>
        <v>9.9009999999999998</v>
      </c>
      <c r="AA99" s="58">
        <f t="shared" si="35"/>
        <v>9.9090000000000007</v>
      </c>
      <c r="AB99" s="58">
        <f t="shared" si="35"/>
        <v>10.927200000000001</v>
      </c>
      <c r="AC99" s="58">
        <f t="shared" si="35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6">F47</f>
        <v>9.4</v>
      </c>
      <c r="G101" s="59">
        <f t="shared" si="36"/>
        <v>10.8</v>
      </c>
      <c r="H101" s="59">
        <f t="shared" si="36"/>
        <v>11.2</v>
      </c>
      <c r="I101" s="59">
        <f t="shared" si="36"/>
        <v>11.2</v>
      </c>
      <c r="J101" s="59">
        <f t="shared" si="36"/>
        <v>11</v>
      </c>
      <c r="K101" s="59">
        <f t="shared" si="36"/>
        <v>10.5</v>
      </c>
      <c r="L101" s="59">
        <f t="shared" si="36"/>
        <v>11</v>
      </c>
      <c r="M101" s="59">
        <f t="shared" si="36"/>
        <v>10.9</v>
      </c>
      <c r="N101" s="59">
        <f t="shared" si="36"/>
        <v>11.3</v>
      </c>
      <c r="O101" s="59">
        <f t="shared" si="36"/>
        <v>13.7</v>
      </c>
      <c r="P101" s="59">
        <f t="shared" si="36"/>
        <v>16.5</v>
      </c>
      <c r="Q101" s="59">
        <f t="shared" si="36"/>
        <v>18</v>
      </c>
      <c r="R101" s="59">
        <f t="shared" si="36"/>
        <v>16.5</v>
      </c>
      <c r="S101" s="59">
        <f t="shared" si="36"/>
        <v>15.5</v>
      </c>
      <c r="T101" s="59">
        <f t="shared" si="36"/>
        <v>15</v>
      </c>
      <c r="U101" s="59">
        <f t="shared" si="36"/>
        <v>17</v>
      </c>
      <c r="V101" s="59">
        <f t="shared" si="36"/>
        <v>15.5</v>
      </c>
      <c r="W101" s="59">
        <f t="shared" si="36"/>
        <v>15.5</v>
      </c>
      <c r="X101" s="59">
        <f t="shared" si="36"/>
        <v>13.7</v>
      </c>
      <c r="Y101" s="59">
        <f t="shared" si="36"/>
        <v>13.7</v>
      </c>
      <c r="Z101" s="59">
        <f t="shared" si="36"/>
        <v>15</v>
      </c>
      <c r="AA101" s="59">
        <f t="shared" si="36"/>
        <v>14</v>
      </c>
      <c r="AB101" s="59">
        <f t="shared" si="36"/>
        <v>11</v>
      </c>
      <c r="AC101" s="59">
        <f t="shared" si="36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7">F50</f>
        <v>14.26</v>
      </c>
      <c r="G104" s="59">
        <f t="shared" si="37"/>
        <v>14.23</v>
      </c>
      <c r="H104" s="59">
        <f t="shared" si="37"/>
        <v>14.28</v>
      </c>
      <c r="I104" s="59">
        <f t="shared" si="37"/>
        <v>14.29</v>
      </c>
      <c r="J104" s="59">
        <f t="shared" si="37"/>
        <v>14.28</v>
      </c>
      <c r="K104" s="59">
        <f t="shared" si="37"/>
        <v>14.3</v>
      </c>
      <c r="L104" s="59">
        <f t="shared" si="37"/>
        <v>14.3</v>
      </c>
      <c r="M104" s="59">
        <f t="shared" si="37"/>
        <v>14.25</v>
      </c>
      <c r="N104" s="59">
        <f t="shared" si="37"/>
        <v>14.25</v>
      </c>
      <c r="O104" s="59">
        <f t="shared" si="37"/>
        <v>14.23</v>
      </c>
      <c r="P104" s="59">
        <f t="shared" si="37"/>
        <v>14.24</v>
      </c>
      <c r="Q104" s="59">
        <f t="shared" si="37"/>
        <v>14.25</v>
      </c>
      <c r="R104" s="59">
        <f t="shared" si="37"/>
        <v>14.22</v>
      </c>
      <c r="S104" s="59">
        <f t="shared" si="37"/>
        <v>14.22</v>
      </c>
      <c r="T104" s="59">
        <f t="shared" si="37"/>
        <v>14.18</v>
      </c>
      <c r="U104" s="59">
        <f t="shared" si="37"/>
        <v>14.2</v>
      </c>
      <c r="V104" s="59">
        <f t="shared" si="37"/>
        <v>14.24</v>
      </c>
      <c r="W104" s="59">
        <f t="shared" si="37"/>
        <v>14.21</v>
      </c>
      <c r="X104" s="59">
        <f t="shared" si="37"/>
        <v>14.24</v>
      </c>
      <c r="Y104" s="59">
        <f t="shared" si="37"/>
        <v>14.28</v>
      </c>
      <c r="Z104" s="59">
        <f t="shared" si="37"/>
        <v>14.25</v>
      </c>
      <c r="AA104" s="59">
        <f t="shared" si="37"/>
        <v>14.3</v>
      </c>
      <c r="AB104" s="59">
        <f t="shared" si="37"/>
        <v>14.3</v>
      </c>
      <c r="AC104" s="59">
        <f t="shared" si="37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8">G66</f>
        <v>0</v>
      </c>
      <c r="H106" s="58">
        <f t="shared" si="38"/>
        <v>0</v>
      </c>
      <c r="I106" s="58">
        <f t="shared" si="38"/>
        <v>0</v>
      </c>
      <c r="J106" s="58">
        <f t="shared" si="38"/>
        <v>0</v>
      </c>
      <c r="K106" s="58">
        <f t="shared" si="38"/>
        <v>0</v>
      </c>
      <c r="L106" s="58">
        <f t="shared" si="38"/>
        <v>0</v>
      </c>
      <c r="M106" s="58">
        <f t="shared" si="38"/>
        <v>0</v>
      </c>
      <c r="N106" s="58">
        <f t="shared" si="38"/>
        <v>0</v>
      </c>
      <c r="O106" s="58">
        <f t="shared" si="38"/>
        <v>2.8</v>
      </c>
      <c r="P106" s="58">
        <f t="shared" si="38"/>
        <v>5.2</v>
      </c>
      <c r="Q106" s="58">
        <f t="shared" si="38"/>
        <v>5.2</v>
      </c>
      <c r="R106" s="58">
        <f t="shared" si="38"/>
        <v>3.5</v>
      </c>
      <c r="S106" s="58">
        <f t="shared" si="38"/>
        <v>4.4000000000000004</v>
      </c>
      <c r="T106" s="58">
        <f t="shared" si="38"/>
        <v>4.4000000000000004</v>
      </c>
      <c r="U106" s="58">
        <f t="shared" si="38"/>
        <v>3.5</v>
      </c>
      <c r="V106" s="58">
        <f t="shared" si="38"/>
        <v>2.8</v>
      </c>
      <c r="W106" s="58">
        <f t="shared" si="38"/>
        <v>0.7</v>
      </c>
      <c r="X106" s="58">
        <f t="shared" si="38"/>
        <v>0</v>
      </c>
      <c r="Y106" s="58">
        <f t="shared" si="38"/>
        <v>0</v>
      </c>
      <c r="Z106" s="58">
        <f t="shared" si="38"/>
        <v>0</v>
      </c>
      <c r="AA106" s="58">
        <f t="shared" si="38"/>
        <v>0</v>
      </c>
      <c r="AB106" s="58">
        <f t="shared" si="38"/>
        <v>0</v>
      </c>
      <c r="AC106" s="58">
        <f t="shared" si="3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39">G71</f>
        <v>0.9</v>
      </c>
      <c r="H107" s="58">
        <f t="shared" si="39"/>
        <v>0.87</v>
      </c>
      <c r="I107" s="58">
        <f t="shared" si="39"/>
        <v>0.85</v>
      </c>
      <c r="J107" s="58">
        <f t="shared" si="39"/>
        <v>0.85</v>
      </c>
      <c r="K107" s="58">
        <f t="shared" si="39"/>
        <v>1</v>
      </c>
      <c r="L107" s="58">
        <f t="shared" si="39"/>
        <v>1.25</v>
      </c>
      <c r="M107" s="58">
        <f t="shared" si="39"/>
        <v>1.24</v>
      </c>
      <c r="N107" s="58">
        <f t="shared" si="39"/>
        <v>1.1399999999999999</v>
      </c>
      <c r="O107" s="58">
        <f t="shared" si="39"/>
        <v>1.47</v>
      </c>
      <c r="P107" s="58">
        <f t="shared" si="39"/>
        <v>1.51</v>
      </c>
      <c r="Q107" s="58">
        <f t="shared" si="39"/>
        <v>1.51</v>
      </c>
      <c r="R107" s="58">
        <f t="shared" si="39"/>
        <v>1.5699999999999998</v>
      </c>
      <c r="S107" s="58">
        <f t="shared" si="39"/>
        <v>1.58</v>
      </c>
      <c r="T107" s="58">
        <f t="shared" si="39"/>
        <v>1.5500000000000003</v>
      </c>
      <c r="U107" s="58">
        <f t="shared" si="39"/>
        <v>1.54</v>
      </c>
      <c r="V107" s="58">
        <f t="shared" si="39"/>
        <v>1.47</v>
      </c>
      <c r="W107" s="58">
        <f t="shared" si="39"/>
        <v>1.44</v>
      </c>
      <c r="X107" s="58">
        <f t="shared" si="39"/>
        <v>1.5</v>
      </c>
      <c r="Y107" s="58">
        <f t="shared" si="39"/>
        <v>1.6799999999999997</v>
      </c>
      <c r="Z107" s="58">
        <f t="shared" si="39"/>
        <v>1.54</v>
      </c>
      <c r="AA107" s="58">
        <f t="shared" si="39"/>
        <v>1.4</v>
      </c>
      <c r="AB107" s="58">
        <f t="shared" si="39"/>
        <v>1.4</v>
      </c>
      <c r="AC107" s="58">
        <f t="shared" si="39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0">G86</f>
        <v>0.76</v>
      </c>
      <c r="H109" s="58">
        <f t="shared" si="40"/>
        <v>0.73</v>
      </c>
      <c r="I109" s="58">
        <f t="shared" si="40"/>
        <v>0.71</v>
      </c>
      <c r="J109" s="58">
        <f t="shared" si="40"/>
        <v>0</v>
      </c>
      <c r="K109" s="58">
        <f t="shared" si="40"/>
        <v>0.7</v>
      </c>
      <c r="L109" s="58">
        <f t="shared" si="40"/>
        <v>0.83</v>
      </c>
      <c r="M109" s="58">
        <f t="shared" si="40"/>
        <v>0</v>
      </c>
      <c r="N109" s="58">
        <f t="shared" si="40"/>
        <v>0.78</v>
      </c>
      <c r="O109" s="58">
        <f t="shared" si="40"/>
        <v>0.85</v>
      </c>
      <c r="P109" s="58">
        <f t="shared" si="40"/>
        <v>0.89</v>
      </c>
      <c r="Q109" s="58">
        <f t="shared" si="40"/>
        <v>0.91</v>
      </c>
      <c r="R109" s="58">
        <f t="shared" si="40"/>
        <v>0.93</v>
      </c>
      <c r="S109" s="58">
        <f t="shared" si="40"/>
        <v>0.91</v>
      </c>
      <c r="T109" s="58">
        <f t="shared" si="40"/>
        <v>0.94</v>
      </c>
      <c r="U109" s="58">
        <f t="shared" si="40"/>
        <v>0.92</v>
      </c>
      <c r="V109" s="58">
        <f t="shared" si="40"/>
        <v>0.94</v>
      </c>
      <c r="W109" s="58">
        <f t="shared" si="40"/>
        <v>0.93</v>
      </c>
      <c r="X109" s="58">
        <f t="shared" si="40"/>
        <v>0.94</v>
      </c>
      <c r="Y109" s="58">
        <f t="shared" si="40"/>
        <v>1.02</v>
      </c>
      <c r="Z109" s="58">
        <f t="shared" si="40"/>
        <v>1</v>
      </c>
      <c r="AA109" s="58">
        <f t="shared" si="40"/>
        <v>0.93</v>
      </c>
      <c r="AB109" s="58">
        <f t="shared" si="40"/>
        <v>0.93</v>
      </c>
      <c r="AC109" s="58">
        <f t="shared" si="40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1">SUM(F13:F16,F19:F32,F43:F46,F49,F68:F70,F84:F85,F52,F53,F54,F55,F56,F57,F58,F59,F60,F61,F62,F63,F64,F65)</f>
        <v>42.54</v>
      </c>
      <c r="G111" s="55">
        <f t="shared" si="41"/>
        <v>40.908999999999999</v>
      </c>
      <c r="H111" s="55">
        <f t="shared" si="41"/>
        <v>39.061999999999998</v>
      </c>
      <c r="I111" s="55">
        <f t="shared" si="41"/>
        <v>37.976999999999997</v>
      </c>
      <c r="J111" s="55">
        <f t="shared" si="41"/>
        <v>37.829999999999991</v>
      </c>
      <c r="K111" s="55">
        <f t="shared" si="41"/>
        <v>40.100000000000009</v>
      </c>
      <c r="L111" s="55">
        <f t="shared" si="41"/>
        <v>43.718999999999994</v>
      </c>
      <c r="M111" s="55">
        <f t="shared" si="41"/>
        <v>41.725999999999992</v>
      </c>
      <c r="N111" s="55">
        <f t="shared" si="41"/>
        <v>47.572000000000003</v>
      </c>
      <c r="O111" s="55">
        <f t="shared" si="41"/>
        <v>59.481000000000016</v>
      </c>
      <c r="P111" s="55">
        <f t="shared" si="41"/>
        <v>64.599000000000018</v>
      </c>
      <c r="Q111" s="55">
        <f t="shared" si="41"/>
        <v>66.099999999999994</v>
      </c>
      <c r="R111" s="55">
        <f t="shared" si="41"/>
        <v>62.765000000000015</v>
      </c>
      <c r="S111" s="55">
        <f t="shared" si="41"/>
        <v>62.832999999999998</v>
      </c>
      <c r="T111" s="55">
        <f t="shared" si="41"/>
        <v>62.295000000000016</v>
      </c>
      <c r="U111" s="55">
        <f t="shared" si="41"/>
        <v>63.388000000000019</v>
      </c>
      <c r="V111" s="55">
        <f t="shared" si="41"/>
        <v>61.204000000000001</v>
      </c>
      <c r="W111" s="55">
        <f t="shared" si="41"/>
        <v>58.832000000000015</v>
      </c>
      <c r="X111" s="55">
        <f t="shared" si="41"/>
        <v>54.607999999999997</v>
      </c>
      <c r="Y111" s="55">
        <f t="shared" si="41"/>
        <v>54.302000000000014</v>
      </c>
      <c r="Z111" s="55">
        <f t="shared" si="41"/>
        <v>55.090999999999994</v>
      </c>
      <c r="AA111" s="55">
        <f t="shared" si="41"/>
        <v>53.738999999999997</v>
      </c>
      <c r="AB111" s="55">
        <f t="shared" si="41"/>
        <v>51.757200000000005</v>
      </c>
      <c r="AC111" s="55">
        <f t="shared" si="41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2">SUM(G112:G115)</f>
        <v>0</v>
      </c>
      <c r="H116" s="55">
        <f t="shared" si="42"/>
        <v>0</v>
      </c>
      <c r="I116" s="55">
        <f t="shared" si="42"/>
        <v>0</v>
      </c>
      <c r="J116" s="55">
        <f t="shared" si="42"/>
        <v>0</v>
      </c>
      <c r="K116" s="55">
        <f t="shared" si="42"/>
        <v>0</v>
      </c>
      <c r="L116" s="55">
        <f t="shared" si="42"/>
        <v>0</v>
      </c>
      <c r="M116" s="55">
        <f t="shared" si="42"/>
        <v>0.83</v>
      </c>
      <c r="N116" s="55">
        <f t="shared" si="42"/>
        <v>0</v>
      </c>
      <c r="O116" s="55">
        <f t="shared" si="42"/>
        <v>0</v>
      </c>
      <c r="P116" s="55">
        <f t="shared" si="42"/>
        <v>0</v>
      </c>
      <c r="Q116" s="55">
        <f t="shared" si="42"/>
        <v>0</v>
      </c>
      <c r="R116" s="55">
        <f t="shared" si="42"/>
        <v>0</v>
      </c>
      <c r="S116" s="55">
        <f t="shared" si="42"/>
        <v>0</v>
      </c>
      <c r="T116" s="55">
        <f t="shared" si="42"/>
        <v>0</v>
      </c>
      <c r="U116" s="55">
        <f t="shared" si="42"/>
        <v>0</v>
      </c>
      <c r="V116" s="55">
        <f t="shared" si="42"/>
        <v>0</v>
      </c>
      <c r="W116" s="55">
        <f t="shared" si="42"/>
        <v>0</v>
      </c>
      <c r="X116" s="55">
        <f t="shared" si="42"/>
        <v>6.35</v>
      </c>
      <c r="Y116" s="55">
        <f t="shared" si="42"/>
        <v>6.35</v>
      </c>
      <c r="Z116" s="55">
        <f t="shared" si="42"/>
        <v>0</v>
      </c>
      <c r="AA116" s="55">
        <f t="shared" si="42"/>
        <v>0</v>
      </c>
      <c r="AB116" s="55">
        <f t="shared" si="42"/>
        <v>0</v>
      </c>
      <c r="AC116" s="55">
        <f t="shared" si="4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3">SUM(G111,G116)</f>
        <v>40.908999999999999</v>
      </c>
      <c r="H117" s="56">
        <f t="shared" si="43"/>
        <v>39.061999999999998</v>
      </c>
      <c r="I117" s="56">
        <f t="shared" si="43"/>
        <v>37.976999999999997</v>
      </c>
      <c r="J117" s="56">
        <f t="shared" si="43"/>
        <v>37.829999999999991</v>
      </c>
      <c r="K117" s="56">
        <f t="shared" si="43"/>
        <v>40.100000000000009</v>
      </c>
      <c r="L117" s="56">
        <f t="shared" si="43"/>
        <v>43.718999999999994</v>
      </c>
      <c r="M117" s="56">
        <f t="shared" si="43"/>
        <v>42.55599999999999</v>
      </c>
      <c r="N117" s="56">
        <f t="shared" si="43"/>
        <v>47.572000000000003</v>
      </c>
      <c r="O117" s="56">
        <f t="shared" si="43"/>
        <v>59.481000000000016</v>
      </c>
      <c r="P117" s="56">
        <f t="shared" si="43"/>
        <v>64.599000000000018</v>
      </c>
      <c r="Q117" s="56">
        <f t="shared" si="43"/>
        <v>66.099999999999994</v>
      </c>
      <c r="R117" s="56">
        <f t="shared" si="43"/>
        <v>62.765000000000015</v>
      </c>
      <c r="S117" s="56">
        <f t="shared" si="43"/>
        <v>62.832999999999998</v>
      </c>
      <c r="T117" s="56">
        <f t="shared" si="43"/>
        <v>62.295000000000016</v>
      </c>
      <c r="U117" s="56">
        <f t="shared" si="43"/>
        <v>63.388000000000019</v>
      </c>
      <c r="V117" s="56">
        <f t="shared" si="43"/>
        <v>61.204000000000001</v>
      </c>
      <c r="W117" s="56">
        <f t="shared" si="43"/>
        <v>58.832000000000015</v>
      </c>
      <c r="X117" s="56">
        <f t="shared" si="43"/>
        <v>60.957999999999998</v>
      </c>
      <c r="Y117" s="56">
        <f t="shared" si="43"/>
        <v>60.652000000000015</v>
      </c>
      <c r="Z117" s="56">
        <f t="shared" si="43"/>
        <v>55.090999999999994</v>
      </c>
      <c r="AA117" s="56">
        <f t="shared" si="43"/>
        <v>53.738999999999997</v>
      </c>
      <c r="AB117" s="56">
        <f t="shared" si="43"/>
        <v>51.757200000000005</v>
      </c>
      <c r="AC117" s="56">
        <f t="shared" si="43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4">(7.2*(4-COUNTIF(H13:H16,"=CMS")-COUNTIF(H13:H16,"=PMS")))</f>
        <v>7.2</v>
      </c>
      <c r="I127" s="516">
        <f t="shared" si="44"/>
        <v>7.2</v>
      </c>
      <c r="J127" s="516">
        <f t="shared" si="44"/>
        <v>14.4</v>
      </c>
      <c r="K127" s="516">
        <f t="shared" si="44"/>
        <v>14.4</v>
      </c>
      <c r="L127" s="516">
        <f t="shared" si="44"/>
        <v>14.4</v>
      </c>
      <c r="M127" s="516">
        <f t="shared" ref="M127:O127" si="45">(7.2*(4-COUNTIF(M13:M16,"=CMS")-COUNTIF(M13:M16,"=PMS")))</f>
        <v>14.4</v>
      </c>
      <c r="N127" s="516">
        <f t="shared" si="45"/>
        <v>14.4</v>
      </c>
      <c r="O127" s="516">
        <f t="shared" si="45"/>
        <v>14.4</v>
      </c>
      <c r="P127" s="516">
        <f t="shared" ref="P127:T127" si="46">(7.2*(4-COUNTIF(P13:P16,"=CMS")-COUNTIF(P13:P16,"=PMS")))</f>
        <v>14.4</v>
      </c>
      <c r="Q127" s="516">
        <f t="shared" si="46"/>
        <v>14.4</v>
      </c>
      <c r="R127" s="516">
        <f t="shared" si="46"/>
        <v>14.4</v>
      </c>
      <c r="S127" s="516">
        <f t="shared" si="46"/>
        <v>14.4</v>
      </c>
      <c r="T127" s="516">
        <f t="shared" si="46"/>
        <v>14.4</v>
      </c>
      <c r="U127" s="516">
        <f t="shared" ref="U127:V127" si="47">(7.2*(4-COUNTIF(U13:U16,"=CMS")-COUNTIF(U13:U16,"=PMS")))</f>
        <v>14.4</v>
      </c>
      <c r="V127" s="516">
        <f t="shared" si="47"/>
        <v>14.4</v>
      </c>
      <c r="W127" s="516">
        <f t="shared" ref="W127:X127" si="48">(7.2*(4-COUNTIF(W13:W16,"=CMS")-COUNTIF(W13:W16,"=PMS")))</f>
        <v>14.4</v>
      </c>
      <c r="X127" s="516">
        <f t="shared" si="48"/>
        <v>14.4</v>
      </c>
      <c r="Y127" s="516">
        <f t="shared" ref="Y127:Z127" si="49">(7.2*(4-COUNTIF(Y13:Y16,"=CMS")-COUNTIF(Y13:Y16,"=PMS")))</f>
        <v>14.4</v>
      </c>
      <c r="Z127" s="516">
        <f t="shared" si="49"/>
        <v>14.4</v>
      </c>
      <c r="AA127" s="516">
        <f t="shared" ref="AA127" si="50">(7.2*(4-COUNTIF(AA13:AA16,"=CMS")-COUNTIF(AA13:AA16,"=PMS")))</f>
        <v>14.4</v>
      </c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1">13-COUNTIF(F19:F32,"=CMS")-COUNTIF(F19:F32,"=PMS")+IF(COUNTIF(F14:F16,"=CMS")&gt;0,1,0)</f>
        <v>13</v>
      </c>
      <c r="G128" s="516">
        <f t="shared" ref="G128:L128" si="52">13-COUNTIF(G19:G32,"=CMS")-COUNTIF(G19:G32,"=PMS")+IF(COUNTIF(G14:G16,"=CMS")&gt;0,1,0)</f>
        <v>14</v>
      </c>
      <c r="H128" s="516">
        <f t="shared" si="52"/>
        <v>14</v>
      </c>
      <c r="I128" s="516">
        <f t="shared" si="52"/>
        <v>14</v>
      </c>
      <c r="J128" s="516">
        <f t="shared" si="52"/>
        <v>13</v>
      </c>
      <c r="K128" s="516">
        <f t="shared" si="52"/>
        <v>13</v>
      </c>
      <c r="L128" s="516">
        <f t="shared" si="52"/>
        <v>13</v>
      </c>
      <c r="M128" s="516">
        <f t="shared" ref="M128:O128" si="53">13-COUNTIF(M19:M32,"=CMS")-COUNTIF(M19:M32,"=PMS")+IF(COUNTIF(M14:M16,"=CMS")&gt;0,1,0)</f>
        <v>13</v>
      </c>
      <c r="N128" s="516">
        <f t="shared" si="53"/>
        <v>13</v>
      </c>
      <c r="O128" s="516">
        <f t="shared" si="53"/>
        <v>13</v>
      </c>
      <c r="P128" s="516">
        <f t="shared" ref="P128:T128" si="54">13-COUNTIF(P19:P32,"=CMS")-COUNTIF(P19:P32,"=PMS")+IF(COUNTIF(P14:P16,"=CMS")&gt;0,1,0)</f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ref="U128:V128" si="55">13-COUNTIF(U19:U32,"=CMS")-COUNTIF(U19:U32,"=PMS")+IF(COUNTIF(U14:U16,"=CMS")&gt;0,1,0)</f>
        <v>13</v>
      </c>
      <c r="V128" s="516">
        <f t="shared" si="55"/>
        <v>13</v>
      </c>
      <c r="W128" s="516">
        <f t="shared" ref="W128:X128" si="56">13-COUNTIF(W19:W32,"=CMS")-COUNTIF(W19:W32,"=PMS")+IF(COUNTIF(W14:W16,"=CMS")&gt;0,1,0)</f>
        <v>13</v>
      </c>
      <c r="X128" s="516">
        <f t="shared" si="56"/>
        <v>13</v>
      </c>
      <c r="Y128" s="516">
        <f t="shared" ref="Y128:Z128" si="57">13-COUNTIF(Y19:Y32,"=CMS")-COUNTIF(Y19:Y32,"=PMS")+IF(COUNTIF(Y14:Y16,"=CMS")&gt;0,1,0)</f>
        <v>13</v>
      </c>
      <c r="Z128" s="516">
        <f t="shared" si="57"/>
        <v>13</v>
      </c>
      <c r="AA128" s="516">
        <f t="shared" ref="AA128" si="58">13-COUNTIF(AA19:AA32,"=CMS")-COUNTIF(AA19:AA32,"=PMS")+IF(COUNTIF(AA14:AA16,"=CMS")&gt;0,1,0)</f>
        <v>13</v>
      </c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9">4.5*(2-COUNTIF(F43:F44,"=CMS")-COUNTIF(F43:F44,"=PMS"))</f>
        <v>9</v>
      </c>
      <c r="G129" s="516">
        <f t="shared" ref="G129:L129" si="60">4.5*(2-COUNTIF(G43:G44,"=CMS")-COUNTIF(G43:G44,"=PMS"))</f>
        <v>9</v>
      </c>
      <c r="H129" s="516">
        <f t="shared" si="60"/>
        <v>9</v>
      </c>
      <c r="I129" s="516">
        <f t="shared" si="60"/>
        <v>9</v>
      </c>
      <c r="J129" s="516">
        <f t="shared" si="60"/>
        <v>9</v>
      </c>
      <c r="K129" s="516">
        <f t="shared" si="60"/>
        <v>9</v>
      </c>
      <c r="L129" s="516">
        <f t="shared" si="60"/>
        <v>9</v>
      </c>
      <c r="M129" s="516">
        <f t="shared" ref="M129:O129" si="61">4.5*(2-COUNTIF(M43:M44,"=CMS")-COUNTIF(M43:M44,"=PMS"))</f>
        <v>9</v>
      </c>
      <c r="N129" s="516">
        <f t="shared" si="61"/>
        <v>9</v>
      </c>
      <c r="O129" s="516">
        <f t="shared" si="61"/>
        <v>9</v>
      </c>
      <c r="P129" s="516">
        <f t="shared" ref="P129:T129" si="62">4.5*(2-COUNTIF(P43:P44,"=CMS")-COUNTIF(P43:P44,"=PMS"))</f>
        <v>9</v>
      </c>
      <c r="Q129" s="516">
        <f t="shared" si="62"/>
        <v>9</v>
      </c>
      <c r="R129" s="516">
        <f t="shared" si="62"/>
        <v>9</v>
      </c>
      <c r="S129" s="516">
        <f t="shared" si="62"/>
        <v>9</v>
      </c>
      <c r="T129" s="516">
        <f t="shared" si="62"/>
        <v>9</v>
      </c>
      <c r="U129" s="516">
        <f t="shared" ref="U129:V129" si="63">4.5*(2-COUNTIF(U43:U44,"=CMS")-COUNTIF(U43:U44,"=PMS"))</f>
        <v>9</v>
      </c>
      <c r="V129" s="516">
        <f t="shared" si="63"/>
        <v>9</v>
      </c>
      <c r="W129" s="516">
        <f t="shared" ref="W129:X129" si="64">4.5*(2-COUNTIF(W43:W44,"=CMS")-COUNTIF(W43:W44,"=PMS"))</f>
        <v>9</v>
      </c>
      <c r="X129" s="516">
        <f t="shared" si="64"/>
        <v>9</v>
      </c>
      <c r="Y129" s="516">
        <f t="shared" ref="Y129:Z129" si="65">4.5*(2-COUNTIF(Y43:Y44,"=CMS")-COUNTIF(Y43:Y44,"=PMS"))</f>
        <v>9</v>
      </c>
      <c r="Z129" s="516">
        <f t="shared" si="65"/>
        <v>9</v>
      </c>
      <c r="AA129" s="516">
        <f t="shared" ref="AA129" si="66">4.5*(2-COUNTIF(AA43:AA44,"=CMS")-COUNTIF(AA43:AA44,"=PMS"))</f>
        <v>9</v>
      </c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7">8.8*(1-COUNTIF(F45,"=CMS")-COUNTIF(F45,"=PMS"))</f>
        <v>8.8000000000000007</v>
      </c>
      <c r="G130" s="516">
        <f t="shared" ref="G130:L130" si="68">8.8*(1-COUNTIF(G45,"=CMS")-COUNTIF(G45,"=PMS"))</f>
        <v>8.8000000000000007</v>
      </c>
      <c r="H130" s="516">
        <f t="shared" si="68"/>
        <v>8.8000000000000007</v>
      </c>
      <c r="I130" s="516">
        <f t="shared" si="68"/>
        <v>8.8000000000000007</v>
      </c>
      <c r="J130" s="516">
        <f t="shared" si="68"/>
        <v>8.8000000000000007</v>
      </c>
      <c r="K130" s="516">
        <f t="shared" si="68"/>
        <v>8.8000000000000007</v>
      </c>
      <c r="L130" s="516">
        <f t="shared" si="68"/>
        <v>8.8000000000000007</v>
      </c>
      <c r="M130" s="516">
        <f t="shared" ref="M130:O130" si="69">8.8*(1-COUNTIF(M45,"=CMS")-COUNTIF(M45,"=PMS"))</f>
        <v>8.8000000000000007</v>
      </c>
      <c r="N130" s="516">
        <f t="shared" si="69"/>
        <v>8.8000000000000007</v>
      </c>
      <c r="O130" s="516">
        <f t="shared" si="69"/>
        <v>8.8000000000000007</v>
      </c>
      <c r="P130" s="516">
        <f t="shared" ref="P130:T130" si="70">8.8*(1-COUNTIF(P45,"=CMS")-COUNTIF(P45,"=PMS"))</f>
        <v>8.8000000000000007</v>
      </c>
      <c r="Q130" s="516">
        <f t="shared" si="70"/>
        <v>8.8000000000000007</v>
      </c>
      <c r="R130" s="516">
        <f t="shared" si="70"/>
        <v>8.8000000000000007</v>
      </c>
      <c r="S130" s="516">
        <f t="shared" si="70"/>
        <v>8.8000000000000007</v>
      </c>
      <c r="T130" s="516">
        <f t="shared" si="70"/>
        <v>8.8000000000000007</v>
      </c>
      <c r="U130" s="516">
        <f t="shared" ref="U130:V130" si="71">8.8*(1-COUNTIF(U45,"=CMS")-COUNTIF(U45,"=PMS"))</f>
        <v>8.8000000000000007</v>
      </c>
      <c r="V130" s="516">
        <f t="shared" si="71"/>
        <v>8.8000000000000007</v>
      </c>
      <c r="W130" s="516">
        <f t="shared" ref="W130:X130" si="72">8.8*(1-COUNTIF(W45,"=CMS")-COUNTIF(W45,"=PMS"))</f>
        <v>8.8000000000000007</v>
      </c>
      <c r="X130" s="516">
        <f t="shared" si="72"/>
        <v>8.8000000000000007</v>
      </c>
      <c r="Y130" s="516">
        <f t="shared" ref="Y130:Z130" si="73">8.8*(1-COUNTIF(Y45,"=CMS")-COUNTIF(Y45,"=PMS"))</f>
        <v>8.8000000000000007</v>
      </c>
      <c r="Z130" s="516">
        <f t="shared" si="73"/>
        <v>8.8000000000000007</v>
      </c>
      <c r="AA130" s="516">
        <f t="shared" ref="AA130" si="74">8.8*(1-COUNTIF(AA45,"=CMS")-COUNTIF(AA45,"=PMS"))</f>
        <v>8.8000000000000007</v>
      </c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7"/>
        <v>8.8000000000000007</v>
      </c>
      <c r="G131" s="516">
        <f t="shared" ref="G131:L131" si="75">8.8*(1-COUNTIF(G46,"=CMS")-COUNTIF(G46,"=PMS"))</f>
        <v>8.8000000000000007</v>
      </c>
      <c r="H131" s="516">
        <f t="shared" si="75"/>
        <v>8.8000000000000007</v>
      </c>
      <c r="I131" s="516">
        <f t="shared" si="75"/>
        <v>8.8000000000000007</v>
      </c>
      <c r="J131" s="516">
        <f t="shared" si="75"/>
        <v>8.8000000000000007</v>
      </c>
      <c r="K131" s="516">
        <f t="shared" si="75"/>
        <v>8.8000000000000007</v>
      </c>
      <c r="L131" s="516">
        <f t="shared" si="75"/>
        <v>8.8000000000000007</v>
      </c>
      <c r="M131" s="516">
        <f t="shared" ref="M131:O131" si="76">8.8*(1-COUNTIF(M46,"=CMS")-COUNTIF(M46,"=PMS"))</f>
        <v>8.8000000000000007</v>
      </c>
      <c r="N131" s="516">
        <f t="shared" si="76"/>
        <v>8.8000000000000007</v>
      </c>
      <c r="O131" s="516">
        <f t="shared" si="76"/>
        <v>8.8000000000000007</v>
      </c>
      <c r="P131" s="516">
        <f t="shared" ref="P131:T131" si="77">8.8*(1-COUNTIF(P46,"=CMS")-COUNTIF(P46,"=PMS"))</f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si="77"/>
        <v>8.8000000000000007</v>
      </c>
      <c r="U131" s="516">
        <f t="shared" ref="U131:V131" si="78">8.8*(1-COUNTIF(U46,"=CMS")-COUNTIF(U46,"=PMS"))</f>
        <v>8.8000000000000007</v>
      </c>
      <c r="V131" s="516">
        <f t="shared" si="78"/>
        <v>8.8000000000000007</v>
      </c>
      <c r="W131" s="516">
        <f t="shared" ref="W131:X131" si="79">8.8*(1-COUNTIF(W46,"=CMS")-COUNTIF(W46,"=PMS"))</f>
        <v>8.8000000000000007</v>
      </c>
      <c r="X131" s="516">
        <f t="shared" si="79"/>
        <v>8.8000000000000007</v>
      </c>
      <c r="Y131" s="516">
        <f t="shared" ref="Y131:Z131" si="80">8.8*(1-COUNTIF(Y46,"=CMS")-COUNTIF(Y46,"=PMS"))</f>
        <v>8.8000000000000007</v>
      </c>
      <c r="Z131" s="516">
        <f t="shared" si="80"/>
        <v>8.8000000000000007</v>
      </c>
      <c r="AA131" s="516">
        <f t="shared" ref="AA131" si="81">8.8*(1-COUNTIF(AA46,"=CMS")-COUNTIF(AA46,"=PMS"))</f>
        <v>8.8000000000000007</v>
      </c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2">0.85*(3-COUNTIF(F68:F70,"=CMS"))</f>
        <v>2.5499999999999998</v>
      </c>
      <c r="G134" s="516">
        <f t="shared" ref="G134:L134" si="83">0.85*(3-COUNTIF(G68:G70,"=CMS"))</f>
        <v>2.5499999999999998</v>
      </c>
      <c r="H134" s="516">
        <f t="shared" si="83"/>
        <v>2.5499999999999998</v>
      </c>
      <c r="I134" s="516">
        <f t="shared" si="83"/>
        <v>2.5499999999999998</v>
      </c>
      <c r="J134" s="516">
        <f t="shared" si="83"/>
        <v>2.5499999999999998</v>
      </c>
      <c r="K134" s="516">
        <f t="shared" si="83"/>
        <v>2.5499999999999998</v>
      </c>
      <c r="L134" s="516">
        <f t="shared" si="83"/>
        <v>2.5499999999999998</v>
      </c>
      <c r="M134" s="516">
        <f t="shared" ref="M134:O134" si="84">0.85*(3-COUNTIF(M68:M70,"=CMS"))</f>
        <v>2.5499999999999998</v>
      </c>
      <c r="N134" s="516">
        <f t="shared" si="84"/>
        <v>2.5499999999999998</v>
      </c>
      <c r="O134" s="516">
        <f t="shared" si="84"/>
        <v>2.5499999999999998</v>
      </c>
      <c r="P134" s="516">
        <f t="shared" ref="P134:T134" si="85">0.85*(3-COUNTIF(P68:P70,"=CMS"))</f>
        <v>2.5499999999999998</v>
      </c>
      <c r="Q134" s="516">
        <f t="shared" si="85"/>
        <v>2.5499999999999998</v>
      </c>
      <c r="R134" s="516">
        <f t="shared" si="85"/>
        <v>2.5499999999999998</v>
      </c>
      <c r="S134" s="516">
        <f t="shared" si="85"/>
        <v>2.5499999999999998</v>
      </c>
      <c r="T134" s="516">
        <f t="shared" si="85"/>
        <v>2.5499999999999998</v>
      </c>
      <c r="U134" s="516">
        <f t="shared" ref="U134:V134" si="86">0.85*(3-COUNTIF(U68:U70,"=CMS"))</f>
        <v>2.5499999999999998</v>
      </c>
      <c r="V134" s="516">
        <f t="shared" si="86"/>
        <v>2.5499999999999998</v>
      </c>
      <c r="W134" s="516">
        <f t="shared" ref="W134:X134" si="87">0.85*(3-COUNTIF(W68:W70,"=CMS"))</f>
        <v>2.5499999999999998</v>
      </c>
      <c r="X134" s="516">
        <f t="shared" si="87"/>
        <v>2.5499999999999998</v>
      </c>
      <c r="Y134" s="516">
        <f t="shared" ref="Y134:Z134" si="88">0.85*(3-COUNTIF(Y68:Y70,"=CMS"))</f>
        <v>2.5499999999999998</v>
      </c>
      <c r="Z134" s="516">
        <f t="shared" si="88"/>
        <v>2.5499999999999998</v>
      </c>
      <c r="AA134" s="516">
        <f t="shared" ref="AA134" si="89">0.85*(3-COUNTIF(AA68:AA70,"=CMS"))</f>
        <v>2.5499999999999998</v>
      </c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T135" si="93">1*(2-COUNTIF(P84:P85,"=CMS"))</f>
        <v>2</v>
      </c>
      <c r="Q135" s="516">
        <f t="shared" si="93"/>
        <v>2</v>
      </c>
      <c r="R135" s="516">
        <f t="shared" si="93"/>
        <v>2</v>
      </c>
      <c r="S135" s="516">
        <f t="shared" si="93"/>
        <v>2</v>
      </c>
      <c r="T135" s="516">
        <f t="shared" si="93"/>
        <v>2</v>
      </c>
      <c r="U135" s="516">
        <f t="shared" ref="U135:V135" si="94">1*(2-COUNTIF(U84:U85,"=CMS"))</f>
        <v>2</v>
      </c>
      <c r="V135" s="516">
        <f t="shared" si="94"/>
        <v>2</v>
      </c>
      <c r="W135" s="516">
        <f t="shared" ref="W135:X135" si="95">1*(2-COUNTIF(W84:W85,"=CMS"))</f>
        <v>2</v>
      </c>
      <c r="X135" s="516">
        <f t="shared" si="95"/>
        <v>2</v>
      </c>
      <c r="Y135" s="516">
        <f t="shared" ref="Y135:Z135" si="96">1*(2-COUNTIF(Y84:Y85,"=CMS"))</f>
        <v>2</v>
      </c>
      <c r="Z135" s="516">
        <f t="shared" si="96"/>
        <v>2</v>
      </c>
      <c r="AA135" s="516">
        <f t="shared" ref="AA135" si="97">1*(2-COUNTIF(AA84:AA85,"=CMS"))</f>
        <v>2</v>
      </c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8">IF(SUM(G127:G128)&gt;33,0,33-SUM(G127:G128))</f>
        <v>11.8</v>
      </c>
      <c r="H136" s="517">
        <f t="shared" si="98"/>
        <v>11.8</v>
      </c>
      <c r="I136" s="517">
        <f t="shared" si="98"/>
        <v>11.8</v>
      </c>
      <c r="J136" s="517">
        <f t="shared" si="98"/>
        <v>5.6000000000000014</v>
      </c>
      <c r="K136" s="517">
        <f t="shared" si="98"/>
        <v>5.6000000000000014</v>
      </c>
      <c r="L136" s="517">
        <f t="shared" si="98"/>
        <v>5.6000000000000014</v>
      </c>
      <c r="M136" s="517">
        <f t="shared" si="98"/>
        <v>5.6000000000000014</v>
      </c>
      <c r="N136" s="517">
        <f t="shared" si="98"/>
        <v>5.6000000000000014</v>
      </c>
      <c r="O136" s="517">
        <f t="shared" si="98"/>
        <v>5.6000000000000014</v>
      </c>
      <c r="P136" s="517">
        <f t="shared" si="98"/>
        <v>5.6000000000000014</v>
      </c>
      <c r="Q136" s="517">
        <f t="shared" si="98"/>
        <v>5.6000000000000014</v>
      </c>
      <c r="R136" s="517">
        <f t="shared" si="98"/>
        <v>5.6000000000000014</v>
      </c>
      <c r="S136" s="517">
        <f t="shared" si="98"/>
        <v>5.6000000000000014</v>
      </c>
      <c r="T136" s="517">
        <f t="shared" si="98"/>
        <v>5.6000000000000014</v>
      </c>
      <c r="U136" s="517">
        <f t="shared" si="98"/>
        <v>5.6000000000000014</v>
      </c>
      <c r="V136" s="517">
        <f t="shared" si="98"/>
        <v>5.6000000000000014</v>
      </c>
      <c r="W136" s="517">
        <f t="shared" si="98"/>
        <v>5.6000000000000014</v>
      </c>
      <c r="X136" s="517">
        <f t="shared" si="98"/>
        <v>5.6000000000000014</v>
      </c>
      <c r="Y136" s="517">
        <f t="shared" si="98"/>
        <v>5.6000000000000014</v>
      </c>
      <c r="Z136" s="517">
        <f t="shared" si="98"/>
        <v>5.6000000000000014</v>
      </c>
      <c r="AA136" s="517">
        <f t="shared" si="98"/>
        <v>5.6000000000000014</v>
      </c>
      <c r="AB136" s="517">
        <f t="shared" si="98"/>
        <v>33</v>
      </c>
      <c r="AC136" s="517">
        <f t="shared" si="98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9">IF(SUM(G129,G131,G132)&gt;25,0,25-SUM(G129,G131,G132))</f>
        <v>0</v>
      </c>
      <c r="H137" s="518">
        <f t="shared" si="99"/>
        <v>0</v>
      </c>
      <c r="I137" s="518">
        <f t="shared" si="99"/>
        <v>0</v>
      </c>
      <c r="J137" s="518">
        <f t="shared" si="99"/>
        <v>0</v>
      </c>
      <c r="K137" s="518">
        <f t="shared" si="99"/>
        <v>0</v>
      </c>
      <c r="L137" s="518">
        <f>IF(SUM(L129,L131,L132)&gt;25,0,25-SUM(L129,L131,L132))</f>
        <v>0</v>
      </c>
      <c r="M137" s="518">
        <f t="shared" si="99"/>
        <v>0</v>
      </c>
      <c r="N137" s="518">
        <f t="shared" si="99"/>
        <v>0</v>
      </c>
      <c r="O137" s="518">
        <f t="shared" si="99"/>
        <v>0</v>
      </c>
      <c r="P137" s="518">
        <f>IF(SUM(P129,P131,P132)&gt;25,0,25-SUM(P129,P131,P132))</f>
        <v>0</v>
      </c>
      <c r="Q137" s="518">
        <f t="shared" si="99"/>
        <v>0</v>
      </c>
      <c r="R137" s="518">
        <f t="shared" si="99"/>
        <v>0</v>
      </c>
      <c r="S137" s="518">
        <f t="shared" si="9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9"/>
        <v>0</v>
      </c>
      <c r="X137" s="518">
        <f t="shared" si="99"/>
        <v>0</v>
      </c>
      <c r="Y137" s="518">
        <f t="shared" si="99"/>
        <v>0</v>
      </c>
      <c r="Z137" s="518">
        <f t="shared" si="99"/>
        <v>0</v>
      </c>
      <c r="AA137" s="518">
        <f t="shared" si="99"/>
        <v>0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0">IF(SUM(G130,G133,G134,G135)&gt;17,0,17-SUM(G130,G133,G134,G135))</f>
        <v>0</v>
      </c>
      <c r="H138" s="519">
        <f t="shared" si="100"/>
        <v>0</v>
      </c>
      <c r="I138" s="519">
        <f t="shared" si="100"/>
        <v>0</v>
      </c>
      <c r="J138" s="519">
        <f t="shared" si="100"/>
        <v>0</v>
      </c>
      <c r="K138" s="519">
        <f t="shared" si="100"/>
        <v>0</v>
      </c>
      <c r="L138" s="519">
        <f t="shared" si="100"/>
        <v>0</v>
      </c>
      <c r="M138" s="519">
        <f t="shared" si="100"/>
        <v>0</v>
      </c>
      <c r="N138" s="519">
        <f t="shared" si="100"/>
        <v>0</v>
      </c>
      <c r="O138" s="519">
        <f t="shared" si="100"/>
        <v>0</v>
      </c>
      <c r="P138" s="519">
        <f t="shared" si="100"/>
        <v>0</v>
      </c>
      <c r="Q138" s="519">
        <f t="shared" si="100"/>
        <v>0</v>
      </c>
      <c r="R138" s="519">
        <f t="shared" si="100"/>
        <v>0</v>
      </c>
      <c r="S138" s="519">
        <f t="shared" si="10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0"/>
        <v>0</v>
      </c>
      <c r="X138" s="519">
        <f t="shared" si="100"/>
        <v>0</v>
      </c>
      <c r="Y138" s="519">
        <f t="shared" si="100"/>
        <v>0</v>
      </c>
      <c r="Z138" s="519">
        <f t="shared" si="100"/>
        <v>0</v>
      </c>
      <c r="AA138" s="519">
        <f t="shared" si="100"/>
        <v>0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229" priority="202" operator="greaterThan">
      <formula>60.3</formula>
    </cfRule>
  </conditionalFormatting>
  <conditionalFormatting sqref="AB55:AC64 G24:N24 I25:K25 O55:AA55 Z65:AC65 G84:AC84 Z56:AA64 I20:N22 G56:Y65 G19:G23 G25:G27 I85:AC85 H26:K26 M25:N26 I23:K23 M23:N23 H27:N27 G28:N32 G43:AC46 G13:AC16 G49:AC49 G68:AC70 I19:AC19 O20:AC32">
    <cfRule type="cellIs" dxfId="1228" priority="199" operator="equal">
      <formula>"PMS"</formula>
    </cfRule>
    <cfRule type="cellIs" dxfId="1227" priority="200" operator="equal">
      <formula>"CMS"</formula>
    </cfRule>
    <cfRule type="cellIs" dxfId="1226" priority="201" operator="greaterThan">
      <formula>0</formula>
    </cfRule>
  </conditionalFormatting>
  <conditionalFormatting sqref="F138:AC138">
    <cfRule type="cellIs" dxfId="1225" priority="198" operator="greaterThan">
      <formula>60.3</formula>
    </cfRule>
  </conditionalFormatting>
  <conditionalFormatting sqref="F136:AC136">
    <cfRule type="cellIs" dxfId="1224" priority="197" operator="greaterThan">
      <formula>60.3</formula>
    </cfRule>
  </conditionalFormatting>
  <conditionalFormatting sqref="F137:AC137">
    <cfRule type="cellIs" dxfId="1223" priority="196" operator="greaterThan">
      <formula>60.3</formula>
    </cfRule>
  </conditionalFormatting>
  <conditionalFormatting sqref="G85:I85">
    <cfRule type="cellIs" dxfId="1222" priority="192" operator="equal">
      <formula>"PMS"</formula>
    </cfRule>
    <cfRule type="cellIs" dxfId="1221" priority="193" operator="equal">
      <formula>"CMS"</formula>
    </cfRule>
    <cfRule type="cellIs" dxfId="1220" priority="194" operator="greaterThan">
      <formula>0</formula>
    </cfRule>
  </conditionalFormatting>
  <conditionalFormatting sqref="G85:I85 V55:W65">
    <cfRule type="cellIs" dxfId="1219" priority="195" operator="lessThanOrEqual">
      <formula>0</formula>
    </cfRule>
  </conditionalFormatting>
  <conditionalFormatting sqref="AC62:AC64">
    <cfRule type="cellIs" dxfId="1218" priority="188" operator="equal">
      <formula>"PMS"</formula>
    </cfRule>
    <cfRule type="cellIs" dxfId="1217" priority="189" operator="equal">
      <formula>"CMS"</formula>
    </cfRule>
    <cfRule type="cellIs" dxfId="1216" priority="190" operator="greaterThan">
      <formula>0</formula>
    </cfRule>
  </conditionalFormatting>
  <conditionalFormatting sqref="AC62:AC64">
    <cfRule type="cellIs" dxfId="1215" priority="191" operator="lessThanOrEqual">
      <formula>0</formula>
    </cfRule>
  </conditionalFormatting>
  <conditionalFormatting sqref="G55:N55">
    <cfRule type="cellIs" dxfId="1214" priority="184" operator="equal">
      <formula>"PMS"</formula>
    </cfRule>
    <cfRule type="cellIs" dxfId="1213" priority="185" operator="equal">
      <formula>"CMS"</formula>
    </cfRule>
    <cfRule type="cellIs" dxfId="1212" priority="186" operator="greaterThan">
      <formula>0</formula>
    </cfRule>
  </conditionalFormatting>
  <conditionalFormatting sqref="G55:N55">
    <cfRule type="cellIs" dxfId="1211" priority="187" operator="lessThanOrEqual">
      <formula>0</formula>
    </cfRule>
  </conditionalFormatting>
  <conditionalFormatting sqref="G52:AC53 V56:V57 V61:V65 X55:AC65 G55:U65 G84:AC85 G43:AC46 G13:AC16 G49:AC49 G68:AC70">
    <cfRule type="cellIs" dxfId="1210" priority="183" operator="lessThanOrEqual">
      <formula>0</formula>
    </cfRule>
  </conditionalFormatting>
  <conditionalFormatting sqref="G24:N24 I25:K25 I20:N22 G52:AC65 G19:G23 G25:G27 G84:AC85 H26:K26 M25:N26 I23:K23 M23:N23 H27:N27 G28:N32 G43:AC46 G13:AC16 G49:AC49 G68:AC70 I19:AC19 O20:AC32">
    <cfRule type="cellIs" dxfId="1209" priority="180" operator="equal">
      <formula>"CMS"</formula>
    </cfRule>
    <cfRule type="cellIs" dxfId="1208" priority="181" operator="equal">
      <formula>"PMS"</formula>
    </cfRule>
    <cfRule type="cellIs" dxfId="1207" priority="182" operator="greaterThan">
      <formula>0</formula>
    </cfRule>
  </conditionalFormatting>
  <conditionalFormatting sqref="G54:AC54">
    <cfRule type="cellIs" dxfId="1206" priority="176" operator="equal">
      <formula>"PMS"</formula>
    </cfRule>
    <cfRule type="cellIs" dxfId="1205" priority="177" operator="equal">
      <formula>"CMS"</formula>
    </cfRule>
    <cfRule type="cellIs" dxfId="1204" priority="178" operator="greaterThan">
      <formula>0</formula>
    </cfRule>
  </conditionalFormatting>
  <conditionalFormatting sqref="G54:AC54">
    <cfRule type="cellIs" dxfId="1203" priority="179" operator="lessThanOrEqual">
      <formula>0</formula>
    </cfRule>
  </conditionalFormatting>
  <conditionalFormatting sqref="G54:AC54">
    <cfRule type="cellIs" dxfId="1202" priority="175" operator="lessThanOrEqual">
      <formula>0</formula>
    </cfRule>
  </conditionalFormatting>
  <conditionalFormatting sqref="G54:T54">
    <cfRule type="cellIs" dxfId="1201" priority="172" operator="equal">
      <formula>"PMS"</formula>
    </cfRule>
    <cfRule type="cellIs" dxfId="1200" priority="173" operator="equal">
      <formula>"CMS"</formula>
    </cfRule>
    <cfRule type="cellIs" dxfId="1199" priority="174" operator="greaterThan">
      <formula>0</formula>
    </cfRule>
  </conditionalFormatting>
  <conditionalFormatting sqref="G54:T54">
    <cfRule type="cellIs" dxfId="1198" priority="171" operator="lessThanOrEqual">
      <formula>0</formula>
    </cfRule>
  </conditionalFormatting>
  <conditionalFormatting sqref="L60">
    <cfRule type="cellIs" dxfId="1197" priority="167" operator="equal">
      <formula>"PMS"</formula>
    </cfRule>
    <cfRule type="cellIs" dxfId="1196" priority="168" operator="equal">
      <formula>"CMS"</formula>
    </cfRule>
    <cfRule type="cellIs" dxfId="1195" priority="169" operator="greaterThan">
      <formula>0</formula>
    </cfRule>
  </conditionalFormatting>
  <conditionalFormatting sqref="L60">
    <cfRule type="cellIs" dxfId="1194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193" priority="166" operator="lessThanOrEqual">
      <formula>0</formula>
    </cfRule>
  </conditionalFormatting>
  <conditionalFormatting sqref="AC65">
    <cfRule type="cellIs" dxfId="1192" priority="162" operator="equal">
      <formula>"PMS"</formula>
    </cfRule>
    <cfRule type="cellIs" dxfId="1191" priority="163" operator="equal">
      <formula>"CMS"</formula>
    </cfRule>
    <cfRule type="cellIs" dxfId="1190" priority="164" operator="greaterThan">
      <formula>0</formula>
    </cfRule>
  </conditionalFormatting>
  <conditionalFormatting sqref="AC65">
    <cfRule type="cellIs" dxfId="1189" priority="165" operator="lessThanOrEqual">
      <formula>0</formula>
    </cfRule>
  </conditionalFormatting>
  <conditionalFormatting sqref="M44">
    <cfRule type="cellIs" dxfId="1188" priority="154" operator="lessThanOrEqual">
      <formula>0</formula>
    </cfRule>
  </conditionalFormatting>
  <conditionalFormatting sqref="N43:N44">
    <cfRule type="cellIs" dxfId="1187" priority="153" operator="lessThanOrEqual">
      <formula>0</formula>
    </cfRule>
  </conditionalFormatting>
  <conditionalFormatting sqref="Q55">
    <cfRule type="cellIs" dxfId="1186" priority="149" operator="equal">
      <formula>"PMS"</formula>
    </cfRule>
    <cfRule type="cellIs" dxfId="1185" priority="150" operator="equal">
      <formula>"CMS"</formula>
    </cfRule>
    <cfRule type="cellIs" dxfId="1184" priority="151" operator="greaterThan">
      <formula>0</formula>
    </cfRule>
  </conditionalFormatting>
  <conditionalFormatting sqref="Q55">
    <cfRule type="cellIs" dxfId="1183" priority="152" operator="lessThanOrEqual">
      <formula>0</formula>
    </cfRule>
  </conditionalFormatting>
  <conditionalFormatting sqref="Q55">
    <cfRule type="cellIs" dxfId="1182" priority="148" operator="lessThanOrEqual">
      <formula>0</formula>
    </cfRule>
  </conditionalFormatting>
  <conditionalFormatting sqref="Q55">
    <cfRule type="cellIs" dxfId="1181" priority="145" operator="equal">
      <formula>"PMS"</formula>
    </cfRule>
    <cfRule type="cellIs" dxfId="1180" priority="146" operator="equal">
      <formula>"CMS"</formula>
    </cfRule>
    <cfRule type="cellIs" dxfId="1179" priority="147" operator="greaterThan">
      <formula>0</formula>
    </cfRule>
  </conditionalFormatting>
  <conditionalFormatting sqref="Q55">
    <cfRule type="cellIs" dxfId="1178" priority="144" operator="lessThanOrEqual">
      <formula>0</formula>
    </cfRule>
  </conditionalFormatting>
  <conditionalFormatting sqref="H19:H23">
    <cfRule type="cellIs" dxfId="1177" priority="141" operator="equal">
      <formula>"PMS"</formula>
    </cfRule>
    <cfRule type="cellIs" dxfId="1176" priority="142" operator="equal">
      <formula>"CMS"</formula>
    </cfRule>
    <cfRule type="cellIs" dxfId="1175" priority="143" operator="greaterThan">
      <formula>0</formula>
    </cfRule>
  </conditionalFormatting>
  <conditionalFormatting sqref="H19:H23">
    <cfRule type="cellIs" dxfId="1174" priority="138" operator="equal">
      <formula>"CMS"</formula>
    </cfRule>
    <cfRule type="cellIs" dxfId="1173" priority="139" operator="equal">
      <formula>"PMS"</formula>
    </cfRule>
    <cfRule type="cellIs" dxfId="1172" priority="140" operator="greaterThan">
      <formula>0</formula>
    </cfRule>
  </conditionalFormatting>
  <conditionalFormatting sqref="H19:H23">
    <cfRule type="cellIs" dxfId="1171" priority="137" operator="lessThanOrEqual">
      <formula>0</formula>
    </cfRule>
  </conditionalFormatting>
  <conditionalFormatting sqref="F84">
    <cfRule type="cellIs" dxfId="1170" priority="134" operator="equal">
      <formula>"PMS"</formula>
    </cfRule>
    <cfRule type="cellIs" dxfId="1169" priority="135" operator="equal">
      <formula>"CMS"</formula>
    </cfRule>
    <cfRule type="cellIs" dxfId="1168" priority="136" operator="greaterThan">
      <formula>0</formula>
    </cfRule>
  </conditionalFormatting>
  <conditionalFormatting sqref="F84">
    <cfRule type="cellIs" dxfId="1167" priority="129" operator="lessThanOrEqual">
      <formula>0</formula>
    </cfRule>
  </conditionalFormatting>
  <conditionalFormatting sqref="F84">
    <cfRule type="cellIs" dxfId="1166" priority="126" operator="equal">
      <formula>"CMS"</formula>
    </cfRule>
    <cfRule type="cellIs" dxfId="1165" priority="127" operator="equal">
      <formula>"PMS"</formula>
    </cfRule>
    <cfRule type="cellIs" dxfId="1164" priority="128" operator="greaterThan">
      <formula>0</formula>
    </cfRule>
  </conditionalFormatting>
  <conditionalFormatting sqref="F13:F16">
    <cfRule type="cellIs" dxfId="1163" priority="113" operator="equal">
      <formula>"PMS"</formula>
    </cfRule>
    <cfRule type="cellIs" dxfId="1162" priority="114" operator="equal">
      <formula>"CMS"</formula>
    </cfRule>
    <cfRule type="cellIs" dxfId="1161" priority="115" operator="greaterThan">
      <formula>0</formula>
    </cfRule>
  </conditionalFormatting>
  <conditionalFormatting sqref="F13:F16">
    <cfRule type="cellIs" dxfId="1160" priority="112" operator="lessThanOrEqual">
      <formula>0</formula>
    </cfRule>
  </conditionalFormatting>
  <conditionalFormatting sqref="F13:F16">
    <cfRule type="cellIs" dxfId="1159" priority="109" operator="equal">
      <formula>"CMS"</formula>
    </cfRule>
    <cfRule type="cellIs" dxfId="1158" priority="110" operator="equal">
      <formula>"PMS"</formula>
    </cfRule>
    <cfRule type="cellIs" dxfId="1157" priority="111" operator="greaterThan">
      <formula>0</formula>
    </cfRule>
  </conditionalFormatting>
  <conditionalFormatting sqref="F19:F32">
    <cfRule type="cellIs" dxfId="1156" priority="106" operator="equal">
      <formula>"PMS"</formula>
    </cfRule>
    <cfRule type="cellIs" dxfId="1155" priority="107" operator="equal">
      <formula>"CMS"</formula>
    </cfRule>
    <cfRule type="cellIs" dxfId="1154" priority="108" operator="greaterThan">
      <formula>0</formula>
    </cfRule>
  </conditionalFormatting>
  <conditionalFormatting sqref="F19:F32">
    <cfRule type="cellIs" dxfId="1153" priority="103" operator="equal">
      <formula>"CMS"</formula>
    </cfRule>
    <cfRule type="cellIs" dxfId="1152" priority="104" operator="equal">
      <formula>"PMS"</formula>
    </cfRule>
    <cfRule type="cellIs" dxfId="1151" priority="105" operator="greaterThan">
      <formula>0</formula>
    </cfRule>
  </conditionalFormatting>
  <conditionalFormatting sqref="F19:F32">
    <cfRule type="cellIs" dxfId="1150" priority="102" operator="lessThanOrEqual">
      <formula>0</formula>
    </cfRule>
  </conditionalFormatting>
  <conditionalFormatting sqref="F43:F46">
    <cfRule type="cellIs" dxfId="1149" priority="99" operator="equal">
      <formula>"PMS"</formula>
    </cfRule>
    <cfRule type="cellIs" dxfId="1148" priority="100" operator="equal">
      <formula>"CMS"</formula>
    </cfRule>
    <cfRule type="cellIs" dxfId="1147" priority="101" operator="greaterThan">
      <formula>0</formula>
    </cfRule>
  </conditionalFormatting>
  <conditionalFormatting sqref="F43:F46">
    <cfRule type="cellIs" dxfId="1146" priority="98" operator="lessThanOrEqual">
      <formula>0</formula>
    </cfRule>
  </conditionalFormatting>
  <conditionalFormatting sqref="F43:F46">
    <cfRule type="cellIs" dxfId="1145" priority="95" operator="equal">
      <formula>"CMS"</formula>
    </cfRule>
    <cfRule type="cellIs" dxfId="1144" priority="96" operator="equal">
      <formula>"PMS"</formula>
    </cfRule>
    <cfRule type="cellIs" dxfId="1143" priority="97" operator="greaterThan">
      <formula>0</formula>
    </cfRule>
  </conditionalFormatting>
  <conditionalFormatting sqref="F49">
    <cfRule type="cellIs" dxfId="1142" priority="92" operator="equal">
      <formula>"PMS"</formula>
    </cfRule>
    <cfRule type="cellIs" dxfId="1141" priority="93" operator="equal">
      <formula>"CMS"</formula>
    </cfRule>
    <cfRule type="cellIs" dxfId="1140" priority="94" operator="greaterThan">
      <formula>0</formula>
    </cfRule>
  </conditionalFormatting>
  <conditionalFormatting sqref="F49">
    <cfRule type="cellIs" dxfId="1139" priority="91" operator="lessThanOrEqual">
      <formula>0</formula>
    </cfRule>
  </conditionalFormatting>
  <conditionalFormatting sqref="F49">
    <cfRule type="cellIs" dxfId="1138" priority="88" operator="equal">
      <formula>"CMS"</formula>
    </cfRule>
    <cfRule type="cellIs" dxfId="1137" priority="89" operator="equal">
      <formula>"PMS"</formula>
    </cfRule>
    <cfRule type="cellIs" dxfId="1136" priority="90" operator="greaterThan">
      <formula>0</formula>
    </cfRule>
  </conditionalFormatting>
  <conditionalFormatting sqref="F55:F65">
    <cfRule type="cellIs" dxfId="1135" priority="85" operator="equal">
      <formula>"PMS"</formula>
    </cfRule>
    <cfRule type="cellIs" dxfId="1134" priority="86" operator="equal">
      <formula>"CMS"</formula>
    </cfRule>
    <cfRule type="cellIs" dxfId="1133" priority="87" operator="greaterThan">
      <formula>0</formula>
    </cfRule>
  </conditionalFormatting>
  <conditionalFormatting sqref="F62:F64">
    <cfRule type="cellIs" dxfId="1132" priority="81" operator="equal">
      <formula>"PMS"</formula>
    </cfRule>
    <cfRule type="cellIs" dxfId="1131" priority="82" operator="equal">
      <formula>"CMS"</formula>
    </cfRule>
    <cfRule type="cellIs" dxfId="1130" priority="83" operator="greaterThan">
      <formula>0</formula>
    </cfRule>
  </conditionalFormatting>
  <conditionalFormatting sqref="F62:F64">
    <cfRule type="cellIs" dxfId="1129" priority="84" operator="lessThanOrEqual">
      <formula>0</formula>
    </cfRule>
  </conditionalFormatting>
  <conditionalFormatting sqref="F52:F53 F55:F65">
    <cfRule type="cellIs" dxfId="1128" priority="80" operator="lessThanOrEqual">
      <formula>0</formula>
    </cfRule>
  </conditionalFormatting>
  <conditionalFormatting sqref="F52:F65">
    <cfRule type="cellIs" dxfId="1127" priority="77" operator="equal">
      <formula>"CMS"</formula>
    </cfRule>
    <cfRule type="cellIs" dxfId="1126" priority="78" operator="equal">
      <formula>"PMS"</formula>
    </cfRule>
    <cfRule type="cellIs" dxfId="1125" priority="79" operator="greaterThan">
      <formula>0</formula>
    </cfRule>
  </conditionalFormatting>
  <conditionalFormatting sqref="F54">
    <cfRule type="cellIs" dxfId="1124" priority="73" operator="equal">
      <formula>"PMS"</formula>
    </cfRule>
    <cfRule type="cellIs" dxfId="1123" priority="74" operator="equal">
      <formula>"CMS"</formula>
    </cfRule>
    <cfRule type="cellIs" dxfId="1122" priority="75" operator="greaterThan">
      <formula>0</formula>
    </cfRule>
  </conditionalFormatting>
  <conditionalFormatting sqref="F54">
    <cfRule type="cellIs" dxfId="1121" priority="76" operator="lessThanOrEqual">
      <formula>0</formula>
    </cfRule>
  </conditionalFormatting>
  <conditionalFormatting sqref="F54">
    <cfRule type="cellIs" dxfId="1120" priority="72" operator="lessThanOrEqual">
      <formula>0</formula>
    </cfRule>
  </conditionalFormatting>
  <conditionalFormatting sqref="F65">
    <cfRule type="cellIs" dxfId="1119" priority="68" operator="equal">
      <formula>"PMS"</formula>
    </cfRule>
    <cfRule type="cellIs" dxfId="1118" priority="69" operator="equal">
      <formula>"CMS"</formula>
    </cfRule>
    <cfRule type="cellIs" dxfId="1117" priority="70" operator="greaterThan">
      <formula>0</formula>
    </cfRule>
  </conditionalFormatting>
  <conditionalFormatting sqref="F65">
    <cfRule type="cellIs" dxfId="1116" priority="71" operator="lessThanOrEqual">
      <formula>0</formula>
    </cfRule>
  </conditionalFormatting>
  <conditionalFormatting sqref="F68:F70">
    <cfRule type="cellIs" dxfId="1115" priority="65" operator="equal">
      <formula>"PMS"</formula>
    </cfRule>
    <cfRule type="cellIs" dxfId="1114" priority="66" operator="equal">
      <formula>"CMS"</formula>
    </cfRule>
    <cfRule type="cellIs" dxfId="1113" priority="67" operator="greaterThan">
      <formula>0</formula>
    </cfRule>
  </conditionalFormatting>
  <conditionalFormatting sqref="F68:F70">
    <cfRule type="cellIs" dxfId="1112" priority="64" operator="lessThanOrEqual">
      <formula>0</formula>
    </cfRule>
  </conditionalFormatting>
  <conditionalFormatting sqref="F68:F70">
    <cfRule type="cellIs" dxfId="1111" priority="61" operator="equal">
      <formula>"CMS"</formula>
    </cfRule>
    <cfRule type="cellIs" dxfId="1110" priority="62" operator="equal">
      <formula>"PMS"</formula>
    </cfRule>
    <cfRule type="cellIs" dxfId="1109" priority="63" operator="greaterThan">
      <formula>0</formula>
    </cfRule>
  </conditionalFormatting>
  <conditionalFormatting sqref="F85">
    <cfRule type="cellIs" dxfId="1108" priority="58" operator="equal">
      <formula>"PMS"</formula>
    </cfRule>
    <cfRule type="cellIs" dxfId="1107" priority="59" operator="equal">
      <formula>"CMS"</formula>
    </cfRule>
    <cfRule type="cellIs" dxfId="1106" priority="60" operator="greaterThan">
      <formula>0</formula>
    </cfRule>
  </conditionalFormatting>
  <conditionalFormatting sqref="F85">
    <cfRule type="cellIs" dxfId="1105" priority="57" operator="lessThanOrEqual">
      <formula>0</formula>
    </cfRule>
  </conditionalFormatting>
  <conditionalFormatting sqref="F85">
    <cfRule type="cellIs" dxfId="1104" priority="54" operator="equal">
      <formula>"CMS"</formula>
    </cfRule>
    <cfRule type="cellIs" dxfId="1103" priority="55" operator="equal">
      <formula>"PMS"</formula>
    </cfRule>
    <cfRule type="cellIs" dxfId="1102" priority="56" operator="greaterThan">
      <formula>0</formula>
    </cfRule>
  </conditionalFormatting>
  <conditionalFormatting sqref="H25">
    <cfRule type="cellIs" dxfId="1101" priority="44" operator="equal">
      <formula>"PMS"</formula>
    </cfRule>
    <cfRule type="cellIs" dxfId="1100" priority="45" operator="equal">
      <formula>"CMS"</formula>
    </cfRule>
    <cfRule type="cellIs" dxfId="1099" priority="46" operator="greaterThan">
      <formula>0</formula>
    </cfRule>
  </conditionalFormatting>
  <conditionalFormatting sqref="H25">
    <cfRule type="cellIs" dxfId="1098" priority="41" operator="equal">
      <formula>"CMS"</formula>
    </cfRule>
    <cfRule type="cellIs" dxfId="1097" priority="42" operator="equal">
      <formula>"PMS"</formula>
    </cfRule>
    <cfRule type="cellIs" dxfId="1096" priority="43" operator="greaterThan">
      <formula>0</formula>
    </cfRule>
  </conditionalFormatting>
  <conditionalFormatting sqref="H25">
    <cfRule type="cellIs" dxfId="1095" priority="40" operator="lessThanOrEqual">
      <formula>0</formula>
    </cfRule>
  </conditionalFormatting>
  <conditionalFormatting sqref="K85">
    <cfRule type="cellIs" dxfId="1094" priority="36" operator="equal">
      <formula>"PMS"</formula>
    </cfRule>
    <cfRule type="cellIs" dxfId="1093" priority="37" operator="equal">
      <formula>"CMS"</formula>
    </cfRule>
    <cfRule type="cellIs" dxfId="1092" priority="38" operator="greaterThan">
      <formula>0</formula>
    </cfRule>
  </conditionalFormatting>
  <conditionalFormatting sqref="K85">
    <cfRule type="cellIs" dxfId="1091" priority="39" operator="lessThanOrEqual">
      <formula>0</formula>
    </cfRule>
  </conditionalFormatting>
  <conditionalFormatting sqref="L23">
    <cfRule type="cellIs" dxfId="1090" priority="19" operator="equal">
      <formula>"PMS"</formula>
    </cfRule>
    <cfRule type="cellIs" dxfId="1089" priority="20" operator="equal">
      <formula>"CMS"</formula>
    </cfRule>
    <cfRule type="cellIs" dxfId="1088" priority="21" operator="greaterThan">
      <formula>0</formula>
    </cfRule>
  </conditionalFormatting>
  <conditionalFormatting sqref="L23">
    <cfRule type="cellIs" dxfId="1087" priority="16" operator="equal">
      <formula>"CMS"</formula>
    </cfRule>
    <cfRule type="cellIs" dxfId="1086" priority="17" operator="equal">
      <formula>"PMS"</formula>
    </cfRule>
    <cfRule type="cellIs" dxfId="1085" priority="18" operator="greaterThan">
      <formula>0</formula>
    </cfRule>
  </conditionalFormatting>
  <conditionalFormatting sqref="L23">
    <cfRule type="cellIs" dxfId="1084" priority="15" operator="lessThanOrEqual">
      <formula>0</formula>
    </cfRule>
  </conditionalFormatting>
  <conditionalFormatting sqref="L25">
    <cfRule type="cellIs" dxfId="1083" priority="12" operator="equal">
      <formula>"PMS"</formula>
    </cfRule>
    <cfRule type="cellIs" dxfId="1082" priority="13" operator="equal">
      <formula>"CMS"</formula>
    </cfRule>
    <cfRule type="cellIs" dxfId="1081" priority="14" operator="greaterThan">
      <formula>0</formula>
    </cfRule>
  </conditionalFormatting>
  <conditionalFormatting sqref="L25">
    <cfRule type="cellIs" dxfId="1080" priority="9" operator="equal">
      <formula>"CMS"</formula>
    </cfRule>
    <cfRule type="cellIs" dxfId="1079" priority="10" operator="equal">
      <formula>"PMS"</formula>
    </cfRule>
    <cfRule type="cellIs" dxfId="1078" priority="11" operator="greaterThan">
      <formula>0</formula>
    </cfRule>
  </conditionalFormatting>
  <conditionalFormatting sqref="L25">
    <cfRule type="cellIs" dxfId="1077" priority="8" operator="lessThanOrEqual">
      <formula>0</formula>
    </cfRule>
  </conditionalFormatting>
  <conditionalFormatting sqref="L26">
    <cfRule type="cellIs" dxfId="1076" priority="5" operator="equal">
      <formula>"PMS"</formula>
    </cfRule>
    <cfRule type="cellIs" dxfId="1075" priority="6" operator="equal">
      <formula>"CMS"</formula>
    </cfRule>
    <cfRule type="cellIs" dxfId="1074" priority="7" operator="greaterThan">
      <formula>0</formula>
    </cfRule>
  </conditionalFormatting>
  <conditionalFormatting sqref="L26">
    <cfRule type="cellIs" dxfId="1073" priority="2" operator="equal">
      <formula>"CMS"</formula>
    </cfRule>
    <cfRule type="cellIs" dxfId="1072" priority="3" operator="equal">
      <formula>"PMS"</formula>
    </cfRule>
    <cfRule type="cellIs" dxfId="1071" priority="4" operator="greaterThan">
      <formula>0</formula>
    </cfRule>
  </conditionalFormatting>
  <conditionalFormatting sqref="L26">
    <cfRule type="cellIs" dxfId="107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12" activePane="bottomRight" state="frozen"/>
      <selection pane="topRight" activeCell="BY777" sqref="BY777"/>
      <selection pane="bottomLeft" activeCell="BY777" sqref="BY777"/>
      <selection pane="bottomRight" activeCell="E227" sqref="E227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/>
      <c r="Q227" s="230"/>
      <c r="R227" s="229" cm="1">
        <f t="array" aca="1" ref="R227" ca="1">INDIRECT("'"&amp;$C227&amp;"'!"&amp;"$"&amp;$D227&amp;$R$1&amp;"")</f>
        <v>6.6</v>
      </c>
      <c r="S227" s="232"/>
      <c r="T227" s="232"/>
      <c r="U227" s="233"/>
      <c r="V227" s="229"/>
      <c r="W227" s="234" cm="1">
        <f t="array" aca="1" ref="W227" ca="1">INDIRECT("'"&amp;$C227&amp;"'!"&amp;"$"&amp;$D227&amp;$W$1&amp;"")</f>
        <v>10.927200000000001</v>
      </c>
      <c r="X227" s="232"/>
      <c r="Y227" s="230"/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cm="1">
        <f t="array" aca="1" ref="AR227" ca="1">INDIRECT("'"&amp;$C227&amp;"'!"&amp;"$"&amp;$D227&amp;$AR$1&amp;"")</f>
        <v>0</v>
      </c>
      <c r="AS227" s="232"/>
      <c r="AT227" s="230"/>
      <c r="AU227" s="231" cm="1">
        <f t="array" aca="1" ref="AU227" ca="1">INDIRECT("'"&amp;$C227&amp;"'!"&amp;"$"&amp;$D227&amp;$AU$1&amp;"")</f>
        <v>4</v>
      </c>
      <c r="AV227" s="232"/>
      <c r="AW227" s="230"/>
      <c r="AX227" s="229"/>
      <c r="AY227" s="233"/>
      <c r="AZ227" s="232" cm="1">
        <f t="array" aca="1" ref="AZ227" ca="1">INDIRECT("'"&amp;$C227&amp;"'!"&amp;"$"&amp;$D227&amp;$AZ$1&amp;"")</f>
        <v>0</v>
      </c>
      <c r="BA227" s="231"/>
      <c r="BB227" s="232"/>
      <c r="BC227" s="230"/>
      <c r="BD227" s="232" cm="1">
        <f t="array" aca="1" ref="BD227" ca="1">INDIRECT("'"&amp;$C227&amp;"'!"&amp;"$"&amp;$D227&amp;$BD$1&amp;"")</f>
        <v>7</v>
      </c>
      <c r="BE227" s="231"/>
      <c r="BF227" s="232"/>
      <c r="BG227" s="230"/>
      <c r="BH227" s="234"/>
      <c r="BI227" s="230"/>
      <c r="BJ227" s="234" cm="1">
        <f t="array" aca="1" ref="BJ227" ca="1">INDIRECT("'"&amp;$C227&amp;"'!"&amp;"$"&amp;$D227&amp;$BJ$1&amp;"")</f>
        <v>14.3</v>
      </c>
      <c r="BK227" s="232"/>
      <c r="BL227" s="230"/>
      <c r="BM227" s="408"/>
      <c r="BN227" s="229" cm="1">
        <f t="array" aca="1" ref="BN227" ca="1">INDIRECT("'"&amp;$C227&amp;"'!"&amp;"$"&amp;$D227&amp;$BN$1&amp;"")</f>
        <v>0</v>
      </c>
      <c r="BO227" s="231"/>
      <c r="BP227" s="230"/>
      <c r="BQ227" s="234" cm="1">
        <f t="array" aca="1" ref="BQ227" ca="1">INDIRECT("'"&amp;$C227&amp;"'!"&amp;"$"&amp;$D227&amp;$BQ$1&amp;"")</f>
        <v>1.4</v>
      </c>
      <c r="BR227" s="232"/>
      <c r="BS227" s="232"/>
      <c r="BT227" s="230"/>
      <c r="BU227" s="235" cm="1">
        <f t="array" aca="1" ref="BU227" ca="1">INDIRECT("'"&amp;$C227&amp;"'!"&amp;"$"&amp;$D227&amp;$BU$1&amp;"")</f>
        <v>0.93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cm="1">
        <f t="array" aca="1" ref="G228" ca="1">INDIRECT("'"&amp;$C228&amp;"'!"&amp;"$"&amp;$D228&amp;$G$1&amp;"")</f>
        <v>0</v>
      </c>
      <c r="H228" s="239" t="s">
        <v>1</v>
      </c>
      <c r="I228" s="237" t="s">
        <v>1</v>
      </c>
      <c r="J228" s="238" cm="1">
        <f t="array" aca="1" ref="J228" ca="1">INDIRECT("'"&amp;$C228&amp;"'!"&amp;"$"&amp;$D228&amp;$J$1&amp;"")</f>
        <v>0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0</v>
      </c>
      <c r="O228" s="239"/>
      <c r="P228" s="239"/>
      <c r="Q228" s="237"/>
      <c r="R228" s="354" cm="1">
        <f t="array" aca="1" ref="R228" ca="1">INDIRECT("'"&amp;$C228&amp;"'!"&amp;"$"&amp;$D228&amp;$R$1&amp;"")</f>
        <v>0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0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0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0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0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0</v>
      </c>
      <c r="BR228" s="239"/>
      <c r="BS228" s="239"/>
      <c r="BT228" s="237"/>
      <c r="BU228" s="242" cm="1">
        <f t="array" aca="1" ref="BU228" ca="1">INDIRECT("'"&amp;$C228&amp;"'!"&amp;"$"&amp;$D228&amp;$BU$1&amp;"")</f>
        <v>0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069" priority="9083" operator="equal">
      <formula>"PMS"</formula>
    </cfRule>
    <cfRule type="cellIs" dxfId="1068" priority="9084" operator="equal">
      <formula>"CMS"</formula>
    </cfRule>
  </conditionalFormatting>
  <conditionalFormatting sqref="BM5:BN5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CA5:CB28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BN6:BN27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28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Q6:BQ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5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U12:BU28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Y6:BY28">
    <cfRule type="cellIs" dxfId="1053" priority="9065" operator="equal">
      <formula>"PMS"</formula>
    </cfRule>
    <cfRule type="cellIs" dxfId="1052" priority="9066" operator="equal">
      <formula>"CMS"</formula>
    </cfRule>
  </conditionalFormatting>
  <conditionalFormatting sqref="BY5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U5">
    <cfRule type="cellIs" dxfId="1049" priority="6995" operator="equal">
      <formula>"PMS"</formula>
    </cfRule>
    <cfRule type="cellIs" dxfId="1048" priority="6996" operator="equal">
      <formula>"CMS"</formula>
    </cfRule>
  </conditionalFormatting>
  <conditionalFormatting sqref="BU6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7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8">
    <cfRule type="cellIs" dxfId="1043" priority="6987" operator="equal">
      <formula>"PMS"</formula>
    </cfRule>
    <cfRule type="cellIs" dxfId="1042" priority="6988" operator="equal">
      <formula>"CMS"</formula>
    </cfRule>
  </conditionalFormatting>
  <conditionalFormatting sqref="BU9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10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1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R30:BT53 BV30:BX53 BZ30:BZ53 BK31:BM53 BK30:BL30 BO30:BP53">
    <cfRule type="cellIs" dxfId="1035" priority="1511" operator="equal">
      <formula>"PMS"</formula>
    </cfRule>
    <cfRule type="cellIs" dxfId="1034" priority="1512" operator="equal">
      <formula>"CMS"</formula>
    </cfRule>
  </conditionalFormatting>
  <conditionalFormatting sqref="BM30:BN30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CA30:CB53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BN31:BN52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Q31:BQ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0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U37:BU53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Y31:BY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0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U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1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2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3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4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5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6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E55:BJ78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R55:BT78 BV55:BX78 BZ55:BZ78 BK56:BM78 BK55:BL55 BO55:BP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M55:BN55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CA55:CB78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N56:BN77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Q56:BQ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5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U62:BU78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Y56:BY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5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U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6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7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8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9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60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1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E80:BJ100 E101:AU103 AX101:BJ103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R80:BT103 BV80:BX103 BZ80:BZ103 BK81:BM103 BK80:BL80 BO80:BP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M80:BN8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CA80:CB103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N81:BN102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Q81:BQ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0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U87:BU103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Y81:BY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0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U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1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2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3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4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5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6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E105:BJ128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R105:BT128 BV105:BX128 BZ105:BZ128 BK106:BM128 BK105:BL105 BO105:BP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M105:BN10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CA105:CB128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N106:BN127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Q106:BQ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5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U112:BU128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Y106:BY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5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U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6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7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8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9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10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1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E130:K153 BD130:BJ130 N130:BA130 N131:BJ153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R130:BT153 BV130:BX153 BZ130:BZ153 BK131:BM153 BK130:BL130 BO130:BP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M130:BN13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CA130:CB153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N131:BN152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Q131:BQ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0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U137:BU153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Y131:BY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0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U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1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2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3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4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5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6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E155:BJ178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R155:BT178 BV155:BX178 BZ155:BZ178 BK156:BM178 BK155:BL155 BO155:BP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M155:BN15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CA155:CB17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N156:BN177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Q156:BQ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5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U162:BU178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Y156:BY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5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U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6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7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8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9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60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1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E180:BJ203 E205:BJ22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M180:BN18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CA180:CB203 CA205:CB228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N181:BN202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203 BN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Q181:BQ203 BQ206:BQ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0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U187:BU203 BU212:BU228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Y181:BY203 BY206:BY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0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U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1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2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3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4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5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6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M205:BN205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N206:BN227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Q20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Y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U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6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7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8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9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10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1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E230:BJ253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R230:BT253 BV230:BX253 BZ230:BZ253 BK231:BM253 BK230:BL230 BO230:BP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CA230:CB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N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31:BQ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U237:BU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Y231:BY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M230:BN230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N231:BN252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Q230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U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1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2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3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4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5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6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E255:BJ278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R255:BT278 BV255:BX278 BZ255:BZ278 BK256:BM278 BK255:BL255 BO255:BP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CA255:CB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N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56:BQ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U262:BU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Y256:BY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M255:BN255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N256:BN277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Q255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U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6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7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8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9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60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1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E280:BJ303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R280:BT303 BV280:BX303 BZ280:BZ303 BK281:BM303 BK280:BL280 BO280:BP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CA280:CB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N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81:BQ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U287:BU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Y281:BY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M280:BN280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N281:BN302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Q280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U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1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2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3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4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5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6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E305:BJ328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R305:BT328 BV305:BX328 BZ305:BZ328 BK306:BM328 BK305:BL305 BO305:BP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CA305:CB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N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Q306:BQ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U312:BU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Y306:BY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M305:BN305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N306:BN327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Q305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U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6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7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8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9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10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1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E330:BJ353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R330:BT353 BV330:BX353 BZ330:BZ353 BK331:BM353 BK330:BL330 BO330:BP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CA330:CB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N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Q331:BQ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U337:BU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Y331:BY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M330:BN330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N331:BN352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Q330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U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1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2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3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4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5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6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E355:BJ378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R355:BT378 BV355:BX378 BZ355:BZ378 BK356:BM378 BK355:BL355 BO355:BP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CA355:CB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N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Q356:BQ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U362:BU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Y356:BY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M355:BN355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N356:BN377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Q355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U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6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7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8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9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60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1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E380:BJ403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R380:BT403 BV380:BX403 BZ380:BZ403 BK381:BM403 BK380:BL380 BO380:BP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CA380:CB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N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Q381:BQ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U387:BU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Y381:BY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M380:BN380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N381:BN402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Q380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U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1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2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4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5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6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E405:BJ42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R405:BT428 BV405:BX428 BZ405:BZ428 BK406:BM428 BK405:BL405 BO405:BP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CA405:CB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N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Q406:BQ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U412:BU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Y406:BY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M405:BN405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N406:BN427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Q405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U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6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7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8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9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10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1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E430:BJ453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R430:BT453 BV430:BX453 BZ430:BZ453 BK431:BM453 BK430:BL430 BO430:BP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CA430:CB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N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Q431:BQ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U437:BU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Y431:BY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M430:BN430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N431:BN452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43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U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1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2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3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4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5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6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E455:BJ47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R455:BT478 BV455:BX478 BZ455:BZ478 BK456:BM478 BK455:BL455 BO455:BP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CA455:CB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N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Q456:BQ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U462:BU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Y456:BY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M455:BN455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N456:BN477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55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U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6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7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8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9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6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1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E480:BJ503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R480:BT503 BV480:BX503 BZ480:BZ503 BK481:BM503 BK480:BL480 BO480:BP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CA480:CB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N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81:BQ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U487:BU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Y481:BY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M480:BN480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81:BN502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Q480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U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1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2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3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4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5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6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E505:BJ52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R505:BT528 BV505:BX528 BZ505:BZ528 BK506:BM528 BK505:BL505 BO505:BP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CA505:CB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N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Q506:BQ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U512:BU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Y506:BY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M505:BN505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N506:BN527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Q505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U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6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7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8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9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10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1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E530:BJ553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R530:BT553 BV530:BX553 BZ530:BZ553 BK531:BM553 BK530:BL530 BO530:BP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CA530:CB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N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Q531:BQ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U537:BU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Y531:BY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M530:BN530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N531:BN552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30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U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1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2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3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4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5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6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E555:BJ578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R555:BT578 BV555:BX578 BZ555:BZ578 BK556:BM578 BK555:BL555 BO555:BP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CA555:CB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N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56:BQ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U562:BU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Y556:BY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M555:BN555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N556:BN577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55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U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6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7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8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9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60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1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E580:BJ603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R580:BT603 BV580:BX603 BZ580:BZ603 BK581:BM603 BK580:BL580 BO580:BP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CA580:CB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N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81:BQ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U587:BU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Y581:BY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M580:BN580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N581:BN602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0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U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1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2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3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4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5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6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E605:BJ62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R605:BT628 BV605:BX628 BZ605:BZ628 BK606:BM628 BK605:BL605 BO605:BP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CA605:CB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N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Q606:BQ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U612:BU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Y606:BY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M605:BN605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N606:BN627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U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7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9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10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1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E630: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R630:BT653 BV630:BX653 BZ630:BZ653 BK631:BM653 BK630:BL630 BO630:BP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CA630:CB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N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631:BQ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U637:BU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Y631:BY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M630:BN630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N631:BN65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0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U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1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2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3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4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5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6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E655:BJ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R655:BT678 BV655:BX678 BZ655:BZ678 BK656:BM678 BK655:BL655 BO655:BP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CA655:CB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N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6:BQ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U662:BU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Y656:BY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M655:BN655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N656:BN677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55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U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6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7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8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9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6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1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E680:BJ70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R680:BT703 BV680:BX703 BZ680:BZ703 BK681:BM703 BK680:BL680 BO680:BP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CA680:CB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N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1:BQ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U687:BU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Y681:BY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M680:BN680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N681:BN702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680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U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1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2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4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6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E705:BJ7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R705:BT728 BV705:BX728 BZ705:BZ728 BK706:BM728 BK705:BL705 BO705:BP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CA705:CB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N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6:BQ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U712:BU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Y706:BY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M705:BN70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N706:BN727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Q705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U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6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7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9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1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E730:BJ7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R730:BT753 BV730:BX753 BZ730:BZ753 BK731:BM753 BK730:BL730 BO730:BP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CA730:CB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N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1:BQ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U737:BU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Y731:BY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730:BN730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N731:BN752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Q730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U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1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4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5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6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V101:AW1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B130:BC13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L130:M1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O207:BP214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14" activePane="bottomLeft" state="frozen"/>
      <selection pane="bottomLeft" activeCell="H429" sqref="H4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</row>
    <row r="419" spans="1:8" x14ac:dyDescent="0.25">
      <c r="A419" s="32" t="s">
        <v>306</v>
      </c>
      <c r="B419" s="79">
        <v>46000</v>
      </c>
      <c r="C419" s="32" t="s">
        <v>1623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</row>
    <row r="436" spans="1:6" x14ac:dyDescent="0.25">
      <c r="A436" s="32" t="s">
        <v>205</v>
      </c>
      <c r="B436" s="79">
        <v>46000</v>
      </c>
      <c r="C436" s="32" t="s">
        <v>200</v>
      </c>
    </row>
    <row r="437" spans="1:6" x14ac:dyDescent="0.25">
      <c r="A437" s="32" t="s">
        <v>267</v>
      </c>
      <c r="B437" s="79">
        <v>46000</v>
      </c>
      <c r="C437" s="32" t="s">
        <v>1669</v>
      </c>
    </row>
    <row r="438" spans="1:6" x14ac:dyDescent="0.25">
      <c r="A438" s="32" t="s">
        <v>308</v>
      </c>
      <c r="B438" s="79">
        <v>46000</v>
      </c>
      <c r="C438" s="32" t="s">
        <v>1678</v>
      </c>
    </row>
    <row r="439" spans="1:6" x14ac:dyDescent="0.25">
      <c r="A439" s="32" t="s">
        <v>245</v>
      </c>
      <c r="B439" s="79">
        <v>46000</v>
      </c>
      <c r="C439" s="32" t="s">
        <v>464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</row>
    <row r="442" spans="1:6" x14ac:dyDescent="0.25">
      <c r="A442" s="32" t="s">
        <v>248</v>
      </c>
      <c r="B442" s="79">
        <v>46000</v>
      </c>
      <c r="C442" s="32" t="s">
        <v>1684</v>
      </c>
    </row>
    <row r="443" spans="1:6" x14ac:dyDescent="0.25">
      <c r="A443" s="32" t="s">
        <v>270</v>
      </c>
      <c r="B443" s="79">
        <v>46000</v>
      </c>
      <c r="C443" s="32" t="s">
        <v>1684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852"/>
  <sheetViews>
    <sheetView zoomScaleNormal="100" workbookViewId="0">
      <pane ySplit="1" topLeftCell="A830" activePane="bottomLeft" state="frozen"/>
      <selection pane="bottomLeft" activeCell="D845" sqref="D845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79" activePane="bottomRight" state="frozen"/>
      <selection pane="topRight" activeCell="D1" sqref="D1"/>
      <selection pane="bottomLeft" activeCell="A3" sqref="A3"/>
      <selection pane="bottomRight" activeCell="R901" sqref="R90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46000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14.397795023149229</v>
      </c>
      <c r="I9" s="169">
        <f ca="1">((DATE(YEAR(F9),MONTH(F9)+1,25)) + TIME(LEFT("1200H", 2), MID("1200H", 3, 2), 0)) - ($AI$3 + TIME(LEFT(NOW(), 2), MID(NOW(), 3, 2), 0))</f>
        <v>15.583333333335759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3899.999999999995</v>
      </c>
      <c r="Y9" s="172">
        <f ca="1">X9/H9/24</f>
        <v>11.286450441802176</v>
      </c>
      <c r="Z9" s="173">
        <f ca="1">AC9/H9/24</f>
        <v>11.286450441802176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139685.4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3899.999999999995</v>
      </c>
      <c r="AD9" s="114"/>
      <c r="AE9" s="113" t="s">
        <v>1319</v>
      </c>
      <c r="AF9" s="642">
        <f ca="1">$AB$9/$E$9</f>
        <v>0.98105970579460244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0.32782585890374993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45.397795023149229</v>
      </c>
      <c r="I17" s="169">
        <f ca="1">((DATE(YEAR(F17),MONTH(F17)+1,25)) + TIME(LEFT("1200H", 2), MID("1200H", 3, 2), 0)) - ($AI$3 + TIME(LEFT(NOW(), 2), MID(NOW(), 3, 2), 0))</f>
        <v>-14.416666666664241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-649.6994858074778</v>
      </c>
      <c r="Z17" s="173">
        <f ca="1">AC17/H17/24</f>
        <v>-649.6994858074778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14.397795023149229</v>
      </c>
      <c r="I25" s="169">
        <f ca="1">((DATE(YEAR(F25),MONTH(F25)+1,25)) + TIME(LEFT("1200H", 2), MID("1200H", 3, 2), 0)) - ($AI$3 + TIME(LEFT(NOW(), 2), MID(NOW(), 3, 2), 0))</f>
        <v>15.583333333335759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6169.8599999999933</v>
      </c>
      <c r="Y25" s="172">
        <f ca="1">X25/H25/24</f>
        <v>17.85533823663015</v>
      </c>
      <c r="Z25" s="173">
        <f ca="1">AC25/H25/24</f>
        <v>17.85533823663015</v>
      </c>
      <c r="AA25" s="182">
        <f ca="1">SUM(AA28:AA29)</f>
        <v>712575.3</v>
      </c>
      <c r="AB25" s="291">
        <f ca="1">SUM(AB28:AB32)</f>
        <v>170884.07390399999</v>
      </c>
      <c r="AC25" s="308">
        <f ca="1">SUM(AC28:AC32)</f>
        <v>6169.8599999999933</v>
      </c>
      <c r="AD25" s="114"/>
      <c r="AE25" s="113" t="s">
        <v>1319</v>
      </c>
      <c r="AF25" s="642">
        <f ca="1">AB25/$E$25</f>
        <v>0.94935596613333328</v>
      </c>
      <c r="AG25" s="643"/>
      <c r="AH25" s="643"/>
      <c r="AI25" s="644"/>
      <c r="AJ25" s="106"/>
      <c r="AK25" s="114"/>
      <c r="AM25" s="187">
        <f ca="1">(E25-AB25)/67/24</f>
        <v>5.6691082686567222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431500.79999999999</v>
      </c>
      <c r="AB28" s="293">
        <f ca="1">(((((INDEX(BILLING!$R:$R,MATCH($AI$3&amp;" "&amp;$AI$5,BILLING!$C:$C,0))-J28)*$D$60)-
((INDEX(BILLING!$S:$S,MATCH($AI$3&amp;" "&amp;$AI$5,BILLING!$C:$C,0))-K28)*$D$60))))/1000</f>
        <v>34880.400000000001</v>
      </c>
      <c r="AC28" s="281">
        <f ca="1">(((((INDEX(BILLING!$R:$R,MATCH($AI$3&amp;" "&amp;$AI$5,BILLING!$C:$C,0))-R28)*$D$60)-
((INDEX(BILLING!$S:$S,MATCH($AI$3&amp;" "&amp;$AI$5,BILLING!$C:$C,0))-S28)*$D$60))))/1000</f>
        <v>853.19999999998254</v>
      </c>
      <c r="AD28" s="114"/>
      <c r="AE28" s="113" t="s">
        <v>1320</v>
      </c>
      <c r="AF28" s="642">
        <f ca="1">$AC$25/$D$25</f>
        <v>0.41132399999999958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281074.5</v>
      </c>
      <c r="AB29" s="293">
        <f ca="1">(((((INDEX(BILLING!$P:$P,MATCH($AI$3&amp;" "&amp;$AI$5,BILLING!$C:$C,0))-J29)*$D$59)-
((INDEX(BILLING!$Q:$Q,MATCH($AI$3&amp;" "&amp;$AI$5,BILLING!$C:$C,0))-K29)*$D$59))))/1000</f>
        <v>110097</v>
      </c>
      <c r="AC29" s="281">
        <f ca="1">(((((INDEX(BILLING!$P:$P,MATCH($AI$3&amp;" "&amp;$AI$5,BILLING!$C:$C,0))-R29)*$D$59)-
((INDEX(BILLING!$Q:$Q,MATCH($AI$3&amp;" "&amp;$AI$5,BILLING!$C:$C,0))-S29)*$D$59))))/1000</f>
        <v>4870.5000000000109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24697.997903999996</v>
      </c>
      <c r="AC32" s="281">
        <f ca="1">(((((INDEX(BILLING!$AP:$AP,MATCH($AI$3&amp;" "&amp;$AI$5,BILLING!$C:$C,0))-R32)*$D$66)-
((INDEX(BILLING!$AM:$AM,MATCH($AI$3&amp;" "&amp;$AI$5,BILLING!$C:$C,0))-S32)*$D$66))))/1000</f>
        <v>446.15999999999974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14.397798148151196</v>
      </c>
      <c r="I36" s="169">
        <f ca="1">((DATE(YEAR(F36),MONTH(F36)+1,25)) + TIME(LEFT("1200H", 2), MID("1200H", 3, 2), 0)) - ($AI$3 + TIME(LEFT(NOW(), 2), MID(NOW(), 3, 2), 0))</f>
        <v>15.583333333335759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1542.8420000000024</v>
      </c>
      <c r="Y36" s="172">
        <f ca="1">X36/H36/24</f>
        <v>4.4649246136006013</v>
      </c>
      <c r="Z36" s="173">
        <f ca="1">AC36/H36/24</f>
        <v>4.4649246136006013</v>
      </c>
      <c r="AA36" s="182"/>
      <c r="AB36" s="291">
        <f ca="1">SUM(AB39:AB41)</f>
        <v>21786.114000000009</v>
      </c>
      <c r="AC36" s="308">
        <f ca="1">SUM(AC39:AC41)</f>
        <v>1542.8420000000024</v>
      </c>
      <c r="AD36" s="114"/>
      <c r="AE36" s="113" t="s">
        <v>1319</v>
      </c>
      <c r="AF36" s="642">
        <f ca="1">AB36/$E$36</f>
        <v>0.38743267178830576</v>
      </c>
      <c r="AG36" s="643"/>
      <c r="AH36" s="643"/>
      <c r="AI36" s="644"/>
      <c r="AJ36" s="106"/>
      <c r="AK36" s="114"/>
      <c r="AM36" s="187">
        <f ca="1">(E36-AB36)/67/24</f>
        <v>21.421570895522382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8335.6140000000087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890.31600000000196</v>
      </c>
      <c r="AD39" s="114"/>
      <c r="AE39" s="113" t="s">
        <v>1320</v>
      </c>
      <c r="AF39" s="642">
        <f ca="1">$AC$36/$D$36</f>
        <v>0.32924498506188699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5172.3</v>
      </c>
      <c r="AC40" s="281">
        <f ca="1">(((((INDEX(BILLING!$AD:$AD,MATCH($AI$3&amp;" "&amp;$AI$5,BILLING!$C:$C,0))-T40)*$D$58)-
((INDEX(BILLING!$AE:$AE,MATCH($AI$3&amp;" "&amp;$AI$5,BILLING!$C:$C,0))-U40)*$D$58))))/1000</f>
        <v>255.6260000000002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8278.2000000000007</v>
      </c>
      <c r="AB41" s="335">
        <f ca="1">(((((INDEX(BILLING!$Z:$Z,MATCH($AI$3&amp;" "&amp;$AI$5,BILLING!$C:$C,0))-P41)*$D$57)-
((INDEX(BILLING!$AA:$AA,MATCH($AI$3&amp;" "&amp;$AI$5,BILLING!$C:$C,0))-Q41)*$D$57))))/1000</f>
        <v>8278.2000000000007</v>
      </c>
      <c r="AC41" s="336">
        <f ca="1">(((((INDEX(BILLING!$Z:$Z,MATCH($AI$3&amp;" "&amp;$AI$5,BILLING!$C:$C,0))-T41)*$D$57)-
((INDEX(BILLING!$AA:$AA,MATCH($AI$3&amp;" "&amp;$AI$5,BILLING!$C:$C,0))-U41)*$D$57))))/1000</f>
        <v>396.9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32197.559999999998</v>
      </c>
      <c r="AC42" s="281">
        <f ca="1">(((((INDEX(BILLING!$AN:$AN,MATCH($AI$3&amp;" "&amp;$AI$5,BILLING!$C:$C,0))-R42)*$D$67)-
((INDEX(BILLING!$AO:$AO,MATCH($AI$3&amp;" "&amp;$AI$5,BILLING!$C:$C,0))-S42)*$D$67))))/1000</f>
        <v>984.68284240000082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349.39779502314923</v>
      </c>
      <c r="I9" s="169">
        <f ca="1">((DATE(YEAR(F9),MONTH(F9)+1,25)) + TIME(LEFT("1200H", 2), MID("1200H", 3, 2), 0)) - ($AG$3 + TIME(LEFT(NOW(), 2), MID(NOW(), 3, 2), 0))</f>
        <v>-318.41666666666424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141691.68</v>
      </c>
      <c r="W9" s="172">
        <f ca="1">V9/H9/24</f>
        <v>16.897130102406184</v>
      </c>
      <c r="X9" s="173">
        <f ca="1">AA9/H9/24</f>
        <v>16.897130102406184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141691.68</v>
      </c>
      <c r="AB9" s="114"/>
      <c r="AC9" s="113" t="s">
        <v>1319</v>
      </c>
      <c r="AD9" s="642">
        <f ca="1">$AA$9/$E$9</f>
        <v>0.99519357195032865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11.91086751849361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349.39779502314923</v>
      </c>
      <c r="I17" s="169">
        <f ca="1">((DATE(YEAR(F17),MONTH(F17)+1,25)) + TIME(LEFT("1200H", 2), MID("1200H", 3, 2), 0)) - ($AG$3 + TIME(LEFT(NOW(), 2), MID(NOW(), 3, 2), 0))</f>
        <v>-318.41666666666424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-80.584125222659765</v>
      </c>
      <c r="X17" s="173">
        <f ca="1">AA17/H17/24</f>
        <v>-80.584125222659765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349.39779502314923</v>
      </c>
      <c r="I25" s="169">
        <f ca="1">((DATE(YEAR(F25),MONTH(F25)+1,25)) + TIME(LEFT("1200H", 2), MID("1200H", 3, 2), 0)) - ($AG$3 + TIME(LEFT(NOW(), 2), MID(NOW(), 3, 2), 0))</f>
        <v>-318.41666666666424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157304.90499999994</v>
      </c>
      <c r="W25" s="172">
        <f ca="1">V25/H25/24</f>
        <v>18.759050958614111</v>
      </c>
      <c r="X25" s="173">
        <f ca="1">AA25/H25/24</f>
        <v>18.759050958614111</v>
      </c>
      <c r="Y25" s="182">
        <f ca="1">SUM(Y28:Y31)</f>
        <v>323063.39999999997</v>
      </c>
      <c r="Z25" s="182">
        <f ca="1">SUM(Z28:Z31)</f>
        <v>334981.8</v>
      </c>
      <c r="AA25" s="132">
        <f ca="1">SUM(AA28:AA31)</f>
        <v>157304.90499999994</v>
      </c>
      <c r="AB25" s="114"/>
      <c r="AC25" s="113" t="s">
        <v>1319</v>
      </c>
      <c r="AD25" s="642">
        <f ca="1">Z25/$E$25</f>
        <v>1.8610099999999998</v>
      </c>
      <c r="AE25" s="643"/>
      <c r="AF25" s="643"/>
      <c r="AG25" s="644"/>
      <c r="AH25" s="106"/>
      <c r="AI25" s="114"/>
      <c r="AK25" s="187">
        <f ca="1">(E25-Z25)/67/24</f>
        <v>-96.381716417910454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80135.999999999971</v>
      </c>
      <c r="Z28" s="165">
        <f ca="1">(((((INDEX(BILLING!$R:$R,MATCH($AG$3&amp;" "&amp;$AG$5,BILLING!$C:$C,0))-J28)*$D$57)-
((INDEX(BILLING!$S:$S,MATCH($AG$3&amp;" "&amp;$AG$5,BILLING!$C:$C,0))-K28)*$D$57))))/1000</f>
        <v>83243.999999999985</v>
      </c>
      <c r="AA28" s="132">
        <f ca="1">(((((INDEX(BILLING!$R:$R,MATCH($AG$3&amp;" "&amp;$AG$5,BILLING!$C:$C,0))-P28)*$D$57)-
((INDEX(BILLING!$S:$S,MATCH($AG$3&amp;" "&amp;$AG$5,BILLING!$C:$C,0))-Q28)*$D$57))))/1000</f>
        <v>35829.599999999962</v>
      </c>
      <c r="AB28" s="114"/>
      <c r="AC28" s="113" t="s">
        <v>1320</v>
      </c>
      <c r="AD28" s="642">
        <f ca="1">$AA$25/$D$25</f>
        <v>10.486993666666663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223204.19999999998</v>
      </c>
      <c r="Z29" s="165">
        <f ca="1">(((((INDEX(BILLING!$P:$P,MATCH($AG$3&amp;" "&amp;$AG$5,BILLING!$C:$C,0))-J29)*$D$56)-
((INDEX(BILLING!$Q:$Q,MATCH($AG$3&amp;" "&amp;$AG$5,BILLING!$C:$C,0))-K29)*$D$56))))/1000</f>
        <v>231327.9</v>
      </c>
      <c r="AA29" s="132">
        <f ca="1">(((((INDEX(BILLING!$P:$P,MATCH($AG$3&amp;" "&amp;$AG$5,BILLING!$C:$C,0))-P29)*$D$56)-
((INDEX(BILLING!$Q:$Q,MATCH($AG$3&amp;" "&amp;$AG$5,BILLING!$C:$C,0))-Q29)*$D$56))))/1000</f>
        <v>112400.4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19723.2</v>
      </c>
      <c r="Z31" s="165">
        <f ca="1">(((((INDEX(BILLING!$Z:$Z,MATCH($AG$3&amp;" "&amp;$AG$5,BILLING!$C:$C,0))-L31)*$D$54)-
((INDEX(BILLING!$AA:$AA,MATCH($AG$3&amp;" "&amp;$AG$5,BILLING!$C:$C,0))-M31)*$D$54))))/1000</f>
        <v>20409.900000000001</v>
      </c>
      <c r="AA31" s="132">
        <f ca="1">(((((INDEX(BILLING!$Z:$Z,MATCH($AG$3&amp;" "&amp;$AG$5,BILLING!$C:$C,0))-R31)*$D$54)-
((INDEX(BILLING!$AA:$AA,MATCH($AG$3&amp;" "&amp;$AG$5,BILLING!$C:$C,0))-S31)*$D$54))))/1000</f>
        <v>9970.7999999999993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85297.8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349.39779502314923</v>
      </c>
      <c r="I36" s="169">
        <f ca="1">((DATE(YEAR(F36),MONTH(F36)+1,25)) + TIME(LEFT("1200H", 2), MID("1200H", 3, 2), 0)) - ($AG$3 + TIME(LEFT(NOW(), 2), MID(NOW(), 3, 2), 0))</f>
        <v>-318.41666666666424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18626.090000000004</v>
      </c>
      <c r="W36" s="172">
        <f ca="1">V36/H36/24</f>
        <v>2.2212134546582187</v>
      </c>
      <c r="X36" s="173">
        <f ca="1">AA36/H36/24</f>
        <v>2.2212134546582187</v>
      </c>
      <c r="Y36" s="182"/>
      <c r="Z36" s="182">
        <f ca="1">SUM(Z39:Z40)</f>
        <v>50764.000000000007</v>
      </c>
      <c r="AA36" s="132">
        <f ca="1">SUM(AA39:AA40)</f>
        <v>18626.090000000004</v>
      </c>
      <c r="AB36" s="114"/>
      <c r="AC36" s="113" t="s">
        <v>1319</v>
      </c>
      <c r="AD36" s="642">
        <f ca="1">Z36/$E$36</f>
        <v>1.5153432835820717</v>
      </c>
      <c r="AE36" s="643"/>
      <c r="AF36" s="643"/>
      <c r="AG36" s="644"/>
      <c r="AH36" s="106"/>
      <c r="AI36" s="114"/>
      <c r="AK36" s="187">
        <f ca="1">(E36-Z36)/67/24</f>
        <v>-10.736318407959955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38501.820000000007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12367.026000000002</v>
      </c>
      <c r="AB39" s="114"/>
      <c r="AC39" s="113" t="s">
        <v>1320</v>
      </c>
      <c r="AD39" s="642">
        <f ca="1">$AA$36/$D$36</f>
        <v>6.6720322388058912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12262.180000000002</v>
      </c>
      <c r="AA40" s="156">
        <f ca="1">(((((INDEX(BILLING!$AD:$AD,MATCH($AG$3&amp;" "&amp;$AG$5,BILLING!$C:$C,0))-R40)*$D$55)-
((INDEX(BILLING!$AE:$AE,MATCH($AG$3&amp;" "&amp;$AG$5,BILLING!$C:$C,0))-S40)*$D$55))))/1000</f>
        <v>6259.0640000000003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287.3977981481512</v>
      </c>
      <c r="I9" s="169">
        <f ca="1">((DATE(YEAR(F9),MONTH(F9)+1,25)) + TIME(LEFT("1200H", 2), MID("1200H", 3, 2), 0)) - ($AG$3 + TIME(LEFT(NOW(), 2), MID(NOW(), 3, 2), 0))</f>
        <v>-259.41666666666424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115626.83999999998</v>
      </c>
      <c r="W9" s="172">
        <f ca="1">V9/H9/24</f>
        <v>16.763472201399647</v>
      </c>
      <c r="X9" s="173">
        <f ca="1">AA9/H9/24</f>
        <v>16.763472201399647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139685.4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115626.83999999998</v>
      </c>
      <c r="AB9" s="114"/>
      <c r="AC9" s="113" t="s">
        <v>1319</v>
      </c>
      <c r="AD9" s="642">
        <f ca="1">$Z$9/$E$9</f>
        <v>0.98110215204809792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9.7198083389374563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287.3977981481512</v>
      </c>
      <c r="I17" s="169">
        <f ca="1">((DATE(YEAR(F17),MONTH(F17)+1,25)) + TIME(LEFT("1200H", 2), MID("1200H", 3, 2), 0)) - ($AG$3 + TIME(LEFT(NOW(), 2), MID(NOW(), 3, 2), 0))</f>
        <v>-259.41666666666424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-99.003241384145483</v>
      </c>
      <c r="X17" s="173">
        <f ca="1">AA17/H17/24</f>
        <v>-99.003241384145483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287.39779502314923</v>
      </c>
      <c r="I25" s="169">
        <f ca="1">((DATE(YEAR(F25),MONTH(F25)+1,25)) + TIME(LEFT("1200H", 2), MID("1200H", 3, 2), 0)) - ($AG$3 + TIME(LEFT(NOW(), 2), MID(NOW(), 3, 2), 0))</f>
        <v>-259.41666666666424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-98653.422000000006</v>
      </c>
      <c r="W25" s="172">
        <f ca="1">V25/H25/24</f>
        <v>-14.302681931393748</v>
      </c>
      <c r="X25" s="173">
        <f ca="1">AA25/H25/24</f>
        <v>-14.302681931393748</v>
      </c>
      <c r="Y25" s="182">
        <f ca="1">SUM(Y28:Y31)</f>
        <v>323063.39999999997</v>
      </c>
      <c r="Z25" s="291">
        <f ca="1">SUM(Z28:Z33)</f>
        <v>-74170.039000000019</v>
      </c>
      <c r="AA25" s="308">
        <f ca="1">SUM(AA28:AA33)</f>
        <v>-98653.422000000006</v>
      </c>
      <c r="AB25" s="114"/>
      <c r="AC25" s="113" t="s">
        <v>1319</v>
      </c>
      <c r="AD25" s="642">
        <f ca="1">Z25/$E$25</f>
        <v>-0.41205577222222234</v>
      </c>
      <c r="AE25" s="643"/>
      <c r="AF25" s="643"/>
      <c r="AG25" s="644"/>
      <c r="AH25" s="106"/>
      <c r="AI25" s="114"/>
      <c r="AK25" s="187">
        <f ca="1">(E25-Z25)/67/24</f>
        <v>158.06594465174132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80135.999999999971</v>
      </c>
      <c r="Z28" s="293">
        <f ca="1">(((((INDEX(BILLING!$R:$R,MATCH($AG$3&amp;" "&amp;$AG$5,BILLING!$C:$C,0))-J28)*$D$59)-
((INDEX(BILLING!$S:$S,MATCH($AG$3&amp;" "&amp;$AG$5,BILLING!$C:$C,0))-K28)*$D$59))))/1000</f>
        <v>34880.400000000001</v>
      </c>
      <c r="AA28" s="281">
        <f ca="1">(((((INDEX(BILLING!$R:$R,MATCH($AG$3&amp;" "&amp;$AG$5,BILLING!$C:$C,0))-P28)*$D$59)-
((INDEX(BILLING!$S:$S,MATCH($AG$3&amp;" "&amp;$AG$5,BILLING!$C:$C,0))-Q28)*$D$59))))/1000</f>
        <v>27518.40000000002</v>
      </c>
      <c r="AB28" s="114"/>
      <c r="AC28" s="113" t="s">
        <v>1320</v>
      </c>
      <c r="AD28" s="642">
        <f ca="1">$AA$25/$D$25</f>
        <v>-6.5768948000000007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223204.19999999998</v>
      </c>
      <c r="Z29" s="293">
        <f ca="1">(((((INDEX(BILLING!$P:$P,MATCH($AG$3&amp;" "&amp;$AG$5,BILLING!$C:$C,0))-J29)*$D$58)-
((INDEX(BILLING!$Q:$Q,MATCH($AG$3&amp;" "&amp;$AG$5,BILLING!$C:$C,0))-K29)*$D$58))))/1000</f>
        <v>110097</v>
      </c>
      <c r="AA29" s="281">
        <f ca="1">(((((INDEX(BILLING!$P:$P,MATCH($AG$3&amp;" "&amp;$AG$5,BILLING!$C:$C,0))-P29)*$D$58)-
((INDEX(BILLING!$Q:$Q,MATCH($AG$3&amp;" "&amp;$AG$5,BILLING!$C:$C,0))-Q29)*$D$58))))/1000</f>
        <v>97395.89999999998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19723.2</v>
      </c>
      <c r="Z31" s="293">
        <f ca="1">(((((INDEX(BILLING!$Z:$Z,MATCH($AG$3&amp;" "&amp;$AG$5,BILLING!$C:$C,0))-L31)*$D$56)-
((INDEX(BILLING!$AA:$AA,MATCH($AG$3&amp;" "&amp;$AG$5,BILLING!$C:$C,0))-M31)*$D$56))))/1000</f>
        <v>9780.3509999999951</v>
      </c>
      <c r="AA31" s="281">
        <f ca="1">(((((INDEX(BILLING!$Z:$Z,MATCH($AG$3&amp;" "&amp;$AG$5,BILLING!$C:$C,0))-R31)*$D$56)-
((INDEX(BILLING!$AA:$AA,MATCH($AG$3&amp;" "&amp;$AG$5,BILLING!$C:$C,0))-S31)*$D$56))))/1000</f>
        <v>8278.2000000000007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287.39779502314923</v>
      </c>
      <c r="I37" s="169">
        <f ca="1">((DATE(YEAR(F37),MONTH(F37)+1,25)) + TIME(LEFT("1200H", 2), MID("1200H", 3, 2), 0)) - ($AG$3 + TIME(LEFT(NOW(), 2), MID(NOW(), 3, 2), 0))</f>
        <v>-259.41666666666424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13507.914000000008</v>
      </c>
      <c r="W37" s="172">
        <f ca="1">V37/H37/24</f>
        <v>1.9583648856967246</v>
      </c>
      <c r="X37" s="173">
        <f ca="1">AA37/H37/24</f>
        <v>1.9583648856967246</v>
      </c>
      <c r="Y37" s="182"/>
      <c r="Z37" s="291">
        <f ca="1">SUM(Z40:Z42)</f>
        <v>18256.545999999998</v>
      </c>
      <c r="AA37" s="308">
        <f ca="1">SUM(AA40:AA42)</f>
        <v>13507.914000000008</v>
      </c>
      <c r="AB37" s="114"/>
      <c r="AC37" s="113" t="s">
        <v>1319</v>
      </c>
      <c r="AD37" s="642">
        <f ca="1">Z37/$E$37</f>
        <v>0.32466471048513301</v>
      </c>
      <c r="AE37" s="643"/>
      <c r="AF37" s="643"/>
      <c r="AG37" s="644"/>
      <c r="AH37" s="106"/>
      <c r="AI37" s="114"/>
      <c r="AK37" s="187">
        <f ca="1">(E37-Z37)/67/24</f>
        <v>23.616575870646766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12120.864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8335.6140000000087</v>
      </c>
      <c r="AB40" s="114"/>
      <c r="AC40" s="113" t="s">
        <v>1320</v>
      </c>
      <c r="AD40" s="642">
        <f ca="1">$AA$37/$D$37</f>
        <v>2.8826107554417431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6135.6819999999998</v>
      </c>
      <c r="AA41" s="281">
        <f ca="1">(((((INDEX(BILLING!$AD:$AD,MATCH($AG$3&amp;" "&amp;$AG$5,BILLING!$C:$C,0))-R41)*$D$57)-
((INDEX(BILLING!$AE:$AE,MATCH($AG$3&amp;" "&amp;$AG$5,BILLING!$C:$C,0))-S41)*$D$57))))/1000</f>
        <v>5172.3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38.504742592594994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4.4562500000174623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4.8194444444525288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4.6847222222422715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5.3048611111007631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5.188194444453984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5.1263888888934162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4.5847222222364508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4.8743055555532919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4.8145833333328483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4.5993055555591127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4.0020833333255723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0.75486111111968057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6.0270833333051996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2025-12-09T13:35:16Z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