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emup123/Bot_Building/"/>
    </mc:Choice>
  </mc:AlternateContent>
  <xr:revisionPtr revIDLastSave="0" documentId="13_ncr:1_{1F0D3352-4044-E647-867B-73CC8F3BEF25}" xr6:coauthVersionLast="47" xr6:coauthVersionMax="47" xr10:uidLastSave="{00000000-0000-0000-0000-000000000000}"/>
  <bookViews>
    <workbookView xWindow="0" yWindow="460" windowWidth="28800" windowHeight="16160" activeTab="1" xr2:uid="{C7236973-C3C9-A647-9688-E37F1AEDF142}"/>
  </bookViews>
  <sheets>
    <sheet name="Bot3 Log" sheetId="1" r:id="rId1"/>
    <sheet name="Dynamic Bot1 Log" sheetId="4" r:id="rId2"/>
    <sheet name="USDT-UST Abitrage" sheetId="5" r:id="rId3"/>
    <sheet name="Dynamic Bot1 Analysi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B3" i="4"/>
  <c r="B26" i="5"/>
  <c r="B27" i="5" s="1"/>
  <c r="B28" i="5" s="1"/>
  <c r="C29" i="5" s="1"/>
  <c r="G26" i="5"/>
  <c r="D22" i="5"/>
  <c r="G22" i="5"/>
  <c r="B23" i="5"/>
  <c r="G18" i="5"/>
  <c r="G14" i="5"/>
  <c r="C21" i="5"/>
  <c r="D19" i="5"/>
  <c r="D18" i="5"/>
  <c r="B18" i="5"/>
  <c r="F12" i="5"/>
  <c r="B16" i="5"/>
  <c r="B14" i="5"/>
  <c r="B15" i="5"/>
  <c r="D14" i="5"/>
  <c r="K3" i="5"/>
  <c r="B4" i="5"/>
  <c r="B5" i="5" s="1"/>
  <c r="B7" i="5" s="1"/>
  <c r="B8" i="5" s="1"/>
  <c r="F48" i="4"/>
  <c r="H48" i="4" s="1"/>
  <c r="I47" i="4" s="1"/>
  <c r="G47" i="4"/>
  <c r="H47" i="4" s="1"/>
  <c r="F46" i="4"/>
  <c r="H46" i="4" s="1"/>
  <c r="I45" i="4" s="1"/>
  <c r="G45" i="4"/>
  <c r="H45" i="4" s="1"/>
  <c r="F44" i="4"/>
  <c r="H44" i="4" s="1"/>
  <c r="I43" i="4" s="1"/>
  <c r="G43" i="4"/>
  <c r="H43" i="4" s="1"/>
  <c r="N13" i="4"/>
  <c r="N12" i="4"/>
  <c r="N11" i="4"/>
  <c r="I9" i="4"/>
  <c r="F42" i="4"/>
  <c r="H42" i="4" s="1"/>
  <c r="G41" i="4"/>
  <c r="H41" i="4" s="1"/>
  <c r="N10" i="4"/>
  <c r="F40" i="4"/>
  <c r="H40" i="4" s="1"/>
  <c r="I39" i="4" s="1"/>
  <c r="H39" i="4"/>
  <c r="G39" i="4"/>
  <c r="F38" i="4"/>
  <c r="H38" i="4" s="1"/>
  <c r="I37" i="4" s="1"/>
  <c r="G37" i="4"/>
  <c r="H37" i="4" s="1"/>
  <c r="J20" i="3"/>
  <c r="H36" i="4"/>
  <c r="I35" i="4" s="1"/>
  <c r="F36" i="4"/>
  <c r="G35" i="4"/>
  <c r="H35" i="4" s="1"/>
  <c r="F34" i="4"/>
  <c r="H34" i="4" s="1"/>
  <c r="I33" i="4" s="1"/>
  <c r="C17" i="5" l="1"/>
  <c r="B19" i="5"/>
  <c r="C25" i="5" s="1"/>
  <c r="E3" i="4"/>
  <c r="B4" i="4"/>
  <c r="I41" i="4"/>
  <c r="G33" i="4"/>
  <c r="H33" i="4" s="1"/>
  <c r="L46" i="3"/>
  <c r="C4" i="4"/>
  <c r="F32" i="4"/>
  <c r="H32" i="4" s="1"/>
  <c r="I31" i="4" s="1"/>
  <c r="G31" i="4"/>
  <c r="H31" i="4" s="1"/>
  <c r="H29" i="4"/>
  <c r="F30" i="4"/>
  <c r="H30" i="4" s="1"/>
  <c r="G29" i="4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4" i="3"/>
  <c r="J25" i="3"/>
  <c r="J26" i="3"/>
  <c r="J29" i="3"/>
  <c r="J27" i="3"/>
  <c r="J23" i="3"/>
  <c r="H27" i="4"/>
  <c r="F28" i="4"/>
  <c r="H28" i="4" s="1"/>
  <c r="G27" i="4"/>
  <c r="I25" i="4"/>
  <c r="F26" i="4"/>
  <c r="H26" i="4" s="1"/>
  <c r="G25" i="4"/>
  <c r="H25" i="4" s="1"/>
  <c r="I23" i="4"/>
  <c r="F24" i="4"/>
  <c r="H24" i="4" s="1"/>
  <c r="G23" i="4"/>
  <c r="H23" i="4" s="1"/>
  <c r="I19" i="4"/>
  <c r="A22" i="4"/>
  <c r="H22" i="4"/>
  <c r="F22" i="4"/>
  <c r="G21" i="4"/>
  <c r="H21" i="4" s="1"/>
  <c r="E21" i="4"/>
  <c r="D21" i="4"/>
  <c r="C21" i="4"/>
  <c r="I15" i="4"/>
  <c r="G20" i="4"/>
  <c r="H20" i="4" s="1"/>
  <c r="G19" i="4"/>
  <c r="H19" i="4" s="1"/>
  <c r="P16" i="4"/>
  <c r="P17" i="4"/>
  <c r="N17" i="4"/>
  <c r="I29" i="4" l="1"/>
  <c r="I27" i="4"/>
  <c r="I11" i="4"/>
  <c r="H18" i="4"/>
  <c r="F18" i="4"/>
  <c r="E18" i="4"/>
  <c r="I13" i="4"/>
  <c r="F17" i="4"/>
  <c r="F16" i="4"/>
  <c r="H17" i="4"/>
  <c r="H16" i="4"/>
  <c r="H15" i="4"/>
  <c r="G15" i="4"/>
  <c r="D18" i="4"/>
  <c r="C18" i="4"/>
  <c r="H14" i="4"/>
  <c r="F14" i="4"/>
  <c r="D13" i="4"/>
  <c r="H13" i="4" s="1"/>
  <c r="G13" i="4"/>
  <c r="E13" i="4"/>
  <c r="H12" i="4"/>
  <c r="F12" i="4"/>
  <c r="H11" i="4"/>
  <c r="G11" i="4"/>
  <c r="H10" i="4"/>
  <c r="F10" i="4"/>
  <c r="H9" i="4"/>
  <c r="G9" i="4"/>
  <c r="L24" i="1" l="1"/>
  <c r="L28" i="1"/>
  <c r="L27" i="1"/>
  <c r="L25" i="1"/>
  <c r="F43" i="1"/>
  <c r="H43" i="1" s="1"/>
  <c r="I42" i="1" s="1"/>
  <c r="H42" i="1"/>
  <c r="G42" i="1"/>
  <c r="K35" i="1"/>
  <c r="G26" i="1"/>
  <c r="G28" i="1"/>
  <c r="H41" i="1"/>
  <c r="I40" i="1" s="1"/>
  <c r="F41" i="1"/>
  <c r="H40" i="1"/>
  <c r="G40" i="1"/>
  <c r="I23" i="1"/>
  <c r="I38" i="1"/>
  <c r="H39" i="1"/>
  <c r="F39" i="1"/>
  <c r="H38" i="1"/>
  <c r="G38" i="1"/>
  <c r="H33" i="1"/>
  <c r="H32" i="1"/>
  <c r="I34" i="1"/>
  <c r="I32" i="1"/>
  <c r="I36" i="1"/>
  <c r="H37" i="1"/>
  <c r="F37" i="1"/>
  <c r="H36" i="1"/>
  <c r="G36" i="1"/>
  <c r="H35" i="1"/>
  <c r="F35" i="1"/>
  <c r="H34" i="1"/>
  <c r="G34" i="1"/>
  <c r="I30" i="1" l="1"/>
  <c r="F33" i="1" l="1"/>
  <c r="G32" i="1" l="1"/>
  <c r="H31" i="1"/>
  <c r="H30" i="1"/>
  <c r="F31" i="1"/>
  <c r="H29" i="1"/>
  <c r="I28" i="1"/>
  <c r="F29" i="1"/>
  <c r="H28" i="1"/>
  <c r="G30" i="1"/>
  <c r="H27" i="1"/>
  <c r="F27" i="1"/>
  <c r="H26" i="1"/>
  <c r="I24" i="1"/>
  <c r="H25" i="1"/>
  <c r="F25" i="1"/>
  <c r="G24" i="1"/>
  <c r="H24" i="1" s="1"/>
  <c r="I19" i="1"/>
  <c r="H20" i="1"/>
  <c r="F20" i="1"/>
  <c r="G19" i="1"/>
  <c r="H19" i="1" s="1"/>
  <c r="I26" i="1" l="1"/>
  <c r="I17" i="1"/>
  <c r="H18" i="1"/>
  <c r="F18" i="1"/>
  <c r="H17" i="1"/>
  <c r="G17" i="1"/>
  <c r="I15" i="1"/>
  <c r="H16" i="1"/>
  <c r="F16" i="1"/>
  <c r="H15" i="1"/>
  <c r="G15" i="1"/>
  <c r="I13" i="1"/>
  <c r="H14" i="1"/>
  <c r="F14" i="1"/>
  <c r="H13" i="1"/>
  <c r="G13" i="1"/>
  <c r="H12" i="1" l="1"/>
  <c r="I11" i="1" s="1"/>
  <c r="H11" i="1"/>
  <c r="H10" i="1"/>
  <c r="H7" i="1"/>
  <c r="H8" i="1"/>
  <c r="H4" i="1"/>
  <c r="H3" i="1"/>
  <c r="G9" i="1"/>
  <c r="F9" i="1"/>
  <c r="E9" i="1"/>
  <c r="D9" i="1"/>
  <c r="H9" i="1" s="1"/>
  <c r="C9" i="1"/>
  <c r="E6" i="1"/>
  <c r="H6" i="1" s="1"/>
  <c r="G5" i="1"/>
  <c r="E5" i="1"/>
  <c r="H5" i="1" s="1"/>
  <c r="I5" i="1" l="1"/>
  <c r="I3" i="1"/>
  <c r="I7" i="1"/>
</calcChain>
</file>

<file path=xl/sharedStrings.xml><?xml version="1.0" encoding="utf-8"?>
<sst xmlns="http://schemas.openxmlformats.org/spreadsheetml/2006/main" count="228" uniqueCount="94">
  <si>
    <t>Date</t>
  </si>
  <si>
    <t>Order Side</t>
  </si>
  <si>
    <t xml:space="preserve">USDT </t>
  </si>
  <si>
    <t>BTC</t>
  </si>
  <si>
    <t>Fee</t>
  </si>
  <si>
    <t>USDT</t>
  </si>
  <si>
    <t>EXCHANGE</t>
  </si>
  <si>
    <t>BUY</t>
  </si>
  <si>
    <t>Trading Price</t>
  </si>
  <si>
    <t>USDT/BTC</t>
  </si>
  <si>
    <t>Effecitve Price</t>
  </si>
  <si>
    <t xml:space="preserve">SELL </t>
  </si>
  <si>
    <t>P/L</t>
  </si>
  <si>
    <t>Avg. BUY</t>
  </si>
  <si>
    <t>Buy</t>
  </si>
  <si>
    <t xml:space="preserve">BUY </t>
  </si>
  <si>
    <t>INIT Bal.</t>
  </si>
  <si>
    <t xml:space="preserve">On going: </t>
  </si>
  <si>
    <t>ROI:</t>
  </si>
  <si>
    <r>
      <rPr>
        <b/>
        <sz val="12"/>
        <color theme="1"/>
        <rFont val="Calibri"/>
        <family val="2"/>
        <scheme val="minor"/>
      </rPr>
      <t xml:space="preserve">NOTE: </t>
    </r>
    <r>
      <rPr>
        <sz val="12"/>
        <color theme="1"/>
        <rFont val="Calibri"/>
        <family val="2"/>
        <scheme val="minor"/>
      </rPr>
      <t xml:space="preserve">On 15/2/22 half of USDT balance (2,806.66) is transferred to BUSD less fees in order to deploy Bot4 test. </t>
    </r>
    <r>
      <rPr>
        <b/>
        <sz val="12"/>
        <color theme="1"/>
        <rFont val="Calibri"/>
        <family val="2"/>
        <scheme val="minor"/>
      </rPr>
      <t>Bot3 fixed to be more patient.</t>
    </r>
    <r>
      <rPr>
        <sz val="12"/>
        <color theme="1"/>
        <rFont val="Calibri"/>
        <family val="2"/>
        <scheme val="minor"/>
      </rPr>
      <t xml:space="preserve">
USDT Bal. : 1,402.30 BUSD Bal. : 1,402.95 </t>
    </r>
  </si>
  <si>
    <t>Average ROI/Trade</t>
  </si>
  <si>
    <t>Min Gain/Loss per Trade</t>
  </si>
  <si>
    <t>Max Gain/Loss per Trade</t>
  </si>
  <si>
    <t>Sample STD (+/-)</t>
  </si>
  <si>
    <t xml:space="preserve">Bot3 Statistic </t>
  </si>
  <si>
    <t>Profit Streak</t>
  </si>
  <si>
    <t xml:space="preserve">Start Value </t>
  </si>
  <si>
    <t xml:space="preserve">Current Value </t>
  </si>
  <si>
    <t>ROI</t>
  </si>
  <si>
    <t>Note</t>
  </si>
  <si>
    <t>SELL</t>
  </si>
  <si>
    <t>My mistake, 
coded incorrectly</t>
  </si>
  <si>
    <t>False Breakout Pattern</t>
  </si>
  <si>
    <t>Part Sell</t>
  </si>
  <si>
    <t>Manually take profit 
on Closing Below TOP Bband Oscillation</t>
  </si>
  <si>
    <t>Max Gain/Loss</t>
  </si>
  <si>
    <t>Min Gain/Loss</t>
  </si>
  <si>
    <t>Avg. ROI per trade</t>
  </si>
  <si>
    <t>Sample std</t>
  </si>
  <si>
    <t xml:space="preserve">Winning Streak </t>
  </si>
  <si>
    <t xml:space="preserve">Losing Streak </t>
  </si>
  <si>
    <t>Price Drop Recovery</t>
  </si>
  <si>
    <t>Statistics</t>
  </si>
  <si>
    <t xml:space="preserve">Bot 3 now offline, thank you for your service oh lovely boy. Thank you for giving me a confidence boost. 
Now you have grown into Dynamic bot 1.
You are my first, and always will be. Be at peace now, enjoy your rest. </t>
  </si>
  <si>
    <t xml:space="preserve">Black Pearl's Portion </t>
  </si>
  <si>
    <t>Total</t>
  </si>
  <si>
    <t>Dean's Portion</t>
  </si>
  <si>
    <t>4/6/22 Transfer</t>
  </si>
  <si>
    <t>D BUY</t>
  </si>
  <si>
    <t>BP BUY</t>
  </si>
  <si>
    <t>BP</t>
  </si>
  <si>
    <t>D</t>
  </si>
  <si>
    <t>Brokedown resistance, 
closed two candles below, manually closed</t>
  </si>
  <si>
    <t>Bot close on no activity</t>
  </si>
  <si>
    <t>Bot died overnight, 
mannually took profit and reran bot</t>
  </si>
  <si>
    <t>Effective Price</t>
  </si>
  <si>
    <t xml:space="preserve">TimeLine Study </t>
  </si>
  <si>
    <t>q1 2021</t>
  </si>
  <si>
    <t>q2 2021</t>
  </si>
  <si>
    <t>q3 2021</t>
  </si>
  <si>
    <t>q4 2021</t>
  </si>
  <si>
    <t xml:space="preserve">ROI </t>
  </si>
  <si>
    <t xml:space="preserve">(+/-) STD.S </t>
  </si>
  <si>
    <t>Losing Streak</t>
  </si>
  <si>
    <t xml:space="preserve">Y 2021 </t>
  </si>
  <si>
    <t>q1 2022</t>
  </si>
  <si>
    <t xml:space="preserve">Mean ROI </t>
  </si>
  <si>
    <t>Amount of Trades</t>
  </si>
  <si>
    <t>WS:LS</t>
  </si>
  <si>
    <t>Quarterly:</t>
  </si>
  <si>
    <t>Monthly:</t>
  </si>
  <si>
    <t xml:space="preserve">Yearly </t>
  </si>
  <si>
    <t>Buy and Hold ROI</t>
  </si>
  <si>
    <t>Price drop but 
no Recovery</t>
  </si>
  <si>
    <t>Broke out pattern, took profit manually 
because it looked like it was coming down</t>
  </si>
  <si>
    <t xml:space="preserve">Broke out +2.5%, 
and slowly came down over 8 hours -2% </t>
  </si>
  <si>
    <t>Broke down, bought, broke down some more, 
recovered +1.1% then false breakout. Felt like I got cheated by the BTC god.</t>
  </si>
  <si>
    <t>UST</t>
  </si>
  <si>
    <t>LUNA</t>
  </si>
  <si>
    <t>UST/LUNA</t>
  </si>
  <si>
    <t>Terra</t>
  </si>
  <si>
    <t xml:space="preserve">Binance </t>
  </si>
  <si>
    <t>USDT/LUNA</t>
  </si>
  <si>
    <t>USDT/UST</t>
  </si>
  <si>
    <t xml:space="preserve">Initial Amount </t>
  </si>
  <si>
    <t>Binance</t>
  </si>
  <si>
    <t>Exchange Rate</t>
  </si>
  <si>
    <t xml:space="preserve">USDT/UST </t>
  </si>
  <si>
    <t xml:space="preserve">terraluna password </t>
  </si>
  <si>
    <t>8r%ykxXj4)z;</t>
  </si>
  <si>
    <t>binance wallet memo</t>
  </si>
  <si>
    <t>binance terra wallet address</t>
  </si>
  <si>
    <t>terra1ncjg4a59x2pgvqy9qjyqprlj8lrwshm0wleht5</t>
  </si>
  <si>
    <t>Binance LUNA/Terra 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</si>
</sst>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%"/>
    <numFmt numFmtId="165" formatCode="\ dd/mm/yyyy"/>
    <numFmt numFmtId="166" formatCode="0.00000"/>
    <numFmt numFmtId="167" formatCode="0.0%"/>
    <numFmt numFmtId="168" formatCode="0.0000"/>
    <numFmt numFmtId="169" formatCode="_(* #,##0.000000_);_(* \(#,##0.00000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1E2329"/>
      <name val="Calibri"/>
      <family val="2"/>
    </font>
    <font>
      <b/>
      <sz val="12"/>
      <color theme="1"/>
      <name val="Calibri"/>
      <family val="2"/>
    </font>
    <font>
      <sz val="12"/>
      <color rgb="FF1E2329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20">
    <xf numFmtId="0" fontId="0" fillId="0" borderId="0" xfId="0"/>
    <xf numFmtId="0" fontId="0" fillId="2" borderId="0" xfId="0" applyFill="1"/>
    <xf numFmtId="0" fontId="7" fillId="2" borderId="9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2" fontId="0" fillId="2" borderId="1" xfId="0" applyNumberFormat="1" applyFill="1" applyBorder="1"/>
    <xf numFmtId="2" fontId="2" fillId="2" borderId="9" xfId="0" applyNumberFormat="1" applyFont="1" applyFill="1" applyBorder="1"/>
    <xf numFmtId="2" fontId="2" fillId="2" borderId="1" xfId="0" applyNumberFormat="1" applyFont="1" applyFill="1" applyBorder="1"/>
    <xf numFmtId="0" fontId="2" fillId="2" borderId="3" xfId="0" applyNumberFormat="1" applyFont="1" applyFill="1" applyBorder="1"/>
    <xf numFmtId="22" fontId="0" fillId="2" borderId="4" xfId="0" applyNumberFormat="1" applyFill="1" applyBorder="1"/>
    <xf numFmtId="0" fontId="0" fillId="2" borderId="10" xfId="0" applyNumberFormat="1" applyFill="1" applyBorder="1"/>
    <xf numFmtId="2" fontId="0" fillId="2" borderId="4" xfId="0" applyNumberFormat="1" applyFill="1" applyBorder="1"/>
    <xf numFmtId="0" fontId="0" fillId="2" borderId="6" xfId="0" applyNumberFormat="1" applyFill="1" applyBorder="1"/>
    <xf numFmtId="2" fontId="0" fillId="2" borderId="10" xfId="0" applyNumberFormat="1" applyFill="1" applyBorder="1"/>
    <xf numFmtId="0" fontId="2" fillId="2" borderId="9" xfId="0" applyNumberFormat="1" applyFont="1" applyFill="1" applyBorder="1"/>
    <xf numFmtId="22" fontId="4" fillId="2" borderId="1" xfId="0" applyNumberFormat="1" applyFont="1" applyFill="1" applyBorder="1"/>
    <xf numFmtId="2" fontId="4" fillId="2" borderId="9" xfId="0" applyNumberFormat="1" applyFont="1" applyFill="1" applyBorder="1"/>
    <xf numFmtId="2" fontId="3" fillId="2" borderId="1" xfId="0" applyNumberFormat="1" applyFont="1" applyFill="1" applyBorder="1"/>
    <xf numFmtId="0" fontId="3" fillId="2" borderId="3" xfId="0" applyNumberFormat="1" applyFont="1" applyFill="1" applyBorder="1"/>
    <xf numFmtId="0" fontId="0" fillId="2" borderId="7" xfId="0" applyFill="1" applyBorder="1"/>
    <xf numFmtId="2" fontId="0" fillId="2" borderId="11" xfId="0" applyNumberFormat="1" applyFill="1" applyBorder="1"/>
    <xf numFmtId="2" fontId="3" fillId="2" borderId="7" xfId="0" applyNumberFormat="1" applyFont="1" applyFill="1" applyBorder="1"/>
    <xf numFmtId="0" fontId="3" fillId="2" borderId="8" xfId="0" applyNumberFormat="1" applyFont="1" applyFill="1" applyBorder="1"/>
    <xf numFmtId="2" fontId="2" fillId="2" borderId="11" xfId="0" applyNumberFormat="1" applyFont="1" applyFill="1" applyBorder="1"/>
    <xf numFmtId="2" fontId="2" fillId="2" borderId="7" xfId="0" applyNumberFormat="1" applyFont="1" applyFill="1" applyBorder="1"/>
    <xf numFmtId="0" fontId="2" fillId="2" borderId="8" xfId="0" applyNumberFormat="1" applyFont="1" applyFill="1" applyBorder="1"/>
    <xf numFmtId="0" fontId="3" fillId="2" borderId="6" xfId="0" applyNumberFormat="1" applyFont="1" applyFill="1" applyBorder="1"/>
    <xf numFmtId="0" fontId="5" fillId="2" borderId="3" xfId="0" applyNumberFormat="1" applyFont="1" applyFill="1" applyBorder="1"/>
    <xf numFmtId="22" fontId="6" fillId="2" borderId="4" xfId="0" applyNumberFormat="1" applyFont="1" applyFill="1" applyBorder="1"/>
    <xf numFmtId="0" fontId="2" fillId="2" borderId="3" xfId="0" applyFont="1" applyFill="1" applyBorder="1"/>
    <xf numFmtId="0" fontId="0" fillId="2" borderId="6" xfId="0" applyFill="1" applyBorder="1"/>
    <xf numFmtId="2" fontId="0" fillId="2" borderId="5" xfId="0" applyNumberFormat="1" applyFont="1" applyFill="1" applyBorder="1"/>
    <xf numFmtId="2" fontId="0" fillId="2" borderId="2" xfId="0" applyNumberFormat="1" applyFont="1" applyFill="1" applyBorder="1"/>
    <xf numFmtId="0" fontId="2" fillId="2" borderId="9" xfId="0" applyFont="1" applyFill="1" applyBorder="1"/>
    <xf numFmtId="0" fontId="0" fillId="2" borderId="10" xfId="0" applyFill="1" applyBorder="1"/>
    <xf numFmtId="2" fontId="0" fillId="2" borderId="7" xfId="0" applyNumberFormat="1" applyFill="1" applyBorder="1"/>
    <xf numFmtId="0" fontId="0" fillId="2" borderId="8" xfId="0" applyFill="1" applyBorder="1"/>
    <xf numFmtId="2" fontId="0" fillId="2" borderId="3" xfId="0" applyNumberFormat="1" applyFill="1" applyBorder="1"/>
    <xf numFmtId="2" fontId="0" fillId="2" borderId="6" xfId="0" applyNumberFormat="1" applyFill="1" applyBorder="1"/>
    <xf numFmtId="0" fontId="7" fillId="2" borderId="3" xfId="0" applyFont="1" applyFill="1" applyBorder="1" applyAlignment="1">
      <alignment horizontal="center"/>
    </xf>
    <xf numFmtId="2" fontId="2" fillId="2" borderId="3" xfId="0" applyNumberFormat="1" applyFont="1" applyFill="1" applyBorder="1"/>
    <xf numFmtId="2" fontId="0" fillId="2" borderId="8" xfId="0" applyNumberFormat="1" applyFill="1" applyBorder="1"/>
    <xf numFmtId="2" fontId="2" fillId="2" borderId="8" xfId="0" applyNumberFormat="1" applyFont="1" applyFill="1" applyBorder="1"/>
    <xf numFmtId="0" fontId="0" fillId="2" borderId="9" xfId="0" applyFill="1" applyBorder="1"/>
    <xf numFmtId="0" fontId="2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2" fillId="2" borderId="6" xfId="0" applyNumberFormat="1" applyFont="1" applyFill="1" applyBorder="1"/>
    <xf numFmtId="2" fontId="0" fillId="2" borderId="6" xfId="0" applyNumberFormat="1" applyFont="1" applyFill="1" applyBorder="1"/>
    <xf numFmtId="0" fontId="2" fillId="2" borderId="9" xfId="0" applyFont="1" applyFill="1" applyBorder="1" applyAlignment="1">
      <alignment horizontal="center" vertical="center"/>
    </xf>
    <xf numFmtId="165" fontId="0" fillId="2" borderId="1" xfId="0" applyNumberFormat="1" applyFill="1" applyBorder="1"/>
    <xf numFmtId="165" fontId="0" fillId="2" borderId="4" xfId="0" applyNumberFormat="1" applyFill="1" applyBorder="1"/>
    <xf numFmtId="165" fontId="0" fillId="2" borderId="7" xfId="0" applyNumberFormat="1" applyFill="1" applyBorder="1"/>
    <xf numFmtId="165" fontId="0" fillId="0" borderId="0" xfId="0" applyNumberFormat="1"/>
    <xf numFmtId="0" fontId="2" fillId="0" borderId="0" xfId="0" applyFont="1"/>
    <xf numFmtId="0" fontId="2" fillId="2" borderId="0" xfId="0" applyFont="1" applyFill="1" applyBorder="1"/>
    <xf numFmtId="0" fontId="0" fillId="2" borderId="2" xfId="0" applyFill="1" applyBorder="1"/>
    <xf numFmtId="0" fontId="2" fillId="2" borderId="13" xfId="0" applyFont="1" applyFill="1" applyBorder="1"/>
    <xf numFmtId="0" fontId="0" fillId="2" borderId="13" xfId="0" applyFill="1" applyBorder="1"/>
    <xf numFmtId="0" fontId="2" fillId="2" borderId="1" xfId="0" applyFont="1" applyFill="1" applyBorder="1"/>
    <xf numFmtId="2" fontId="0" fillId="2" borderId="10" xfId="0" applyNumberFormat="1" applyFont="1" applyFill="1" applyBorder="1"/>
    <xf numFmtId="10" fontId="0" fillId="2" borderId="3" xfId="1" applyNumberFormat="1" applyFont="1" applyFill="1" applyBorder="1"/>
    <xf numFmtId="14" fontId="0" fillId="2" borderId="1" xfId="0" applyNumberFormat="1" applyFill="1" applyBorder="1"/>
    <xf numFmtId="14" fontId="0" fillId="2" borderId="4" xfId="0" applyNumberFormat="1" applyFill="1" applyBorder="1"/>
    <xf numFmtId="0" fontId="2" fillId="2" borderId="11" xfId="0" applyFont="1" applyFill="1" applyBorder="1" applyAlignment="1">
      <alignment horizontal="center"/>
    </xf>
    <xf numFmtId="14" fontId="2" fillId="2" borderId="14" xfId="0" applyNumberFormat="1" applyFont="1" applyFill="1" applyBorder="1"/>
    <xf numFmtId="14" fontId="0" fillId="2" borderId="7" xfId="0" applyNumberFormat="1" applyFill="1" applyBorder="1"/>
    <xf numFmtId="10" fontId="0" fillId="0" borderId="0" xfId="0" applyNumberFormat="1"/>
    <xf numFmtId="166" fontId="0" fillId="2" borderId="5" xfId="0" applyNumberFormat="1" applyFill="1" applyBorder="1"/>
    <xf numFmtId="166" fontId="2" fillId="2" borderId="2" xfId="0" applyNumberFormat="1" applyFont="1" applyFill="1" applyBorder="1"/>
    <xf numFmtId="2" fontId="2" fillId="2" borderId="2" xfId="0" applyNumberFormat="1" applyFont="1" applyFill="1" applyBorder="1"/>
    <xf numFmtId="2" fontId="0" fillId="2" borderId="5" xfId="0" applyNumberFormat="1" applyFill="1" applyBorder="1"/>
    <xf numFmtId="166" fontId="2" fillId="2" borderId="3" xfId="0" applyNumberFormat="1" applyFont="1" applyFill="1" applyBorder="1"/>
    <xf numFmtId="166" fontId="0" fillId="2" borderId="6" xfId="0" applyNumberFormat="1" applyFill="1" applyBorder="1"/>
    <xf numFmtId="166" fontId="2" fillId="2" borderId="8" xfId="0" applyNumberFormat="1" applyFont="1" applyFill="1" applyBorder="1"/>
    <xf numFmtId="2" fontId="2" fillId="2" borderId="0" xfId="0" applyNumberFormat="1" applyFont="1" applyFill="1" applyBorder="1"/>
    <xf numFmtId="2" fontId="0" fillId="2" borderId="9" xfId="0" applyNumberFormat="1" applyFill="1" applyBorder="1"/>
    <xf numFmtId="10" fontId="0" fillId="2" borderId="3" xfId="0" applyNumberFormat="1" applyFill="1" applyBorder="1"/>
    <xf numFmtId="0" fontId="2" fillId="2" borderId="7" xfId="0" applyFont="1" applyFill="1" applyBorder="1"/>
    <xf numFmtId="10" fontId="0" fillId="2" borderId="8" xfId="1" applyNumberFormat="1" applyFont="1" applyFill="1" applyBorder="1"/>
    <xf numFmtId="10" fontId="0" fillId="2" borderId="8" xfId="0" applyNumberFormat="1" applyFill="1" applyBorder="1"/>
    <xf numFmtId="0" fontId="0" fillId="2" borderId="10" xfId="0" applyFill="1" applyBorder="1" applyAlignment="1">
      <alignment horizontal="center" vertical="center"/>
    </xf>
    <xf numFmtId="166" fontId="2" fillId="2" borderId="9" xfId="0" applyNumberFormat="1" applyFont="1" applyFill="1" applyBorder="1"/>
    <xf numFmtId="2" fontId="2" fillId="2" borderId="2" xfId="1" applyNumberFormat="1" applyFont="1" applyFill="1" applyBorder="1"/>
    <xf numFmtId="2" fontId="0" fillId="2" borderId="5" xfId="1" applyNumberFormat="1" applyFont="1" applyFill="1" applyBorder="1"/>
    <xf numFmtId="0" fontId="2" fillId="2" borderId="12" xfId="0" applyFont="1" applyFill="1" applyBorder="1" applyAlignment="1">
      <alignment horizontal="center"/>
    </xf>
    <xf numFmtId="10" fontId="0" fillId="2" borderId="0" xfId="1" applyNumberFormat="1" applyFont="1" applyFill="1"/>
    <xf numFmtId="164" fontId="0" fillId="2" borderId="0" xfId="1" applyNumberFormat="1" applyFont="1" applyFill="1"/>
    <xf numFmtId="0" fontId="2" fillId="2" borderId="14" xfId="0" applyFont="1" applyFill="1" applyBorder="1"/>
    <xf numFmtId="4" fontId="0" fillId="2" borderId="15" xfId="0" applyNumberFormat="1" applyFill="1" applyBorder="1"/>
    <xf numFmtId="10" fontId="2" fillId="2" borderId="4" xfId="0" applyNumberFormat="1" applyFont="1" applyFill="1" applyBorder="1"/>
    <xf numFmtId="10" fontId="0" fillId="2" borderId="6" xfId="0" applyNumberFormat="1" applyFill="1" applyBorder="1"/>
    <xf numFmtId="0" fontId="0" fillId="2" borderId="0" xfId="0" applyFill="1" applyBorder="1"/>
    <xf numFmtId="166" fontId="0" fillId="2" borderId="10" xfId="0" applyNumberFormat="1" applyFill="1" applyBorder="1"/>
    <xf numFmtId="2" fontId="3" fillId="2" borderId="4" xfId="0" applyNumberFormat="1" applyFont="1" applyFill="1" applyBorder="1"/>
    <xf numFmtId="2" fontId="5" fillId="2" borderId="1" xfId="0" applyNumberFormat="1" applyFont="1" applyFill="1" applyBorder="1"/>
    <xf numFmtId="2" fontId="0" fillId="2" borderId="1" xfId="0" applyNumberFormat="1" applyFill="1" applyBorder="1"/>
    <xf numFmtId="166" fontId="4" fillId="2" borderId="3" xfId="0" applyNumberFormat="1" applyFont="1" applyFill="1" applyBorder="1"/>
    <xf numFmtId="166" fontId="0" fillId="2" borderId="8" xfId="0" applyNumberFormat="1" applyFill="1" applyBorder="1"/>
    <xf numFmtId="166" fontId="3" fillId="2" borderId="6" xfId="0" applyNumberFormat="1" applyFont="1" applyFill="1" applyBorder="1"/>
    <xf numFmtId="166" fontId="5" fillId="2" borderId="3" xfId="0" applyNumberFormat="1" applyFont="1" applyFill="1" applyBorder="1"/>
    <xf numFmtId="166" fontId="3" fillId="2" borderId="8" xfId="0" applyNumberFormat="1" applyFont="1" applyFill="1" applyBorder="1"/>
    <xf numFmtId="10" fontId="0" fillId="2" borderId="0" xfId="0" applyNumberFormat="1" applyFill="1"/>
    <xf numFmtId="4" fontId="0" fillId="0" borderId="0" xfId="0" applyNumberFormat="1"/>
    <xf numFmtId="2" fontId="2" fillId="2" borderId="0" xfId="0" applyNumberFormat="1" applyFont="1" applyFill="1"/>
    <xf numFmtId="2" fontId="0" fillId="2" borderId="10" xfId="2" applyNumberFormat="1" applyFont="1" applyFill="1" applyBorder="1"/>
    <xf numFmtId="0" fontId="2" fillId="2" borderId="11" xfId="0" applyFont="1" applyFill="1" applyBorder="1"/>
    <xf numFmtId="0" fontId="2" fillId="2" borderId="2" xfId="0" applyFont="1" applyFill="1" applyBorder="1" applyAlignment="1">
      <alignment horizontal="right" vertical="center"/>
    </xf>
    <xf numFmtId="167" fontId="0" fillId="2" borderId="0" xfId="1" applyNumberFormat="1" applyFont="1" applyFill="1"/>
    <xf numFmtId="0" fontId="0" fillId="2" borderId="10" xfId="0" applyFill="1" applyBorder="1" applyAlignment="1">
      <alignment horizontal="center" vertical="center"/>
    </xf>
    <xf numFmtId="4" fontId="0" fillId="2" borderId="0" xfId="0" applyNumberFormat="1" applyFill="1"/>
    <xf numFmtId="0" fontId="2" fillId="2" borderId="2" xfId="0" applyFont="1" applyFill="1" applyBorder="1"/>
    <xf numFmtId="0" fontId="0" fillId="2" borderId="5" xfId="0" applyFill="1" applyBorder="1"/>
    <xf numFmtId="14" fontId="0" fillId="0" borderId="0" xfId="0" applyNumberFormat="1"/>
    <xf numFmtId="10" fontId="0" fillId="0" borderId="0" xfId="1" applyNumberFormat="1" applyFont="1"/>
    <xf numFmtId="168" fontId="0" fillId="0" borderId="0" xfId="0" applyNumberFormat="1"/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2" borderId="0" xfId="1" applyFont="1" applyFill="1"/>
    <xf numFmtId="0" fontId="9" fillId="2" borderId="15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2" fontId="9" fillId="2" borderId="0" xfId="0" applyNumberFormat="1" applyFont="1" applyFill="1" applyBorder="1"/>
    <xf numFmtId="2" fontId="9" fillId="2" borderId="11" xfId="0" applyNumberFormat="1" applyFont="1" applyFill="1" applyBorder="1"/>
    <xf numFmtId="166" fontId="0" fillId="2" borderId="9" xfId="0" applyNumberFormat="1" applyFill="1" applyBorder="1" applyAlignment="1">
      <alignment horizontal="right"/>
    </xf>
    <xf numFmtId="166" fontId="0" fillId="2" borderId="10" xfId="0" applyNumberFormat="1" applyFill="1" applyBorder="1" applyAlignment="1">
      <alignment horizontal="right"/>
    </xf>
    <xf numFmtId="166" fontId="9" fillId="2" borderId="11" xfId="0" applyNumberFormat="1" applyFont="1" applyFill="1" applyBorder="1" applyAlignment="1">
      <alignment horizontal="right"/>
    </xf>
    <xf numFmtId="0" fontId="2" fillId="2" borderId="11" xfId="0" applyFont="1" applyFill="1" applyBorder="1" applyAlignment="1">
      <alignment horizontal="left" vertical="center"/>
    </xf>
    <xf numFmtId="0" fontId="2" fillId="2" borderId="10" xfId="0" applyFont="1" applyFill="1" applyBorder="1"/>
    <xf numFmtId="0" fontId="0" fillId="2" borderId="4" xfId="0" applyFill="1" applyBorder="1"/>
    <xf numFmtId="168" fontId="0" fillId="2" borderId="0" xfId="0" applyNumberFormat="1" applyFill="1" applyBorder="1"/>
    <xf numFmtId="168" fontId="2" fillId="2" borderId="0" xfId="0" applyNumberFormat="1" applyFont="1" applyFill="1" applyBorder="1"/>
    <xf numFmtId="168" fontId="0" fillId="2" borderId="5" xfId="0" applyNumberFormat="1" applyFill="1" applyBorder="1"/>
    <xf numFmtId="10" fontId="2" fillId="2" borderId="8" xfId="1" applyNumberFormat="1" applyFont="1" applyFill="1" applyBorder="1"/>
    <xf numFmtId="2" fontId="0" fillId="2" borderId="0" xfId="0" applyNumberFormat="1" applyFill="1" applyBorder="1"/>
    <xf numFmtId="166" fontId="0" fillId="2" borderId="11" xfId="0" applyNumberFormat="1" applyFill="1" applyBorder="1" applyAlignment="1">
      <alignment horizontal="right"/>
    </xf>
    <xf numFmtId="2" fontId="0" fillId="2" borderId="0" xfId="0" applyNumberFormat="1" applyFont="1" applyFill="1" applyBorder="1"/>
    <xf numFmtId="2" fontId="9" fillId="2" borderId="9" xfId="0" applyNumberFormat="1" applyFont="1" applyFill="1" applyBorder="1"/>
    <xf numFmtId="2" fontId="9" fillId="2" borderId="2" xfId="0" applyNumberFormat="1" applyFont="1" applyFill="1" applyBorder="1"/>
    <xf numFmtId="166" fontId="9" fillId="2" borderId="9" xfId="0" applyNumberFormat="1" applyFont="1" applyFill="1" applyBorder="1" applyAlignment="1">
      <alignment horizontal="right"/>
    </xf>
    <xf numFmtId="0" fontId="0" fillId="2" borderId="4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1" xfId="0" applyFill="1" applyBorder="1"/>
    <xf numFmtId="2" fontId="9" fillId="2" borderId="8" xfId="0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0" xfId="0" applyFont="1"/>
    <xf numFmtId="0" fontId="0" fillId="2" borderId="15" xfId="0" applyFont="1" applyFill="1" applyBorder="1" applyAlignment="1">
      <alignment horizontal="center" vertical="center"/>
    </xf>
    <xf numFmtId="169" fontId="1" fillId="2" borderId="3" xfId="2" applyNumberFormat="1" applyFont="1" applyFill="1" applyBorder="1"/>
    <xf numFmtId="169" fontId="0" fillId="2" borderId="6" xfId="0" applyNumberFormat="1" applyFont="1" applyFill="1" applyBorder="1"/>
    <xf numFmtId="169" fontId="0" fillId="2" borderId="8" xfId="0" applyNumberFormat="1" applyFont="1" applyFill="1" applyBorder="1"/>
    <xf numFmtId="169" fontId="1" fillId="2" borderId="8" xfId="2" applyNumberFormat="1" applyFont="1" applyFill="1" applyBorder="1"/>
    <xf numFmtId="169" fontId="1" fillId="2" borderId="9" xfId="2" applyNumberFormat="1" applyFont="1" applyFill="1" applyBorder="1"/>
    <xf numFmtId="169" fontId="1" fillId="2" borderId="11" xfId="2" applyNumberFormat="1" applyFont="1" applyFill="1" applyBorder="1"/>
    <xf numFmtId="169" fontId="0" fillId="2" borderId="11" xfId="0" applyNumberFormat="1" applyFont="1" applyFill="1" applyBorder="1"/>
    <xf numFmtId="167" fontId="0" fillId="2" borderId="6" xfId="1" applyNumberFormat="1" applyFont="1" applyFill="1" applyBorder="1"/>
    <xf numFmtId="14" fontId="0" fillId="0" borderId="0" xfId="0" applyNumberFormat="1" applyFont="1"/>
    <xf numFmtId="10" fontId="0" fillId="0" borderId="0" xfId="0" applyNumberFormat="1" applyFont="1"/>
    <xf numFmtId="10" fontId="0" fillId="0" borderId="0" xfId="2" applyNumberFormat="1" applyFont="1"/>
    <xf numFmtId="1" fontId="0" fillId="0" borderId="0" xfId="0" applyNumberFormat="1" applyAlignment="1">
      <alignment horizontal="center"/>
    </xf>
    <xf numFmtId="1" fontId="0" fillId="0" borderId="0" xfId="2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0" applyNumberFormat="1"/>
    <xf numFmtId="14" fontId="9" fillId="0" borderId="0" xfId="0" applyNumberFormat="1" applyFont="1"/>
    <xf numFmtId="9" fontId="9" fillId="0" borderId="0" xfId="0" applyNumberFormat="1" applyFont="1"/>
    <xf numFmtId="10" fontId="9" fillId="0" borderId="0" xfId="2" applyNumberFormat="1" applyFont="1"/>
    <xf numFmtId="10" fontId="9" fillId="0" borderId="0" xfId="0" applyNumberFormat="1" applyFont="1"/>
    <xf numFmtId="1" fontId="9" fillId="0" borderId="0" xfId="2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9" fontId="0" fillId="0" borderId="0" xfId="0" applyNumberFormat="1" applyFont="1"/>
    <xf numFmtId="2" fontId="0" fillId="0" borderId="0" xfId="1" applyNumberFormat="1" applyFont="1"/>
    <xf numFmtId="0" fontId="10" fillId="0" borderId="0" xfId="0" applyFont="1"/>
    <xf numFmtId="14" fontId="10" fillId="0" borderId="0" xfId="0" applyNumberFormat="1" applyFont="1"/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right"/>
    </xf>
    <xf numFmtId="2" fontId="0" fillId="2" borderId="4" xfId="0" applyNumberFormat="1" applyFill="1" applyBorder="1" applyAlignment="1">
      <alignment horizontal="right"/>
    </xf>
    <xf numFmtId="2" fontId="9" fillId="2" borderId="7" xfId="0" applyNumberFormat="1" applyFont="1" applyFill="1" applyBorder="1" applyAlignment="1">
      <alignment horizontal="right"/>
    </xf>
    <xf numFmtId="2" fontId="9" fillId="2" borderId="1" xfId="0" applyNumberFormat="1" applyFont="1" applyFill="1" applyBorder="1" applyAlignment="1">
      <alignment horizontal="right"/>
    </xf>
    <xf numFmtId="2" fontId="0" fillId="2" borderId="7" xfId="0" applyNumberFormat="1" applyFill="1" applyBorder="1" applyAlignment="1">
      <alignment horizontal="right"/>
    </xf>
    <xf numFmtId="0" fontId="0" fillId="2" borderId="11" xfId="0" applyFill="1" applyBorder="1"/>
    <xf numFmtId="0" fontId="0" fillId="2" borderId="9" xfId="0" applyFill="1" applyBorder="1" applyAlignment="1">
      <alignment wrapText="1"/>
    </xf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9" xfId="0" applyFill="1" applyBorder="1" applyAlignment="1">
      <alignment vertical="center"/>
    </xf>
    <xf numFmtId="0" fontId="0" fillId="2" borderId="10" xfId="0" applyFont="1" applyFill="1" applyBorder="1" applyAlignment="1">
      <alignment horizontal="center" vertical="center"/>
    </xf>
    <xf numFmtId="9" fontId="0" fillId="0" borderId="0" xfId="1" applyFont="1"/>
    <xf numFmtId="14" fontId="0" fillId="2" borderId="1" xfId="0" applyNumberForma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2" fontId="9" fillId="2" borderId="2" xfId="0" applyNumberFormat="1" applyFont="1" applyFill="1" applyBorder="1" applyAlignment="1">
      <alignment vertical="center"/>
    </xf>
    <xf numFmtId="169" fontId="1" fillId="2" borderId="9" xfId="2" applyNumberFormat="1" applyFont="1" applyFill="1" applyBorder="1" applyAlignment="1">
      <alignment vertical="center"/>
    </xf>
    <xf numFmtId="2" fontId="0" fillId="2" borderId="2" xfId="0" applyNumberFormat="1" applyFont="1" applyFill="1" applyBorder="1" applyAlignment="1">
      <alignment vertical="center"/>
    </xf>
    <xf numFmtId="14" fontId="0" fillId="0" borderId="4" xfId="0" applyNumberFormat="1" applyBorder="1" applyAlignment="1">
      <alignment vertical="center"/>
    </xf>
    <xf numFmtId="2" fontId="0" fillId="2" borderId="6" xfId="0" applyNumberFormat="1" applyFill="1" applyBorder="1" applyAlignment="1">
      <alignment vertical="center"/>
    </xf>
    <xf numFmtId="169" fontId="0" fillId="2" borderId="6" xfId="0" applyNumberFormat="1" applyFont="1" applyFill="1" applyBorder="1" applyAlignment="1">
      <alignment vertical="center"/>
    </xf>
    <xf numFmtId="2" fontId="0" fillId="2" borderId="5" xfId="0" applyNumberFormat="1" applyFont="1" applyFill="1" applyBorder="1" applyAlignment="1">
      <alignment vertical="center"/>
    </xf>
    <xf numFmtId="2" fontId="0" fillId="0" borderId="0" xfId="0" applyNumberFormat="1"/>
    <xf numFmtId="2" fontId="0" fillId="2" borderId="4" xfId="0" applyNumberForma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14" fontId="0" fillId="0" borderId="1" xfId="0" applyNumberFormat="1" applyBorder="1"/>
    <xf numFmtId="14" fontId="0" fillId="0" borderId="4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Fill="1" applyBorder="1"/>
    <xf numFmtId="0" fontId="0" fillId="0" borderId="2" xfId="0" applyBorder="1"/>
    <xf numFmtId="0" fontId="0" fillId="0" borderId="3" xfId="0" applyBorder="1"/>
    <xf numFmtId="0" fontId="0" fillId="0" borderId="10" xfId="0" applyFill="1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1" xfId="0" applyBorder="1"/>
    <xf numFmtId="0" fontId="0" fillId="0" borderId="4" xfId="0" applyBorder="1"/>
    <xf numFmtId="0" fontId="0" fillId="2" borderId="11" xfId="0" applyFont="1" applyFill="1" applyBorder="1" applyAlignment="1">
      <alignment horizontal="center"/>
    </xf>
    <xf numFmtId="0" fontId="0" fillId="0" borderId="11" xfId="0" applyFill="1" applyBorder="1"/>
    <xf numFmtId="14" fontId="0" fillId="0" borderId="7" xfId="0" applyNumberFormat="1" applyBorder="1"/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10" fontId="2" fillId="2" borderId="3" xfId="1" applyNumberFormat="1" applyFont="1" applyFill="1" applyBorder="1" applyAlignment="1">
      <alignment horizontal="center" vertical="center"/>
    </xf>
    <xf numFmtId="10" fontId="2" fillId="2" borderId="6" xfId="1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0" fontId="2" fillId="2" borderId="8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65" fontId="2" fillId="0" borderId="1" xfId="0" applyNumberFormat="1" applyFont="1" applyBorder="1" applyAlignment="1">
      <alignment horizontal="left" wrapText="1"/>
    </xf>
    <xf numFmtId="165" fontId="2" fillId="0" borderId="2" xfId="0" applyNumberFormat="1" applyFont="1" applyBorder="1" applyAlignment="1">
      <alignment horizontal="left" wrapText="1"/>
    </xf>
    <xf numFmtId="165" fontId="2" fillId="0" borderId="3" xfId="0" applyNumberFormat="1" applyFont="1" applyBorder="1" applyAlignment="1">
      <alignment horizontal="left" wrapText="1"/>
    </xf>
    <xf numFmtId="165" fontId="2" fillId="0" borderId="7" xfId="0" applyNumberFormat="1" applyFont="1" applyBorder="1" applyAlignment="1">
      <alignment horizontal="left" wrapText="1"/>
    </xf>
    <xf numFmtId="165" fontId="2" fillId="0" borderId="0" xfId="0" applyNumberFormat="1" applyFont="1" applyBorder="1" applyAlignment="1">
      <alignment horizontal="left" wrapText="1"/>
    </xf>
    <xf numFmtId="165" fontId="2" fillId="0" borderId="8" xfId="0" applyNumberFormat="1" applyFont="1" applyBorder="1" applyAlignment="1">
      <alignment horizontal="left" wrapText="1"/>
    </xf>
    <xf numFmtId="165" fontId="2" fillId="0" borderId="4" xfId="0" applyNumberFormat="1" applyFont="1" applyBorder="1" applyAlignment="1">
      <alignment horizontal="left" wrapText="1"/>
    </xf>
    <xf numFmtId="165" fontId="2" fillId="0" borderId="5" xfId="0" applyNumberFormat="1" applyFont="1" applyBorder="1" applyAlignment="1">
      <alignment horizontal="left" wrapText="1"/>
    </xf>
    <xf numFmtId="165" fontId="2" fillId="0" borderId="6" xfId="0" applyNumberFormat="1" applyFont="1" applyBorder="1" applyAlignment="1">
      <alignment horizontal="left" wrapText="1"/>
    </xf>
    <xf numFmtId="10" fontId="2" fillId="2" borderId="9" xfId="1" applyNumberFormat="1" applyFont="1" applyFill="1" applyBorder="1" applyAlignment="1">
      <alignment horizontal="center" vertical="center"/>
    </xf>
    <xf numFmtId="10" fontId="2" fillId="2" borderId="10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10" fontId="2" fillId="2" borderId="1" xfId="1" applyNumberFormat="1" applyFont="1" applyFill="1" applyBorder="1" applyAlignment="1">
      <alignment horizontal="center" vertical="center"/>
    </xf>
    <xf numFmtId="10" fontId="2" fillId="2" borderId="4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0" fontId="2" fillId="2" borderId="11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" fontId="2" fillId="0" borderId="0" xfId="0" applyNumberFormat="1" applyFo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67" fontId="0" fillId="0" borderId="0" xfId="1" applyNumberFormat="1" applyFont="1"/>
    <xf numFmtId="0" fontId="0" fillId="0" borderId="0" xfId="0" applyBorder="1"/>
    <xf numFmtId="0" fontId="2" fillId="0" borderId="0" xfId="0" applyFont="1" applyBorder="1"/>
    <xf numFmtId="0" fontId="2" fillId="0" borderId="8" xfId="0" applyFont="1" applyBorder="1"/>
    <xf numFmtId="0" fontId="2" fillId="0" borderId="2" xfId="0" applyFont="1" applyBorder="1"/>
    <xf numFmtId="0" fontId="2" fillId="0" borderId="14" xfId="0" applyFont="1" applyBorder="1"/>
    <xf numFmtId="2" fontId="0" fillId="0" borderId="2" xfId="0" applyNumberFormat="1" applyBorder="1"/>
    <xf numFmtId="0" fontId="2" fillId="0" borderId="3" xfId="0" applyFont="1" applyBorder="1"/>
    <xf numFmtId="0" fontId="0" fillId="0" borderId="7" xfId="0" applyBorder="1"/>
    <xf numFmtId="43" fontId="0" fillId="0" borderId="13" xfId="2" applyFont="1" applyBorder="1" applyAlignment="1"/>
    <xf numFmtId="43" fontId="0" fillId="0" borderId="0" xfId="2" applyFont="1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3" xfId="0" applyFont="1" applyBorder="1"/>
    <xf numFmtId="2" fontId="0" fillId="0" borderId="7" xfId="0" applyNumberFormat="1" applyBorder="1"/>
    <xf numFmtId="2" fontId="0" fillId="0" borderId="1" xfId="0" applyNumberFormat="1" applyBorder="1"/>
    <xf numFmtId="43" fontId="0" fillId="0" borderId="0" xfId="0" applyNumberFormat="1"/>
    <xf numFmtId="10" fontId="0" fillId="0" borderId="5" xfId="1" applyNumberFormat="1" applyFont="1" applyBorder="1"/>
    <xf numFmtId="10" fontId="0" fillId="0" borderId="0" xfId="1" applyNumberFormat="1" applyFont="1" applyBorder="1"/>
    <xf numFmtId="0" fontId="0" fillId="0" borderId="8" xfId="0" applyBorder="1"/>
    <xf numFmtId="0" fontId="0" fillId="0" borderId="11" xfId="0" applyBorder="1"/>
    <xf numFmtId="9" fontId="0" fillId="0" borderId="11" xfId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ROI/Trade (+/-) std vs 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'Dynamic Bot1 Analysis'!$F$5:$F$20</c:f>
                <c:numCache>
                  <c:formatCode>General</c:formatCode>
                  <c:ptCount val="16"/>
                  <c:pt idx="0">
                    <c:v>4.5100000000000001E-2</c:v>
                  </c:pt>
                  <c:pt idx="1">
                    <c:v>4.2000000000000003E-2</c:v>
                  </c:pt>
                  <c:pt idx="2">
                    <c:v>2.1100000000000001E-2</c:v>
                  </c:pt>
                  <c:pt idx="3">
                    <c:v>3.5299999999999998E-2</c:v>
                  </c:pt>
                  <c:pt idx="4">
                    <c:v>5.21E-2</c:v>
                  </c:pt>
                  <c:pt idx="5">
                    <c:v>3.5099999999999999E-2</c:v>
                  </c:pt>
                  <c:pt idx="6">
                    <c:v>2.7099999999999999E-2</c:v>
                  </c:pt>
                  <c:pt idx="7">
                    <c:v>3.5000000000000003E-2</c:v>
                  </c:pt>
                  <c:pt idx="8">
                    <c:v>2.1100000000000001E-2</c:v>
                  </c:pt>
                  <c:pt idx="9">
                    <c:v>3.6900000000000002E-2</c:v>
                  </c:pt>
                  <c:pt idx="10">
                    <c:v>3.61E-2</c:v>
                  </c:pt>
                  <c:pt idx="11">
                    <c:v>2.7099999999999999E-2</c:v>
                  </c:pt>
                  <c:pt idx="12">
                    <c:v>2.2200000000000001E-2</c:v>
                  </c:pt>
                  <c:pt idx="13">
                    <c:v>5.4199999999999998E-2</c:v>
                  </c:pt>
                  <c:pt idx="14">
                    <c:v>4.1500000000000002E-2</c:v>
                  </c:pt>
                  <c:pt idx="15">
                    <c:v>2.5600000000000001E-2</c:v>
                  </c:pt>
                </c:numCache>
              </c:numRef>
            </c:plus>
            <c:minus>
              <c:numRef>
                <c:f>'Dynamic Bot1 Analysis'!$F$5:$F$20</c:f>
                <c:numCache>
                  <c:formatCode>General</c:formatCode>
                  <c:ptCount val="16"/>
                  <c:pt idx="0">
                    <c:v>4.5100000000000001E-2</c:v>
                  </c:pt>
                  <c:pt idx="1">
                    <c:v>4.2000000000000003E-2</c:v>
                  </c:pt>
                  <c:pt idx="2">
                    <c:v>2.1100000000000001E-2</c:v>
                  </c:pt>
                  <c:pt idx="3">
                    <c:v>3.5299999999999998E-2</c:v>
                  </c:pt>
                  <c:pt idx="4">
                    <c:v>5.21E-2</c:v>
                  </c:pt>
                  <c:pt idx="5">
                    <c:v>3.5099999999999999E-2</c:v>
                  </c:pt>
                  <c:pt idx="6">
                    <c:v>2.7099999999999999E-2</c:v>
                  </c:pt>
                  <c:pt idx="7">
                    <c:v>3.5000000000000003E-2</c:v>
                  </c:pt>
                  <c:pt idx="8">
                    <c:v>2.1100000000000001E-2</c:v>
                  </c:pt>
                  <c:pt idx="9">
                    <c:v>3.6900000000000002E-2</c:v>
                  </c:pt>
                  <c:pt idx="10">
                    <c:v>3.61E-2</c:v>
                  </c:pt>
                  <c:pt idx="11">
                    <c:v>2.7099999999999999E-2</c:v>
                  </c:pt>
                  <c:pt idx="12">
                    <c:v>2.2200000000000001E-2</c:v>
                  </c:pt>
                  <c:pt idx="13">
                    <c:v>5.4199999999999998E-2</c:v>
                  </c:pt>
                  <c:pt idx="14">
                    <c:v>4.1500000000000002E-2</c:v>
                  </c:pt>
                  <c:pt idx="15">
                    <c:v>2.5600000000000001E-2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'Dynamic Bot1 Analysis'!$B$5:$B$20</c:f>
              <c:numCache>
                <c:formatCode>m/d/yy</c:formatCode>
                <c:ptCount val="1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</c:numCache>
            </c:numRef>
          </c:xVal>
          <c:yVal>
            <c:numRef>
              <c:f>'Dynamic Bot1 Analysis'!$E$5:$E$20</c:f>
              <c:numCache>
                <c:formatCode>0.00%</c:formatCode>
                <c:ptCount val="16"/>
                <c:pt idx="0">
                  <c:v>1.55E-2</c:v>
                </c:pt>
                <c:pt idx="1">
                  <c:v>3.7100000000000001E-2</c:v>
                </c:pt>
                <c:pt idx="2">
                  <c:v>2.1100000000000001E-2</c:v>
                </c:pt>
                <c:pt idx="3">
                  <c:v>-5.0000000000000001E-3</c:v>
                </c:pt>
                <c:pt idx="4">
                  <c:v>2.29E-2</c:v>
                </c:pt>
                <c:pt idx="5">
                  <c:v>0</c:v>
                </c:pt>
                <c:pt idx="6">
                  <c:v>9.4999999999999998E-3</c:v>
                </c:pt>
                <c:pt idx="7">
                  <c:v>4.0000000000000002E-4</c:v>
                </c:pt>
                <c:pt idx="8">
                  <c:v>7.9000000000000008E-3</c:v>
                </c:pt>
                <c:pt idx="9">
                  <c:v>2.8199999999999999E-2</c:v>
                </c:pt>
                <c:pt idx="10">
                  <c:v>1.03E-2</c:v>
                </c:pt>
                <c:pt idx="11">
                  <c:v>1.12E-2</c:v>
                </c:pt>
                <c:pt idx="12">
                  <c:v>-5.5999999999999999E-3</c:v>
                </c:pt>
                <c:pt idx="13">
                  <c:v>7.3000000000000001E-3</c:v>
                </c:pt>
                <c:pt idx="14">
                  <c:v>-3.3999999999999998E-3</c:v>
                </c:pt>
                <c:pt idx="15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8-3C4C-959C-3CC7D200A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998079"/>
        <c:axId val="1807773631"/>
      </c:scatterChart>
      <c:valAx>
        <c:axId val="177199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73631"/>
        <c:crosses val="autoZero"/>
        <c:crossBetween val="midCat"/>
      </c:valAx>
      <c:valAx>
        <c:axId val="18077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9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vs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'Dynamic Bot1 Analysis'!$B$5:$B$20</c:f>
              <c:numCache>
                <c:formatCode>m/d/yy</c:formatCode>
                <c:ptCount val="16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</c:numCache>
            </c:numRef>
          </c:xVal>
          <c:yVal>
            <c:numRef>
              <c:f>'Dynamic Bot1 Analysis'!$D$5:$D$20</c:f>
              <c:numCache>
                <c:formatCode>0.00%</c:formatCode>
                <c:ptCount val="16"/>
                <c:pt idx="0">
                  <c:v>0.20300000000000001</c:v>
                </c:pt>
                <c:pt idx="1">
                  <c:v>0.4259</c:v>
                </c:pt>
                <c:pt idx="2">
                  <c:v>0.26690000000000003</c:v>
                </c:pt>
                <c:pt idx="3">
                  <c:v>-1.2500000000000001E-2</c:v>
                </c:pt>
                <c:pt idx="4">
                  <c:v>0.40949999999999998</c:v>
                </c:pt>
                <c:pt idx="5">
                  <c:v>-4.4199999999999996E-2</c:v>
                </c:pt>
                <c:pt idx="6">
                  <c:v>8.1000000000000003E-2</c:v>
                </c:pt>
                <c:pt idx="7">
                  <c:v>-6.7799999999999999E-2</c:v>
                </c:pt>
                <c:pt idx="8">
                  <c:v>7.5300000000000006E-2</c:v>
                </c:pt>
                <c:pt idx="9">
                  <c:v>0.23430000000000001</c:v>
                </c:pt>
                <c:pt idx="10">
                  <c:v>9.4100000000000003E-2</c:v>
                </c:pt>
                <c:pt idx="11">
                  <c:v>8.72E-2</c:v>
                </c:pt>
                <c:pt idx="12">
                  <c:v>-6.08E-2</c:v>
                </c:pt>
                <c:pt idx="13">
                  <c:v>0.17760000000000001</c:v>
                </c:pt>
                <c:pt idx="14">
                  <c:v>-6.0499999999999998E-2</c:v>
                </c:pt>
                <c:pt idx="15">
                  <c:v>-3.44E-2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6-8748-9FE1-38DD5AB6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998079"/>
        <c:axId val="1807773631"/>
      </c:scatterChart>
      <c:valAx>
        <c:axId val="177199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73631"/>
        <c:crosses val="autoZero"/>
        <c:crossBetween val="midCat"/>
      </c:valAx>
      <c:valAx>
        <c:axId val="18077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9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vs BuynHold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8930746399994594E-2"/>
                  <c:y val="-9.7519766261189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'Dynamic Bot1 Analysis'!$C$5:$C$20</c:f>
              <c:numCache>
                <c:formatCode>0.00%</c:formatCode>
                <c:ptCount val="16"/>
                <c:pt idx="0">
                  <c:v>0.1226</c:v>
                </c:pt>
                <c:pt idx="1">
                  <c:v>0.39660000000000001</c:v>
                </c:pt>
                <c:pt idx="2">
                  <c:v>0.31209999999999999</c:v>
                </c:pt>
                <c:pt idx="3">
                  <c:v>-1.5800000000000002E-2</c:v>
                </c:pt>
                <c:pt idx="4">
                  <c:v>-0.34489999999999998</c:v>
                </c:pt>
                <c:pt idx="5">
                  <c:v>-6.7599999999999993E-2</c:v>
                </c:pt>
                <c:pt idx="6">
                  <c:v>0.191</c:v>
                </c:pt>
                <c:pt idx="7">
                  <c:v>0.12770000000000001</c:v>
                </c:pt>
                <c:pt idx="8">
                  <c:v>-7.2300000000000003E-2</c:v>
                </c:pt>
                <c:pt idx="9">
                  <c:v>0.40479999999999999</c:v>
                </c:pt>
                <c:pt idx="10">
                  <c:v>-6.0700000000000004E-2</c:v>
                </c:pt>
                <c:pt idx="11">
                  <c:v>-0.1734</c:v>
                </c:pt>
                <c:pt idx="12">
                  <c:v>-0.1782</c:v>
                </c:pt>
                <c:pt idx="13">
                  <c:v>0.13270000000000001</c:v>
                </c:pt>
                <c:pt idx="14">
                  <c:v>5.5199999999999999E-2</c:v>
                </c:pt>
                <c:pt idx="15">
                  <c:v>-0.19939999999999999</c:v>
                </c:pt>
              </c:numCache>
            </c:numRef>
          </c:xVal>
          <c:yVal>
            <c:numRef>
              <c:f>'Dynamic Bot1 Analysis'!$D$5:$D$20</c:f>
              <c:numCache>
                <c:formatCode>0.00%</c:formatCode>
                <c:ptCount val="16"/>
                <c:pt idx="0">
                  <c:v>0.20300000000000001</c:v>
                </c:pt>
                <c:pt idx="1">
                  <c:v>0.4259</c:v>
                </c:pt>
                <c:pt idx="2">
                  <c:v>0.26690000000000003</c:v>
                </c:pt>
                <c:pt idx="3">
                  <c:v>-1.2500000000000001E-2</c:v>
                </c:pt>
                <c:pt idx="4">
                  <c:v>0.40949999999999998</c:v>
                </c:pt>
                <c:pt idx="5">
                  <c:v>-4.4199999999999996E-2</c:v>
                </c:pt>
                <c:pt idx="6">
                  <c:v>8.1000000000000003E-2</c:v>
                </c:pt>
                <c:pt idx="7">
                  <c:v>-6.7799999999999999E-2</c:v>
                </c:pt>
                <c:pt idx="8">
                  <c:v>7.5300000000000006E-2</c:v>
                </c:pt>
                <c:pt idx="9">
                  <c:v>0.23430000000000001</c:v>
                </c:pt>
                <c:pt idx="10">
                  <c:v>9.4100000000000003E-2</c:v>
                </c:pt>
                <c:pt idx="11">
                  <c:v>8.72E-2</c:v>
                </c:pt>
                <c:pt idx="12">
                  <c:v>-6.08E-2</c:v>
                </c:pt>
                <c:pt idx="13">
                  <c:v>0.17760000000000001</c:v>
                </c:pt>
                <c:pt idx="14">
                  <c:v>-6.0499999999999998E-2</c:v>
                </c:pt>
                <c:pt idx="15">
                  <c:v>-3.44E-2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C-F646-9DE7-6487DB7B1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998079"/>
        <c:axId val="1807773631"/>
      </c:scatterChart>
      <c:valAx>
        <c:axId val="177199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73631"/>
        <c:crosses val="autoZero"/>
        <c:crossBetween val="midCat"/>
      </c:valAx>
      <c:valAx>
        <c:axId val="18077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9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vs BuynHold Quarterly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6384949930046641"/>
                  <c:y val="0.13595786299949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'Dynamic Bot1 Analysis'!$C$23:$C$27</c:f>
              <c:numCache>
                <c:formatCode>0.00%</c:formatCode>
                <c:ptCount val="5"/>
                <c:pt idx="0">
                  <c:v>1.0425</c:v>
                </c:pt>
                <c:pt idx="1">
                  <c:v>-0.4088</c:v>
                </c:pt>
                <c:pt idx="2">
                  <c:v>0.24679999999999999</c:v>
                </c:pt>
                <c:pt idx="3">
                  <c:v>7.4300000000000005E-2</c:v>
                </c:pt>
                <c:pt idx="4">
                  <c:v>-2.3900000000000001E-2</c:v>
                </c:pt>
              </c:numCache>
            </c:numRef>
          </c:xVal>
          <c:yVal>
            <c:numRef>
              <c:f>'Dynamic Bot1 Analysis'!$D$23:$D$27</c:f>
              <c:numCache>
                <c:formatCode>0.00%</c:formatCode>
                <c:ptCount val="5"/>
                <c:pt idx="0" formatCode="0%">
                  <c:v>1.0900000000000001</c:v>
                </c:pt>
                <c:pt idx="1">
                  <c:v>0.26869999999999999</c:v>
                </c:pt>
                <c:pt idx="2">
                  <c:v>0.1658</c:v>
                </c:pt>
                <c:pt idx="3">
                  <c:v>0.33050000000000002</c:v>
                </c:pt>
                <c:pt idx="4">
                  <c:v>4.3200000000000002E-2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F-7F46-A5A0-E33A82842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998079"/>
        <c:axId val="1807773631"/>
      </c:scatterChart>
      <c:valAx>
        <c:axId val="177199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73631"/>
        <c:crosses val="autoZero"/>
        <c:crossBetween val="midCat"/>
      </c:valAx>
      <c:valAx>
        <c:axId val="18077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9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ROI/Trade vs BuynHold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9233362947359642E-2"/>
                  <c:y val="-0.28747459676382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'Dynamic Bot1 Analysis'!$F$5:$F$20</c:f>
                <c:numCache>
                  <c:formatCode>General</c:formatCode>
                  <c:ptCount val="16"/>
                  <c:pt idx="0">
                    <c:v>4.5100000000000001E-2</c:v>
                  </c:pt>
                  <c:pt idx="1">
                    <c:v>4.2000000000000003E-2</c:v>
                  </c:pt>
                  <c:pt idx="2">
                    <c:v>2.1100000000000001E-2</c:v>
                  </c:pt>
                  <c:pt idx="3">
                    <c:v>3.5299999999999998E-2</c:v>
                  </c:pt>
                  <c:pt idx="4">
                    <c:v>5.21E-2</c:v>
                  </c:pt>
                  <c:pt idx="5">
                    <c:v>3.5099999999999999E-2</c:v>
                  </c:pt>
                  <c:pt idx="6">
                    <c:v>2.7099999999999999E-2</c:v>
                  </c:pt>
                  <c:pt idx="7">
                    <c:v>3.5000000000000003E-2</c:v>
                  </c:pt>
                  <c:pt idx="8">
                    <c:v>2.1100000000000001E-2</c:v>
                  </c:pt>
                  <c:pt idx="9">
                    <c:v>3.6900000000000002E-2</c:v>
                  </c:pt>
                  <c:pt idx="10">
                    <c:v>3.61E-2</c:v>
                  </c:pt>
                  <c:pt idx="11">
                    <c:v>2.7099999999999999E-2</c:v>
                  </c:pt>
                  <c:pt idx="12">
                    <c:v>2.2200000000000001E-2</c:v>
                  </c:pt>
                  <c:pt idx="13">
                    <c:v>5.4199999999999998E-2</c:v>
                  </c:pt>
                  <c:pt idx="14">
                    <c:v>4.1500000000000002E-2</c:v>
                  </c:pt>
                  <c:pt idx="15">
                    <c:v>2.5600000000000001E-2</c:v>
                  </c:pt>
                </c:numCache>
              </c:numRef>
            </c:plus>
            <c:minus>
              <c:numRef>
                <c:f>'Dynamic Bot1 Analysis'!$F$5:$F$20</c:f>
                <c:numCache>
                  <c:formatCode>General</c:formatCode>
                  <c:ptCount val="16"/>
                  <c:pt idx="0">
                    <c:v>4.5100000000000001E-2</c:v>
                  </c:pt>
                  <c:pt idx="1">
                    <c:v>4.2000000000000003E-2</c:v>
                  </c:pt>
                  <c:pt idx="2">
                    <c:v>2.1100000000000001E-2</c:v>
                  </c:pt>
                  <c:pt idx="3">
                    <c:v>3.5299999999999998E-2</c:v>
                  </c:pt>
                  <c:pt idx="4">
                    <c:v>5.21E-2</c:v>
                  </c:pt>
                  <c:pt idx="5">
                    <c:v>3.5099999999999999E-2</c:v>
                  </c:pt>
                  <c:pt idx="6">
                    <c:v>2.7099999999999999E-2</c:v>
                  </c:pt>
                  <c:pt idx="7">
                    <c:v>3.5000000000000003E-2</c:v>
                  </c:pt>
                  <c:pt idx="8">
                    <c:v>2.1100000000000001E-2</c:v>
                  </c:pt>
                  <c:pt idx="9">
                    <c:v>3.6900000000000002E-2</c:v>
                  </c:pt>
                  <c:pt idx="10">
                    <c:v>3.61E-2</c:v>
                  </c:pt>
                  <c:pt idx="11">
                    <c:v>2.7099999999999999E-2</c:v>
                  </c:pt>
                  <c:pt idx="12">
                    <c:v>2.2200000000000001E-2</c:v>
                  </c:pt>
                  <c:pt idx="13">
                    <c:v>5.4199999999999998E-2</c:v>
                  </c:pt>
                  <c:pt idx="14">
                    <c:v>4.1500000000000002E-2</c:v>
                  </c:pt>
                  <c:pt idx="15">
                    <c:v>2.5600000000000001E-2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'Dynamic Bot1 Analysis'!$C$5:$C$20</c:f>
              <c:numCache>
                <c:formatCode>0.00%</c:formatCode>
                <c:ptCount val="16"/>
                <c:pt idx="0">
                  <c:v>0.1226</c:v>
                </c:pt>
                <c:pt idx="1">
                  <c:v>0.39660000000000001</c:v>
                </c:pt>
                <c:pt idx="2">
                  <c:v>0.31209999999999999</c:v>
                </c:pt>
                <c:pt idx="3">
                  <c:v>-1.5800000000000002E-2</c:v>
                </c:pt>
                <c:pt idx="4">
                  <c:v>-0.34489999999999998</c:v>
                </c:pt>
                <c:pt idx="5">
                  <c:v>-6.7599999999999993E-2</c:v>
                </c:pt>
                <c:pt idx="6">
                  <c:v>0.191</c:v>
                </c:pt>
                <c:pt idx="7">
                  <c:v>0.12770000000000001</c:v>
                </c:pt>
                <c:pt idx="8">
                  <c:v>-7.2300000000000003E-2</c:v>
                </c:pt>
                <c:pt idx="9">
                  <c:v>0.40479999999999999</c:v>
                </c:pt>
                <c:pt idx="10">
                  <c:v>-6.0700000000000004E-2</c:v>
                </c:pt>
                <c:pt idx="11">
                  <c:v>-0.1734</c:v>
                </c:pt>
                <c:pt idx="12">
                  <c:v>-0.1782</c:v>
                </c:pt>
                <c:pt idx="13">
                  <c:v>0.13270000000000001</c:v>
                </c:pt>
                <c:pt idx="14">
                  <c:v>5.5199999999999999E-2</c:v>
                </c:pt>
                <c:pt idx="15">
                  <c:v>-0.19939999999999999</c:v>
                </c:pt>
              </c:numCache>
            </c:numRef>
          </c:xVal>
          <c:yVal>
            <c:numRef>
              <c:f>'Dynamic Bot1 Analysis'!$E$5:$E$20</c:f>
              <c:numCache>
                <c:formatCode>0.00%</c:formatCode>
                <c:ptCount val="16"/>
                <c:pt idx="0">
                  <c:v>1.55E-2</c:v>
                </c:pt>
                <c:pt idx="1">
                  <c:v>3.7100000000000001E-2</c:v>
                </c:pt>
                <c:pt idx="2">
                  <c:v>2.1100000000000001E-2</c:v>
                </c:pt>
                <c:pt idx="3">
                  <c:v>-5.0000000000000001E-3</c:v>
                </c:pt>
                <c:pt idx="4">
                  <c:v>2.29E-2</c:v>
                </c:pt>
                <c:pt idx="5">
                  <c:v>0</c:v>
                </c:pt>
                <c:pt idx="6">
                  <c:v>9.4999999999999998E-3</c:v>
                </c:pt>
                <c:pt idx="7">
                  <c:v>4.0000000000000002E-4</c:v>
                </c:pt>
                <c:pt idx="8">
                  <c:v>7.9000000000000008E-3</c:v>
                </c:pt>
                <c:pt idx="9">
                  <c:v>2.8199999999999999E-2</c:v>
                </c:pt>
                <c:pt idx="10">
                  <c:v>1.03E-2</c:v>
                </c:pt>
                <c:pt idx="11">
                  <c:v>1.12E-2</c:v>
                </c:pt>
                <c:pt idx="12">
                  <c:v>-5.5999999999999999E-3</c:v>
                </c:pt>
                <c:pt idx="13">
                  <c:v>7.3000000000000001E-3</c:v>
                </c:pt>
                <c:pt idx="14">
                  <c:v>-3.3999999999999998E-3</c:v>
                </c:pt>
                <c:pt idx="15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68-7E47-AD5D-CF8AF9781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998079"/>
        <c:axId val="1807773631"/>
      </c:scatterChart>
      <c:valAx>
        <c:axId val="177199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73631"/>
        <c:crosses val="autoZero"/>
        <c:crossBetween val="midCat"/>
      </c:valAx>
      <c:valAx>
        <c:axId val="18077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9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ROI/Trade vs BuynHold 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8930746399994594E-2"/>
                  <c:y val="-9.75197662611894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'Dynamic Bot1 Analysis'!$F$23:$F$27</c:f>
                <c:numCache>
                  <c:formatCode>General</c:formatCode>
                  <c:ptCount val="5"/>
                  <c:pt idx="0">
                    <c:v>3.9699999999999999E-2</c:v>
                  </c:pt>
                  <c:pt idx="1">
                    <c:v>4.4600000000000001E-2</c:v>
                  </c:pt>
                  <c:pt idx="2">
                    <c:v>2.81E-2</c:v>
                  </c:pt>
                  <c:pt idx="3">
                    <c:v>3.04E-2</c:v>
                  </c:pt>
                  <c:pt idx="4">
                    <c:v>4.8000000000000001E-2</c:v>
                  </c:pt>
                </c:numCache>
              </c:numRef>
            </c:plus>
            <c:minus>
              <c:numRef>
                <c:f>'Dynamic Bot1 Analysis'!$F$23:$F$27</c:f>
                <c:numCache>
                  <c:formatCode>General</c:formatCode>
                  <c:ptCount val="5"/>
                  <c:pt idx="0">
                    <c:v>3.9699999999999999E-2</c:v>
                  </c:pt>
                  <c:pt idx="1">
                    <c:v>4.4600000000000001E-2</c:v>
                  </c:pt>
                  <c:pt idx="2">
                    <c:v>2.81E-2</c:v>
                  </c:pt>
                  <c:pt idx="3">
                    <c:v>3.04E-2</c:v>
                  </c:pt>
                  <c:pt idx="4">
                    <c:v>4.8000000000000001E-2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'Dynamic Bot1 Analysis'!$C$23:$C$27</c:f>
              <c:numCache>
                <c:formatCode>0.00%</c:formatCode>
                <c:ptCount val="5"/>
                <c:pt idx="0">
                  <c:v>1.0425</c:v>
                </c:pt>
                <c:pt idx="1">
                  <c:v>-0.4088</c:v>
                </c:pt>
                <c:pt idx="2">
                  <c:v>0.24679999999999999</c:v>
                </c:pt>
                <c:pt idx="3">
                  <c:v>7.4300000000000005E-2</c:v>
                </c:pt>
                <c:pt idx="4">
                  <c:v>-2.3900000000000001E-2</c:v>
                </c:pt>
              </c:numCache>
            </c:numRef>
          </c:xVal>
          <c:yVal>
            <c:numRef>
              <c:f>'Dynamic Bot1 Analysis'!$E$23:$E$27</c:f>
              <c:numCache>
                <c:formatCode>0.00%</c:formatCode>
                <c:ptCount val="5"/>
                <c:pt idx="0">
                  <c:v>2.2100000000000002E-2</c:v>
                </c:pt>
                <c:pt idx="1">
                  <c:v>8.2000000000000007E-3</c:v>
                </c:pt>
                <c:pt idx="2">
                  <c:v>6.3E-3</c:v>
                </c:pt>
                <c:pt idx="3">
                  <c:v>1.1900000000000001E-2</c:v>
                </c:pt>
                <c:pt idx="4">
                  <c:v>4.4999999999999997E-3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7-934E-98C7-A5CEAA81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998079"/>
        <c:axId val="1807773631"/>
      </c:scatterChart>
      <c:valAx>
        <c:axId val="177199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73631"/>
        <c:crosses val="autoZero"/>
        <c:crossBetween val="midCat"/>
      </c:valAx>
      <c:valAx>
        <c:axId val="18077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9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 vs WS:LS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3000150378465048"/>
                  <c:y val="2.62901973838823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'Dynamic Bot1 Analysis'!$J$5:$J$19</c:f>
              <c:numCache>
                <c:formatCode>0.00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2.3333333333333335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0.33333333333333331</c:v>
                </c:pt>
                <c:pt idx="11">
                  <c:v>6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</c:numCache>
            </c:numRef>
          </c:xVal>
          <c:yVal>
            <c:numRef>
              <c:f>'Dynamic Bot1 Analysis'!$D$5:$D$19</c:f>
              <c:numCache>
                <c:formatCode>0.00%</c:formatCode>
                <c:ptCount val="15"/>
                <c:pt idx="0">
                  <c:v>0.20300000000000001</c:v>
                </c:pt>
                <c:pt idx="1">
                  <c:v>0.4259</c:v>
                </c:pt>
                <c:pt idx="2">
                  <c:v>0.26690000000000003</c:v>
                </c:pt>
                <c:pt idx="3">
                  <c:v>-1.2500000000000001E-2</c:v>
                </c:pt>
                <c:pt idx="4">
                  <c:v>0.40949999999999998</c:v>
                </c:pt>
                <c:pt idx="5">
                  <c:v>-4.4199999999999996E-2</c:v>
                </c:pt>
                <c:pt idx="6">
                  <c:v>8.1000000000000003E-2</c:v>
                </c:pt>
                <c:pt idx="7">
                  <c:v>-6.7799999999999999E-2</c:v>
                </c:pt>
                <c:pt idx="8">
                  <c:v>7.5300000000000006E-2</c:v>
                </c:pt>
                <c:pt idx="9">
                  <c:v>0.23430000000000001</c:v>
                </c:pt>
                <c:pt idx="10">
                  <c:v>9.4100000000000003E-2</c:v>
                </c:pt>
                <c:pt idx="11">
                  <c:v>8.72E-2</c:v>
                </c:pt>
                <c:pt idx="12">
                  <c:v>-6.08E-2</c:v>
                </c:pt>
                <c:pt idx="13">
                  <c:v>0.17760000000000001</c:v>
                </c:pt>
                <c:pt idx="14">
                  <c:v>-6.0499999999999998E-2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7-9745-BB8E-7324F9420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998079"/>
        <c:axId val="1807773631"/>
      </c:scatterChart>
      <c:valAx>
        <c:axId val="177199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73631"/>
        <c:crosses val="autoZero"/>
        <c:crossBetween val="midCat"/>
      </c:valAx>
      <c:valAx>
        <c:axId val="180777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9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31883</xdr:colOff>
      <xdr:row>21</xdr:row>
      <xdr:rowOff>188370</xdr:rowOff>
    </xdr:from>
    <xdr:to>
      <xdr:col>14</xdr:col>
      <xdr:colOff>532375</xdr:colOff>
      <xdr:row>40</xdr:row>
      <xdr:rowOff>137976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CEEEDB-68B4-B20B-D197-092A4757A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146627</xdr:colOff>
      <xdr:row>1</xdr:row>
      <xdr:rowOff>64081</xdr:rowOff>
    </xdr:from>
    <xdr:to>
      <xdr:col>14</xdr:col>
      <xdr:colOff>658050</xdr:colOff>
      <xdr:row>20</xdr:row>
      <xdr:rowOff>13688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4F0DF-76B2-4045-971C-98F730007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737810</xdr:colOff>
      <xdr:row>1</xdr:row>
      <xdr:rowOff>90714</xdr:rowOff>
    </xdr:from>
    <xdr:to>
      <xdr:col>21</xdr:col>
      <xdr:colOff>257169</xdr:colOff>
      <xdr:row>20</xdr:row>
      <xdr:rowOff>40321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063207-E3E6-BF46-8153-299D9090C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735263</xdr:colOff>
      <xdr:row>1</xdr:row>
      <xdr:rowOff>44562</xdr:rowOff>
    </xdr:from>
    <xdr:to>
      <xdr:col>27</xdr:col>
      <xdr:colOff>259969</xdr:colOff>
      <xdr:row>19</xdr:row>
      <xdr:rowOff>187897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10C426-8E2A-4840-8941-2205A643F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495017</xdr:colOff>
      <xdr:row>21</xdr:row>
      <xdr:rowOff>107528</xdr:rowOff>
    </xdr:from>
    <xdr:to>
      <xdr:col>21</xdr:col>
      <xdr:colOff>15848</xdr:colOff>
      <xdr:row>40</xdr:row>
      <xdr:rowOff>59072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F27867-EEEB-3F43-B628-69255263B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155965</xdr:colOff>
      <xdr:row>21</xdr:row>
      <xdr:rowOff>89122</xdr:rowOff>
    </xdr:from>
    <xdr:to>
      <xdr:col>27</xdr:col>
      <xdr:colOff>501182</xdr:colOff>
      <xdr:row>40</xdr:row>
      <xdr:rowOff>40666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8C567D-1F55-CC4A-9C5D-CDDA5192A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534737</xdr:colOff>
      <xdr:row>1</xdr:row>
      <xdr:rowOff>22281</xdr:rowOff>
    </xdr:from>
    <xdr:to>
      <xdr:col>34</xdr:col>
      <xdr:colOff>59443</xdr:colOff>
      <xdr:row>19</xdr:row>
      <xdr:rowOff>172414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3817D3B-068B-E94F-B205-7984B4204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E8B2-48E5-3648-8EC6-F9501EA91D97}">
  <dimension ref="A1:N140"/>
  <sheetViews>
    <sheetView zoomScale="111" workbookViewId="0">
      <selection activeCell="K16" sqref="K16"/>
    </sheetView>
  </sheetViews>
  <sheetFormatPr baseColWidth="10" defaultRowHeight="16" x14ac:dyDescent="0.2"/>
  <cols>
    <col min="1" max="1" width="13.5" customWidth="1"/>
    <col min="3" max="3" width="15.1640625" customWidth="1"/>
    <col min="4" max="4" width="11" bestFit="1" customWidth="1"/>
    <col min="5" max="5" width="11" customWidth="1"/>
    <col min="6" max="6" width="11.6640625" bestFit="1" customWidth="1"/>
    <col min="7" max="7" width="12.33203125" customWidth="1"/>
    <col min="8" max="8" width="13.6640625" customWidth="1"/>
    <col min="11" max="11" width="23.83203125" customWidth="1"/>
    <col min="12" max="12" width="9" customWidth="1"/>
  </cols>
  <sheetData>
    <row r="1" spans="1:13" x14ac:dyDescent="0.2">
      <c r="A1" s="45"/>
      <c r="B1" s="45"/>
      <c r="C1" s="2" t="s">
        <v>8</v>
      </c>
      <c r="D1" s="232" t="s">
        <v>6</v>
      </c>
      <c r="E1" s="233"/>
      <c r="F1" s="232" t="s">
        <v>4</v>
      </c>
      <c r="G1" s="233"/>
      <c r="H1" s="41" t="s">
        <v>10</v>
      </c>
      <c r="I1" s="3"/>
      <c r="J1" s="1"/>
      <c r="K1" s="1"/>
      <c r="L1" s="1"/>
      <c r="M1" s="1"/>
    </row>
    <row r="2" spans="1:13" ht="17" thickBot="1" x14ac:dyDescent="0.25">
      <c r="A2" s="36" t="s">
        <v>0</v>
      </c>
      <c r="B2" s="5" t="s">
        <v>1</v>
      </c>
      <c r="C2" s="5" t="s">
        <v>9</v>
      </c>
      <c r="D2" s="4" t="s">
        <v>2</v>
      </c>
      <c r="E2" s="6" t="s">
        <v>3</v>
      </c>
      <c r="F2" s="4" t="s">
        <v>5</v>
      </c>
      <c r="G2" s="6" t="s">
        <v>3</v>
      </c>
      <c r="H2" s="6" t="s">
        <v>9</v>
      </c>
      <c r="I2" s="6" t="s">
        <v>12</v>
      </c>
      <c r="J2" s="1"/>
      <c r="K2" s="1"/>
      <c r="L2" s="1"/>
      <c r="M2" s="1"/>
    </row>
    <row r="3" spans="1:13" x14ac:dyDescent="0.2">
      <c r="A3" s="7">
        <v>44582.958379629628</v>
      </c>
      <c r="B3" s="46" t="s">
        <v>7</v>
      </c>
      <c r="C3" s="8">
        <v>36107.199999999997</v>
      </c>
      <c r="D3" s="9">
        <v>-2921.7946240000001</v>
      </c>
      <c r="E3" s="10">
        <v>8.0920000000000006E-2</v>
      </c>
      <c r="F3" s="9">
        <v>0</v>
      </c>
      <c r="G3" s="78">
        <v>8.0920000000000005E-5</v>
      </c>
      <c r="H3" s="42">
        <f t="shared" ref="H3:H20" si="0">-(D3-F3)/(E3-G3)</f>
        <v>36143.343343343338</v>
      </c>
      <c r="I3" s="230">
        <f>(H4/H3)-1</f>
        <v>-1.5914882871714608E-2</v>
      </c>
      <c r="J3" s="1"/>
      <c r="K3" s="92"/>
      <c r="L3" s="1"/>
      <c r="M3" s="1"/>
    </row>
    <row r="4" spans="1:13" ht="17" thickBot="1" x14ac:dyDescent="0.25">
      <c r="A4" s="11">
        <v>44583.375023148146</v>
      </c>
      <c r="B4" s="47" t="s">
        <v>11</v>
      </c>
      <c r="C4" s="12">
        <v>35603.730000000003</v>
      </c>
      <c r="D4" s="13">
        <v>2878.2055329999998</v>
      </c>
      <c r="E4" s="14">
        <v>-8.0839999999999995E-2</v>
      </c>
      <c r="F4" s="13">
        <v>2.8782055400000002</v>
      </c>
      <c r="G4" s="79">
        <v>0</v>
      </c>
      <c r="H4" s="40">
        <f t="shared" si="0"/>
        <v>35568.126267441861</v>
      </c>
      <c r="I4" s="231"/>
      <c r="J4" s="1"/>
      <c r="K4" s="1"/>
      <c r="L4" s="1"/>
      <c r="M4" s="1"/>
    </row>
    <row r="5" spans="1:13" x14ac:dyDescent="0.2">
      <c r="A5" s="7">
        <v>44583.401134259257</v>
      </c>
      <c r="B5" s="46" t="s">
        <v>7</v>
      </c>
      <c r="C5" s="16">
        <v>35258.839999999997</v>
      </c>
      <c r="D5" s="9">
        <v>-2879.2368740000002</v>
      </c>
      <c r="E5" s="10">
        <f>0.01105+0.07062</f>
        <v>8.1670000000000006E-2</v>
      </c>
      <c r="F5" s="9">
        <v>0</v>
      </c>
      <c r="G5" s="78">
        <f>0.00001105+0.00007061</f>
        <v>8.1660000000000001E-5</v>
      </c>
      <c r="H5" s="42">
        <f t="shared" si="0"/>
        <v>35289.808249561145</v>
      </c>
      <c r="I5" s="230">
        <f>(H6/H5)-1</f>
        <v>-2.6274306642637524E-2</v>
      </c>
      <c r="J5" s="1"/>
      <c r="K5" s="93"/>
      <c r="L5" s="1"/>
      <c r="M5" s="1"/>
    </row>
    <row r="6" spans="1:13" ht="17" thickBot="1" x14ac:dyDescent="0.25">
      <c r="A6" s="11">
        <v>44583.791689814818</v>
      </c>
      <c r="B6" s="47" t="s">
        <v>11</v>
      </c>
      <c r="C6" s="12">
        <v>34396.99</v>
      </c>
      <c r="D6" s="13">
        <v>2805.7624740000001</v>
      </c>
      <c r="E6" s="14">
        <f>-0.08157</f>
        <v>-8.1570000000000004E-2</v>
      </c>
      <c r="F6" s="13">
        <v>2.8057624799999998</v>
      </c>
      <c r="G6" s="79">
        <v>0</v>
      </c>
      <c r="H6" s="40">
        <f t="shared" si="0"/>
        <v>34362.593006252297</v>
      </c>
      <c r="I6" s="231"/>
      <c r="J6" s="1"/>
      <c r="K6" s="1"/>
      <c r="L6" s="1"/>
      <c r="M6" s="1"/>
    </row>
    <row r="7" spans="1:13" x14ac:dyDescent="0.2">
      <c r="A7" s="17">
        <v>44584.125</v>
      </c>
      <c r="B7" s="48" t="s">
        <v>7</v>
      </c>
      <c r="C7" s="18">
        <v>36062.9</v>
      </c>
      <c r="D7" s="19">
        <v>-1106.409772</v>
      </c>
      <c r="E7" s="20">
        <v>3.0679999999999999E-2</v>
      </c>
      <c r="F7" s="19">
        <v>0</v>
      </c>
      <c r="G7" s="103">
        <v>3.0679999999999998E-5</v>
      </c>
      <c r="H7" s="39">
        <f t="shared" si="0"/>
        <v>36098.998998998999</v>
      </c>
      <c r="I7" s="230">
        <f>(H10/H9)-1</f>
        <v>-1.8898067280460618E-3</v>
      </c>
      <c r="J7" s="1"/>
      <c r="K7" s="1"/>
      <c r="L7" s="1"/>
      <c r="M7" s="1"/>
    </row>
    <row r="8" spans="1:13" x14ac:dyDescent="0.2">
      <c r="A8" s="21"/>
      <c r="B8" s="49" t="s">
        <v>7</v>
      </c>
      <c r="C8" s="22">
        <v>36061.089999999997</v>
      </c>
      <c r="D8" s="23">
        <v>-1696.6742845000001</v>
      </c>
      <c r="E8" s="24">
        <v>4.7050000000000002E-2</v>
      </c>
      <c r="F8" s="23">
        <v>0</v>
      </c>
      <c r="G8" s="104">
        <v>4.7049999999999998E-5</v>
      </c>
      <c r="H8" s="43">
        <f t="shared" si="0"/>
        <v>36097.187187187192</v>
      </c>
      <c r="I8" s="234"/>
      <c r="J8" s="1"/>
      <c r="K8" s="1"/>
      <c r="L8" s="1"/>
      <c r="M8" s="1"/>
    </row>
    <row r="9" spans="1:13" x14ac:dyDescent="0.2">
      <c r="A9" s="21"/>
      <c r="B9" s="50" t="s">
        <v>13</v>
      </c>
      <c r="C9" s="25">
        <f>(C7*E7+C8*E8)/(E7+E8)</f>
        <v>36061.804406278141</v>
      </c>
      <c r="D9" s="26">
        <f>D8+D7</f>
        <v>-2803.0840564999999</v>
      </c>
      <c r="E9" s="27">
        <f>E8+E7</f>
        <v>7.7729999999999994E-2</v>
      </c>
      <c r="F9" s="26">
        <f>F8+F7</f>
        <v>0</v>
      </c>
      <c r="G9" s="80">
        <f>G8+G7</f>
        <v>7.7730000000000003E-5</v>
      </c>
      <c r="H9" s="44">
        <f t="shared" si="0"/>
        <v>36097.90230858673</v>
      </c>
      <c r="I9" s="234"/>
      <c r="J9" s="1"/>
      <c r="K9" s="1"/>
      <c r="L9" s="1"/>
      <c r="M9" s="1"/>
    </row>
    <row r="10" spans="1:13" ht="17" thickBot="1" x14ac:dyDescent="0.25">
      <c r="A10" s="11">
        <v>44586.541689814818</v>
      </c>
      <c r="B10" s="51" t="s">
        <v>11</v>
      </c>
      <c r="C10" s="15">
        <v>36065.75</v>
      </c>
      <c r="D10" s="13">
        <v>2800.866145</v>
      </c>
      <c r="E10" s="28">
        <v>-7.7660000000000007E-2</v>
      </c>
      <c r="F10" s="100">
        <v>2.8008661500000001</v>
      </c>
      <c r="G10" s="105">
        <v>0</v>
      </c>
      <c r="H10" s="40">
        <f t="shared" si="0"/>
        <v>36029.684249935613</v>
      </c>
      <c r="I10" s="231"/>
      <c r="J10" s="1"/>
      <c r="K10" s="1"/>
      <c r="L10" s="1"/>
      <c r="M10" s="1"/>
    </row>
    <row r="11" spans="1:13" x14ac:dyDescent="0.2">
      <c r="A11" s="7">
        <v>44587.318171296298</v>
      </c>
      <c r="B11" s="52" t="s">
        <v>14</v>
      </c>
      <c r="C11" s="8">
        <v>36877.4</v>
      </c>
      <c r="D11" s="9">
        <v>-2798.6258859999998</v>
      </c>
      <c r="E11" s="29">
        <v>7.5889999999999999E-2</v>
      </c>
      <c r="F11" s="101">
        <v>0</v>
      </c>
      <c r="G11" s="106">
        <v>7.5889999999999993E-5</v>
      </c>
      <c r="H11" s="42">
        <f t="shared" si="0"/>
        <v>36914.31431431431</v>
      </c>
      <c r="I11" s="230">
        <f>(H12/H11)-1</f>
        <v>1.8909891423608105E-2</v>
      </c>
      <c r="J11" s="1"/>
      <c r="K11" s="1"/>
      <c r="L11" s="1"/>
      <c r="M11" s="1"/>
    </row>
    <row r="12" spans="1:13" ht="17" thickBot="1" x14ac:dyDescent="0.25">
      <c r="A12" s="30">
        <v>44587.70857638889</v>
      </c>
      <c r="B12" s="47" t="s">
        <v>11</v>
      </c>
      <c r="C12" s="15">
        <v>37650.01</v>
      </c>
      <c r="D12" s="13">
        <v>2854.2472581000002</v>
      </c>
      <c r="E12" s="28">
        <v>-7.5810000000000002E-2</v>
      </c>
      <c r="F12" s="100">
        <v>2.8542472600000002</v>
      </c>
      <c r="G12" s="105">
        <v>0</v>
      </c>
      <c r="H12" s="53">
        <f t="shared" si="0"/>
        <v>37612.359989974939</v>
      </c>
      <c r="I12" s="231"/>
      <c r="J12" s="1"/>
      <c r="K12" s="1"/>
      <c r="L12" s="1"/>
      <c r="M12" s="1"/>
    </row>
    <row r="13" spans="1:13" x14ac:dyDescent="0.2">
      <c r="A13" s="56">
        <v>44563.308333333334</v>
      </c>
      <c r="B13" s="52" t="s">
        <v>14</v>
      </c>
      <c r="C13" s="8">
        <v>38429.82</v>
      </c>
      <c r="D13" s="9">
        <v>-2850.7240476000002</v>
      </c>
      <c r="E13" s="31">
        <v>7.4179999999999996E-2</v>
      </c>
      <c r="F13" s="101">
        <v>0</v>
      </c>
      <c r="G13" s="78">
        <f>E13*(0.1/100)</f>
        <v>7.4179999999999998E-5</v>
      </c>
      <c r="H13" s="42">
        <f t="shared" si="0"/>
        <v>38468.288288288291</v>
      </c>
      <c r="I13" s="230">
        <f>(H14/H13)-1</f>
        <v>-6.5755948482194571E-3</v>
      </c>
      <c r="J13" s="1"/>
      <c r="K13" s="1"/>
      <c r="L13" s="1"/>
      <c r="M13" s="1"/>
    </row>
    <row r="14" spans="1:13" ht="17" thickBot="1" x14ac:dyDescent="0.25">
      <c r="A14" s="57">
        <v>44563.708333333336</v>
      </c>
      <c r="B14" s="47" t="s">
        <v>11</v>
      </c>
      <c r="C14" s="15">
        <v>38253.589999999997</v>
      </c>
      <c r="D14" s="13">
        <v>2834.9735549000002</v>
      </c>
      <c r="E14" s="32">
        <v>-7.4109999999999995E-2</v>
      </c>
      <c r="F14" s="13">
        <f>D14*(0.1/100)</f>
        <v>2.8349735549000004</v>
      </c>
      <c r="G14" s="105">
        <v>0</v>
      </c>
      <c r="H14" s="54">
        <f t="shared" si="0"/>
        <v>38215.336410000004</v>
      </c>
      <c r="I14" s="231"/>
      <c r="J14" s="1"/>
      <c r="K14" s="1"/>
      <c r="L14" s="1"/>
      <c r="M14" s="1"/>
    </row>
    <row r="15" spans="1:13" x14ac:dyDescent="0.2">
      <c r="A15" s="56">
        <v>44683.042847222219</v>
      </c>
      <c r="B15" s="46" t="s">
        <v>7</v>
      </c>
      <c r="C15" s="16">
        <v>40542.35</v>
      </c>
      <c r="D15" s="9">
        <v>-2832.288571</v>
      </c>
      <c r="E15" s="31">
        <v>6.9860000000000005E-2</v>
      </c>
      <c r="F15" s="101">
        <v>0</v>
      </c>
      <c r="G15" s="78">
        <f>E15*0.1/100</f>
        <v>6.9860000000000012E-5</v>
      </c>
      <c r="H15" s="42">
        <f t="shared" si="0"/>
        <v>40582.932932932934</v>
      </c>
      <c r="I15" s="230">
        <f>(H16/H15)-1</f>
        <v>1.9379975034500951E-2</v>
      </c>
      <c r="J15" s="1"/>
      <c r="K15" s="1"/>
      <c r="L15" s="1"/>
      <c r="M15" s="1"/>
    </row>
    <row r="16" spans="1:13" ht="17" thickBot="1" x14ac:dyDescent="0.25">
      <c r="A16" s="57">
        <v>44683.587835648148</v>
      </c>
      <c r="B16" s="47" t="s">
        <v>11</v>
      </c>
      <c r="C16" s="12">
        <v>41410.839999999997</v>
      </c>
      <c r="D16" s="37">
        <v>2890.0625236000001</v>
      </c>
      <c r="E16" s="38">
        <v>-6.9790000000000005E-2</v>
      </c>
      <c r="F16" s="37">
        <f>D16*(0.1/100)</f>
        <v>2.8900625236000002</v>
      </c>
      <c r="G16" s="107">
        <v>0</v>
      </c>
      <c r="H16" s="54">
        <f t="shared" si="0"/>
        <v>41369.42916</v>
      </c>
      <c r="I16" s="231"/>
      <c r="J16" s="1"/>
      <c r="K16" s="1"/>
      <c r="L16" s="1"/>
      <c r="M16" s="1"/>
    </row>
    <row r="17" spans="1:14" x14ac:dyDescent="0.2">
      <c r="A17" s="58">
        <v>44775.129166666666</v>
      </c>
      <c r="B17" s="46" t="s">
        <v>7</v>
      </c>
      <c r="C17" s="35">
        <v>44406.53</v>
      </c>
      <c r="D17" s="9">
        <v>-2913.0683680000002</v>
      </c>
      <c r="E17" s="31">
        <v>6.5530000000000005E-2</v>
      </c>
      <c r="F17" s="102">
        <v>0</v>
      </c>
      <c r="G17" s="78">
        <f>E17*(0.1/100)</f>
        <v>6.5530000000000004E-5</v>
      </c>
      <c r="H17" s="34">
        <f t="shared" si="0"/>
        <v>44498.464098158889</v>
      </c>
      <c r="I17" s="250">
        <f>(H18/H17)-1</f>
        <v>7.4093088047673117E-3</v>
      </c>
      <c r="J17" s="1"/>
      <c r="K17" s="1"/>
      <c r="L17" s="1"/>
      <c r="M17" s="1"/>
    </row>
    <row r="18" spans="1:14" ht="17" thickBot="1" x14ac:dyDescent="0.25">
      <c r="A18" s="57">
        <v>44775.541666666664</v>
      </c>
      <c r="B18" s="47" t="s">
        <v>11</v>
      </c>
      <c r="C18" s="36">
        <v>44873.04</v>
      </c>
      <c r="D18" s="13">
        <v>2940.5303112000001</v>
      </c>
      <c r="E18" s="32">
        <v>-6.5530000000000005E-2</v>
      </c>
      <c r="F18" s="13">
        <f>(0.1/100)*D18</f>
        <v>2.9405303112000003</v>
      </c>
      <c r="G18" s="79">
        <v>0</v>
      </c>
      <c r="H18" s="33">
        <f t="shared" si="0"/>
        <v>44828.166960000002</v>
      </c>
      <c r="I18" s="251"/>
      <c r="J18" s="1"/>
      <c r="K18" s="1"/>
      <c r="L18" s="1"/>
      <c r="M18" s="1"/>
    </row>
    <row r="19" spans="1:14" x14ac:dyDescent="0.2">
      <c r="A19" s="56">
        <v>44867.041666666664</v>
      </c>
      <c r="B19" s="55" t="s">
        <v>15</v>
      </c>
      <c r="C19" s="35">
        <v>45314.12</v>
      </c>
      <c r="D19" s="9">
        <v>-2937.7143996</v>
      </c>
      <c r="E19" s="31">
        <v>6.4829999999999999E-2</v>
      </c>
      <c r="F19" s="9">
        <v>0</v>
      </c>
      <c r="G19" s="78">
        <f>E19*0.1/199</f>
        <v>3.2577889447236183E-5</v>
      </c>
      <c r="H19" s="42">
        <f t="shared" si="0"/>
        <v>45336.902362996479</v>
      </c>
      <c r="I19" s="250">
        <f>(H20/H19)-1</f>
        <v>-4.5212017499225543E-2</v>
      </c>
      <c r="J19" s="1"/>
      <c r="K19" s="1"/>
      <c r="L19" s="1"/>
      <c r="M19" s="1"/>
    </row>
    <row r="20" spans="1:14" ht="17" thickBot="1" x14ac:dyDescent="0.25">
      <c r="A20" s="57">
        <v>44867.458333333336</v>
      </c>
      <c r="B20" s="5" t="s">
        <v>11</v>
      </c>
      <c r="C20" s="36">
        <v>43330.46</v>
      </c>
      <c r="D20" s="13">
        <v>2806.5138941999999</v>
      </c>
      <c r="E20" s="32">
        <v>-6.4769999999999994E-2</v>
      </c>
      <c r="F20" s="13">
        <f>D20*0.1/100</f>
        <v>2.8065138942000001</v>
      </c>
      <c r="G20" s="79">
        <v>0</v>
      </c>
      <c r="H20" s="40">
        <f t="shared" si="0"/>
        <v>43287.129540000002</v>
      </c>
      <c r="I20" s="251"/>
      <c r="J20" s="114"/>
      <c r="K20" s="1"/>
      <c r="L20" s="1"/>
      <c r="M20" s="1"/>
    </row>
    <row r="21" spans="1:14" x14ac:dyDescent="0.2">
      <c r="A21" s="235" t="s">
        <v>19</v>
      </c>
      <c r="B21" s="236"/>
      <c r="C21" s="236"/>
      <c r="D21" s="236"/>
      <c r="E21" s="236"/>
      <c r="F21" s="236"/>
      <c r="G21" s="236"/>
      <c r="H21" s="236"/>
      <c r="I21" s="237"/>
      <c r="J21" s="1"/>
      <c r="K21" s="1"/>
      <c r="L21" s="1"/>
      <c r="M21" s="1"/>
    </row>
    <row r="22" spans="1:14" ht="17" thickBot="1" x14ac:dyDescent="0.25">
      <c r="A22" s="238"/>
      <c r="B22" s="239"/>
      <c r="C22" s="239"/>
      <c r="D22" s="239"/>
      <c r="E22" s="239"/>
      <c r="F22" s="239"/>
      <c r="G22" s="239"/>
      <c r="H22" s="239"/>
      <c r="I22" s="240"/>
      <c r="J22" s="1"/>
      <c r="K22" s="1"/>
      <c r="L22" s="1"/>
      <c r="M22" s="1"/>
    </row>
    <row r="23" spans="1:14" ht="17" thickBot="1" x14ac:dyDescent="0.25">
      <c r="A23" s="71">
        <v>44597</v>
      </c>
      <c r="B23" s="91" t="s">
        <v>16</v>
      </c>
      <c r="C23" s="63">
        <v>1402.3</v>
      </c>
      <c r="D23" s="64"/>
      <c r="E23" s="94" t="s">
        <v>17</v>
      </c>
      <c r="F23" s="95">
        <v>1604</v>
      </c>
      <c r="G23" s="62"/>
      <c r="H23" s="113" t="s">
        <v>18</v>
      </c>
      <c r="I23" s="67">
        <f>(F23/C23)-1</f>
        <v>0.14383512800399356</v>
      </c>
      <c r="J23" s="1"/>
      <c r="K23" s="228" t="s">
        <v>24</v>
      </c>
      <c r="L23" s="229"/>
      <c r="M23" s="1"/>
    </row>
    <row r="24" spans="1:14" x14ac:dyDescent="0.2">
      <c r="A24" s="72">
        <v>44616</v>
      </c>
      <c r="B24" s="46" t="s">
        <v>7</v>
      </c>
      <c r="C24" s="8">
        <v>35313.050000000003</v>
      </c>
      <c r="D24" s="76">
        <v>-1400.5240931999999</v>
      </c>
      <c r="E24" s="35">
        <v>3.9669999999999997E-2</v>
      </c>
      <c r="F24" s="8">
        <v>0</v>
      </c>
      <c r="G24" s="78">
        <f>E24*0.1/100</f>
        <v>3.9669999999999998E-5</v>
      </c>
      <c r="H24" s="8">
        <f t="shared" ref="H24:H42" si="1">-(D24-F24)/(E24-G24)</f>
        <v>35339.703030481956</v>
      </c>
      <c r="I24" s="230">
        <f>(H25/H24)-1</f>
        <v>1.7665597500340136E-2</v>
      </c>
      <c r="J24" s="1"/>
      <c r="K24" s="65" t="s">
        <v>20</v>
      </c>
      <c r="L24" s="83">
        <f>AVERAGE(I24:I43)</f>
        <v>1.3479892645576697E-2</v>
      </c>
      <c r="M24" s="1"/>
      <c r="N24" s="73"/>
    </row>
    <row r="25" spans="1:14" ht="17" thickBot="1" x14ac:dyDescent="0.25">
      <c r="A25" s="69">
        <v>44617</v>
      </c>
      <c r="B25" s="47" t="s">
        <v>11</v>
      </c>
      <c r="C25" s="111">
        <v>36000</v>
      </c>
      <c r="D25" s="77">
        <v>1426.68</v>
      </c>
      <c r="E25" s="36">
        <v>-3.9629999999999999E-2</v>
      </c>
      <c r="F25" s="15">
        <f>D25*0.1/100</f>
        <v>1.4266800000000002</v>
      </c>
      <c r="G25" s="79">
        <v>0</v>
      </c>
      <c r="H25" s="66">
        <f t="shared" si="1"/>
        <v>35964</v>
      </c>
      <c r="I25" s="231"/>
      <c r="J25" s="1"/>
      <c r="K25" s="84" t="s">
        <v>23</v>
      </c>
      <c r="L25" s="85">
        <f>_xlfn.STDEV.S(I24:I43)</f>
        <v>1.614302857611952E-2</v>
      </c>
      <c r="M25" s="108"/>
    </row>
    <row r="26" spans="1:14" x14ac:dyDescent="0.2">
      <c r="A26" s="72">
        <v>44617</v>
      </c>
      <c r="B26" s="70" t="s">
        <v>7</v>
      </c>
      <c r="C26" s="8">
        <v>38161.379999999997</v>
      </c>
      <c r="D26" s="76">
        <v>-1425.3275430000001</v>
      </c>
      <c r="E26" s="35">
        <v>3.9629999999999999E-2</v>
      </c>
      <c r="F26" s="25">
        <v>0</v>
      </c>
      <c r="G26" s="78">
        <f>E26*0.1/100</f>
        <v>3.9630000000000005E-5</v>
      </c>
      <c r="H26" s="8">
        <f t="shared" si="1"/>
        <v>36001.874774092794</v>
      </c>
      <c r="I26" s="230">
        <f>(H27/H26)-1</f>
        <v>5.8917682733645727E-3</v>
      </c>
      <c r="J26" s="1"/>
      <c r="K26" s="84" t="s">
        <v>25</v>
      </c>
      <c r="L26" s="38">
        <v>9</v>
      </c>
      <c r="M26" s="1"/>
    </row>
    <row r="27" spans="1:14" ht="17" thickBot="1" x14ac:dyDescent="0.25">
      <c r="A27" s="69">
        <v>44617</v>
      </c>
      <c r="B27" s="47" t="s">
        <v>11</v>
      </c>
      <c r="C27" s="111">
        <v>38890.01</v>
      </c>
      <c r="D27" s="77">
        <v>1436.597</v>
      </c>
      <c r="E27" s="36">
        <v>-3.9629999999999999E-2</v>
      </c>
      <c r="F27" s="15">
        <f>D27*0.1/100</f>
        <v>1.4365970000000001</v>
      </c>
      <c r="G27" s="79">
        <v>0</v>
      </c>
      <c r="H27" s="66">
        <f t="shared" si="1"/>
        <v>36213.989477668438</v>
      </c>
      <c r="I27" s="231"/>
      <c r="J27" s="1"/>
      <c r="K27" s="84" t="s">
        <v>21</v>
      </c>
      <c r="L27" s="86">
        <f>MIN(I24:I43)</f>
        <v>-2.1126416533818748E-3</v>
      </c>
      <c r="M27" s="1"/>
    </row>
    <row r="28" spans="1:14" ht="17" thickBot="1" x14ac:dyDescent="0.25">
      <c r="A28" s="68">
        <v>44621</v>
      </c>
      <c r="B28" s="46" t="s">
        <v>15</v>
      </c>
      <c r="C28" s="8">
        <v>41425.800000000003</v>
      </c>
      <c r="D28" s="76">
        <v>-1434.9897120000001</v>
      </c>
      <c r="E28" s="35">
        <v>3.4970000000000001E-2</v>
      </c>
      <c r="F28" s="8">
        <v>0</v>
      </c>
      <c r="G28" s="78">
        <f>E28*0.1/100</f>
        <v>3.4969999999999999E-5</v>
      </c>
      <c r="H28" s="8">
        <f t="shared" si="1"/>
        <v>41075.954765174101</v>
      </c>
      <c r="I28" s="230">
        <f>(H29/H28)-1</f>
        <v>4.9928851235485183E-2</v>
      </c>
      <c r="J28" s="1"/>
      <c r="K28" s="96" t="s">
        <v>22</v>
      </c>
      <c r="L28" s="97">
        <f>MAX(I24:I43)</f>
        <v>4.9928851235485183E-2</v>
      </c>
      <c r="M28" s="1"/>
    </row>
    <row r="29" spans="1:14" ht="17" thickBot="1" x14ac:dyDescent="0.25">
      <c r="A29" s="69">
        <v>44621</v>
      </c>
      <c r="B29" s="47" t="s">
        <v>11</v>
      </c>
      <c r="C29" s="15">
        <v>43170</v>
      </c>
      <c r="D29" s="77">
        <v>1509.6549</v>
      </c>
      <c r="E29" s="36">
        <v>-3.4970000000000001E-2</v>
      </c>
      <c r="F29" s="15">
        <f>D29*0.1/100</f>
        <v>1.5096549000000001</v>
      </c>
      <c r="G29" s="79">
        <v>0</v>
      </c>
      <c r="H29" s="66">
        <f t="shared" si="1"/>
        <v>43126.83</v>
      </c>
      <c r="I29" s="231"/>
      <c r="J29" s="1"/>
      <c r="K29" s="98"/>
      <c r="L29" s="98"/>
      <c r="M29" s="1"/>
    </row>
    <row r="30" spans="1:14" x14ac:dyDescent="0.2">
      <c r="A30" s="68">
        <v>44595</v>
      </c>
      <c r="B30" s="70" t="s">
        <v>7</v>
      </c>
      <c r="C30" s="25">
        <v>44027.69</v>
      </c>
      <c r="D30" s="81">
        <v>-1507.9484</v>
      </c>
      <c r="E30" s="112">
        <v>3.4250000000000003E-2</v>
      </c>
      <c r="F30" s="25">
        <v>0</v>
      </c>
      <c r="G30" s="80">
        <f>E30*0.1/100</f>
        <v>3.4250000000000006E-5</v>
      </c>
      <c r="H30" s="8">
        <f t="shared" si="1"/>
        <v>44071.762273222121</v>
      </c>
      <c r="I30" s="234">
        <f>(H31/H30)-1</f>
        <v>1.0657950886461265E-4</v>
      </c>
      <c r="J30" s="1"/>
      <c r="K30" s="98"/>
      <c r="L30" s="98"/>
      <c r="M30" s="1"/>
    </row>
    <row r="31" spans="1:14" ht="17" thickBot="1" x14ac:dyDescent="0.25">
      <c r="A31" s="69">
        <v>44595</v>
      </c>
      <c r="B31" s="47" t="s">
        <v>11</v>
      </c>
      <c r="C31" s="15">
        <v>44120.58</v>
      </c>
      <c r="D31" s="77">
        <v>1509.8062476</v>
      </c>
      <c r="E31" s="36">
        <v>-3.422E-2</v>
      </c>
      <c r="F31" s="15">
        <f>D31*0.1/100</f>
        <v>1.5098062476</v>
      </c>
      <c r="G31" s="79">
        <v>0</v>
      </c>
      <c r="H31" s="66">
        <f t="shared" si="1"/>
        <v>44076.459419999999</v>
      </c>
      <c r="I31" s="231"/>
      <c r="J31" s="1"/>
      <c r="K31" s="98"/>
      <c r="L31" s="98"/>
      <c r="M31" s="1"/>
    </row>
    <row r="32" spans="1:14" x14ac:dyDescent="0.2">
      <c r="A32" s="68">
        <v>44629</v>
      </c>
      <c r="B32" s="55" t="s">
        <v>7</v>
      </c>
      <c r="C32" s="82">
        <v>41639.54</v>
      </c>
      <c r="D32" s="76">
        <v>-1508.6005342000001</v>
      </c>
      <c r="E32" s="35">
        <v>3.6229999999999998E-2</v>
      </c>
      <c r="F32" s="82">
        <v>0</v>
      </c>
      <c r="G32" s="75">
        <f>(0.1/100)*E32</f>
        <v>3.6229999999999997E-5</v>
      </c>
      <c r="H32" s="8">
        <f>-(D32-F32)/(E32-G32)</f>
        <v>41681.221221221225</v>
      </c>
      <c r="I32" s="234">
        <f>(H33/H32)-1</f>
        <v>1.2013433966369336E-2</v>
      </c>
      <c r="J32" s="1"/>
      <c r="K32" s="98"/>
      <c r="L32" s="98"/>
      <c r="M32" s="1"/>
    </row>
    <row r="33" spans="1:13" ht="17" thickBot="1" x14ac:dyDescent="0.25">
      <c r="A33" s="69">
        <v>44630</v>
      </c>
      <c r="B33" s="47" t="s">
        <v>11</v>
      </c>
      <c r="C33" s="15">
        <v>42224.18</v>
      </c>
      <c r="D33" s="77">
        <v>1528.0930742</v>
      </c>
      <c r="E33" s="36">
        <v>-3.619E-2</v>
      </c>
      <c r="F33" s="15">
        <f>D33*0.1/100</f>
        <v>1.5280930742000001</v>
      </c>
      <c r="G33" s="74">
        <v>0</v>
      </c>
      <c r="H33" s="66">
        <f>-(D33-F33)/(E33-G33)</f>
        <v>42181.955820000003</v>
      </c>
      <c r="I33" s="231"/>
      <c r="J33" s="1"/>
      <c r="K33" s="98"/>
      <c r="L33" s="98"/>
      <c r="M33" s="1"/>
    </row>
    <row r="34" spans="1:13" x14ac:dyDescent="0.2">
      <c r="A34" s="68">
        <v>44636</v>
      </c>
      <c r="B34" s="46" t="s">
        <v>15</v>
      </c>
      <c r="C34" s="8">
        <v>39314.03</v>
      </c>
      <c r="D34" s="76">
        <v>-1527.3500655</v>
      </c>
      <c r="E34" s="35">
        <v>3.8850000000000003E-2</v>
      </c>
      <c r="F34" s="82">
        <v>0</v>
      </c>
      <c r="G34" s="75">
        <f>(0.1/100)*E34</f>
        <v>3.8850000000000002E-5</v>
      </c>
      <c r="H34" s="8">
        <f t="shared" si="1"/>
        <v>39353.383383383385</v>
      </c>
      <c r="I34" s="230">
        <f>(H35/H34)-1</f>
        <v>3.1915086039258966E-2</v>
      </c>
      <c r="J34" s="1"/>
      <c r="K34" s="98"/>
      <c r="L34" s="98"/>
      <c r="M34" s="1"/>
    </row>
    <row r="35" spans="1:13" ht="17" thickBot="1" x14ac:dyDescent="0.25">
      <c r="A35" s="69">
        <v>44636</v>
      </c>
      <c r="B35" s="87" t="s">
        <v>11</v>
      </c>
      <c r="C35" s="66">
        <v>40600</v>
      </c>
      <c r="D35" s="77">
        <v>1546.326</v>
      </c>
      <c r="E35" s="36">
        <v>-3.8039999999999997E-2</v>
      </c>
      <c r="F35" s="15">
        <f>D35*0.1/100</f>
        <v>1.5463260000000003</v>
      </c>
      <c r="G35" s="74">
        <v>0</v>
      </c>
      <c r="H35" s="66">
        <f>-(D35-F35)/(E35-G35)</f>
        <v>40609.350000000006</v>
      </c>
      <c r="I35" s="231"/>
      <c r="J35" s="1"/>
      <c r="K35" s="116" t="e">
        <f>F23+#REF!</f>
        <v>#REF!</v>
      </c>
      <c r="L35" s="1"/>
      <c r="M35" s="1"/>
    </row>
    <row r="36" spans="1:13" x14ac:dyDescent="0.2">
      <c r="A36" s="68">
        <v>44637</v>
      </c>
      <c r="B36" s="55" t="s">
        <v>7</v>
      </c>
      <c r="C36" s="8">
        <v>40592.01</v>
      </c>
      <c r="D36" s="76">
        <v>-1543.7141403000001</v>
      </c>
      <c r="E36" s="35">
        <v>3.8030000000000001E-2</v>
      </c>
      <c r="F36" s="8">
        <v>0</v>
      </c>
      <c r="G36" s="75">
        <f>(0.1/100)*E36</f>
        <v>3.803E-5</v>
      </c>
      <c r="H36" s="8">
        <f t="shared" si="1"/>
        <v>40632.642642642641</v>
      </c>
      <c r="I36" s="230">
        <f>(H37/H36)-1</f>
        <v>1.0244899673852226E-2</v>
      </c>
      <c r="J36" s="1"/>
      <c r="K36" s="124"/>
      <c r="L36" s="1"/>
      <c r="M36" s="1"/>
    </row>
    <row r="37" spans="1:13" ht="17" thickBot="1" x14ac:dyDescent="0.25">
      <c r="A37" s="69">
        <v>44637</v>
      </c>
      <c r="B37" s="87" t="s">
        <v>11</v>
      </c>
      <c r="C37" s="66">
        <v>41090.01</v>
      </c>
      <c r="D37" s="77">
        <v>1591.4160873000001</v>
      </c>
      <c r="E37" s="99">
        <v>-3.8730000000000001E-2</v>
      </c>
      <c r="F37" s="15">
        <f>D37*0.1/100</f>
        <v>1.5914160873000003</v>
      </c>
      <c r="G37" s="74">
        <v>0</v>
      </c>
      <c r="H37" s="66">
        <f>-(D37-F37)/(E37-G37)</f>
        <v>41048.919990000002</v>
      </c>
      <c r="I37" s="231"/>
      <c r="J37" s="1"/>
      <c r="K37" s="1"/>
      <c r="L37" s="1"/>
      <c r="M37" s="1"/>
    </row>
    <row r="38" spans="1:13" x14ac:dyDescent="0.2">
      <c r="A38" s="68">
        <v>44637</v>
      </c>
      <c r="B38" s="55" t="s">
        <v>7</v>
      </c>
      <c r="C38" s="8">
        <v>40878.199999999997</v>
      </c>
      <c r="D38" s="89">
        <v>-1590.979544</v>
      </c>
      <c r="E38" s="35">
        <v>3.8920000000000003E-2</v>
      </c>
      <c r="F38" s="9">
        <v>0</v>
      </c>
      <c r="G38" s="88">
        <f>(0.1/100)*E38</f>
        <v>3.8920000000000007E-5</v>
      </c>
      <c r="H38" s="8">
        <f t="shared" si="1"/>
        <v>40919.119119119117</v>
      </c>
      <c r="I38" s="230">
        <f>(H39/H38)-1</f>
        <v>2.4956202156651841E-3</v>
      </c>
      <c r="J38" s="1"/>
      <c r="K38" s="1"/>
      <c r="L38" s="1"/>
      <c r="M38" s="1"/>
    </row>
    <row r="39" spans="1:13" ht="17" thickBot="1" x14ac:dyDescent="0.25">
      <c r="A39" s="69">
        <v>44637</v>
      </c>
      <c r="B39" s="87" t="s">
        <v>11</v>
      </c>
      <c r="C39" s="66">
        <v>40878.199999999997</v>
      </c>
      <c r="D39" s="90">
        <v>1596.5022240000001</v>
      </c>
      <c r="E39" s="36">
        <v>-3.8879999999999998E-2</v>
      </c>
      <c r="F39" s="13">
        <f>D39*0.1/100</f>
        <v>1.5965022240000002</v>
      </c>
      <c r="G39" s="99">
        <v>0</v>
      </c>
      <c r="H39" s="66">
        <f>-(D39-F39)/(E39-G39)</f>
        <v>41021.237700000005</v>
      </c>
      <c r="I39" s="231"/>
      <c r="J39" s="1"/>
      <c r="K39" s="1"/>
      <c r="L39" s="1"/>
      <c r="M39" s="1"/>
    </row>
    <row r="40" spans="1:13" x14ac:dyDescent="0.2">
      <c r="A40" s="68">
        <v>44642</v>
      </c>
      <c r="B40" s="46" t="s">
        <v>15</v>
      </c>
      <c r="C40" s="35">
        <v>42222.21</v>
      </c>
      <c r="D40" s="76">
        <v>-1593.4662054</v>
      </c>
      <c r="E40" s="35">
        <v>3.7740000000000003E-2</v>
      </c>
      <c r="F40" s="110">
        <v>0</v>
      </c>
      <c r="G40" s="88">
        <f>(0.1/100)*E40</f>
        <v>3.7740000000000001E-5</v>
      </c>
      <c r="H40" s="8">
        <f t="shared" si="1"/>
        <v>42264.474474474475</v>
      </c>
      <c r="I40" s="230">
        <f>(H41/H40)-1</f>
        <v>6.6497316959486241E-3</v>
      </c>
      <c r="J40" s="1"/>
      <c r="K40" s="1"/>
      <c r="L40" s="1"/>
      <c r="M40" s="1"/>
    </row>
    <row r="41" spans="1:13" ht="17" thickBot="1" x14ac:dyDescent="0.25">
      <c r="A41" s="69">
        <v>44643</v>
      </c>
      <c r="B41" s="87" t="s">
        <v>11</v>
      </c>
      <c r="C41" s="36">
        <v>42588.11</v>
      </c>
      <c r="D41" s="77">
        <v>1605.9976280999999</v>
      </c>
      <c r="E41" s="36">
        <v>-3.771E-2</v>
      </c>
      <c r="F41" s="77">
        <f>D41*0.1/100</f>
        <v>1.6059976281000001</v>
      </c>
      <c r="G41" s="99">
        <v>0</v>
      </c>
      <c r="H41" s="66">
        <f>-(D41-F41)/(E41-G41)</f>
        <v>42545.521889999996</v>
      </c>
      <c r="I41" s="231"/>
      <c r="J41" s="1"/>
      <c r="K41" s="1"/>
      <c r="L41" s="1"/>
      <c r="M41" s="1"/>
    </row>
    <row r="42" spans="1:13" x14ac:dyDescent="0.2">
      <c r="A42" s="68">
        <v>44645</v>
      </c>
      <c r="B42" s="46" t="s">
        <v>15</v>
      </c>
      <c r="C42" s="76">
        <v>43910</v>
      </c>
      <c r="D42" s="8">
        <v>-1604.0323000000001</v>
      </c>
      <c r="E42" s="117">
        <v>3.653E-2</v>
      </c>
      <c r="F42" s="82">
        <v>0</v>
      </c>
      <c r="G42" s="88">
        <f>(0.1/100)*E42</f>
        <v>3.6529999999999998E-5</v>
      </c>
      <c r="H42" s="8">
        <f t="shared" si="1"/>
        <v>43953.953953953955</v>
      </c>
      <c r="I42" s="230">
        <f>(H43/H42)-1</f>
        <v>-2.1126416533818748E-3</v>
      </c>
      <c r="J42" s="1"/>
      <c r="K42" s="1"/>
      <c r="L42" s="1"/>
      <c r="M42" s="1"/>
    </row>
    <row r="43" spans="1:13" ht="17" thickBot="1" x14ac:dyDescent="0.25">
      <c r="A43" s="69">
        <v>44645</v>
      </c>
      <c r="B43" s="115" t="s">
        <v>11</v>
      </c>
      <c r="C43" s="77">
        <v>43905</v>
      </c>
      <c r="D43" s="15">
        <v>1602.0934500000001</v>
      </c>
      <c r="E43" s="118">
        <v>-3.6490000000000002E-2</v>
      </c>
      <c r="F43" s="15">
        <f>D43*0.1/100</f>
        <v>1.6020934500000001</v>
      </c>
      <c r="G43" s="99">
        <v>0</v>
      </c>
      <c r="H43" s="66">
        <f>-(D43-F43)/(E43-G43)</f>
        <v>43861.095000000001</v>
      </c>
      <c r="I43" s="231"/>
      <c r="J43" s="1"/>
      <c r="K43" s="1"/>
      <c r="L43" s="1"/>
      <c r="M43" s="1"/>
    </row>
    <row r="44" spans="1:13" ht="16" customHeight="1" x14ac:dyDescent="0.2">
      <c r="A44" s="241" t="s">
        <v>43</v>
      </c>
      <c r="B44" s="242"/>
      <c r="C44" s="242"/>
      <c r="D44" s="242"/>
      <c r="E44" s="242"/>
      <c r="F44" s="242"/>
      <c r="G44" s="242"/>
      <c r="H44" s="242"/>
      <c r="I44" s="243"/>
    </row>
    <row r="45" spans="1:13" x14ac:dyDescent="0.2">
      <c r="A45" s="244"/>
      <c r="B45" s="245"/>
      <c r="C45" s="245"/>
      <c r="D45" s="245"/>
      <c r="E45" s="245"/>
      <c r="F45" s="245"/>
      <c r="G45" s="245"/>
      <c r="H45" s="245"/>
      <c r="I45" s="246"/>
    </row>
    <row r="46" spans="1:13" ht="17" thickBot="1" x14ac:dyDescent="0.25">
      <c r="A46" s="247"/>
      <c r="B46" s="248"/>
      <c r="C46" s="248"/>
      <c r="D46" s="248"/>
      <c r="E46" s="248"/>
      <c r="F46" s="248"/>
      <c r="G46" s="248"/>
      <c r="H46" s="248"/>
      <c r="I46" s="249"/>
    </row>
    <row r="47" spans="1:13" x14ac:dyDescent="0.2">
      <c r="A47" s="59"/>
    </row>
    <row r="48" spans="1:13" x14ac:dyDescent="0.2">
      <c r="A48" s="59"/>
    </row>
    <row r="49" spans="1:1" x14ac:dyDescent="0.2">
      <c r="A49" s="59"/>
    </row>
    <row r="50" spans="1:1" x14ac:dyDescent="0.2">
      <c r="A50" s="59"/>
    </row>
    <row r="51" spans="1:1" x14ac:dyDescent="0.2">
      <c r="A51" s="59"/>
    </row>
    <row r="52" spans="1:1" x14ac:dyDescent="0.2">
      <c r="A52" s="59"/>
    </row>
    <row r="53" spans="1:1" x14ac:dyDescent="0.2">
      <c r="A53" s="59"/>
    </row>
    <row r="54" spans="1:1" x14ac:dyDescent="0.2">
      <c r="A54" s="59"/>
    </row>
    <row r="55" spans="1:1" x14ac:dyDescent="0.2">
      <c r="A55" s="59"/>
    </row>
    <row r="56" spans="1:1" x14ac:dyDescent="0.2">
      <c r="A56" s="59"/>
    </row>
    <row r="57" spans="1:1" x14ac:dyDescent="0.2">
      <c r="A57" s="59"/>
    </row>
    <row r="58" spans="1:1" x14ac:dyDescent="0.2">
      <c r="A58" s="59"/>
    </row>
    <row r="59" spans="1:1" x14ac:dyDescent="0.2">
      <c r="A59" s="59"/>
    </row>
    <row r="60" spans="1:1" x14ac:dyDescent="0.2">
      <c r="A60" s="59"/>
    </row>
    <row r="61" spans="1:1" x14ac:dyDescent="0.2">
      <c r="A61" s="59"/>
    </row>
    <row r="62" spans="1:1" x14ac:dyDescent="0.2">
      <c r="A62" s="59"/>
    </row>
    <row r="63" spans="1:1" x14ac:dyDescent="0.2">
      <c r="A63" s="59"/>
    </row>
    <row r="64" spans="1:1" x14ac:dyDescent="0.2">
      <c r="A64" s="59"/>
    </row>
    <row r="65" spans="1:1" x14ac:dyDescent="0.2">
      <c r="A65" s="59"/>
    </row>
    <row r="66" spans="1:1" x14ac:dyDescent="0.2">
      <c r="A66" s="59"/>
    </row>
    <row r="67" spans="1:1" x14ac:dyDescent="0.2">
      <c r="A67" s="59"/>
    </row>
    <row r="68" spans="1:1" x14ac:dyDescent="0.2">
      <c r="A68" s="59"/>
    </row>
    <row r="69" spans="1:1" x14ac:dyDescent="0.2">
      <c r="A69" s="59"/>
    </row>
    <row r="70" spans="1:1" x14ac:dyDescent="0.2">
      <c r="A70" s="59"/>
    </row>
    <row r="71" spans="1:1" x14ac:dyDescent="0.2">
      <c r="A71" s="59"/>
    </row>
    <row r="72" spans="1:1" x14ac:dyDescent="0.2">
      <c r="A72" s="59"/>
    </row>
    <row r="73" spans="1:1" x14ac:dyDescent="0.2">
      <c r="A73" s="59"/>
    </row>
    <row r="74" spans="1:1" x14ac:dyDescent="0.2">
      <c r="A74" s="59"/>
    </row>
    <row r="75" spans="1:1" x14ac:dyDescent="0.2">
      <c r="A75" s="59"/>
    </row>
    <row r="76" spans="1:1" x14ac:dyDescent="0.2">
      <c r="A76" s="59"/>
    </row>
    <row r="77" spans="1:1" x14ac:dyDescent="0.2">
      <c r="A77" s="59"/>
    </row>
    <row r="78" spans="1:1" x14ac:dyDescent="0.2">
      <c r="A78" s="59"/>
    </row>
    <row r="79" spans="1:1" x14ac:dyDescent="0.2">
      <c r="A79" s="59"/>
    </row>
    <row r="80" spans="1:1" x14ac:dyDescent="0.2">
      <c r="A80" s="59"/>
    </row>
    <row r="81" spans="1:1" x14ac:dyDescent="0.2">
      <c r="A81" s="59"/>
    </row>
    <row r="82" spans="1:1" x14ac:dyDescent="0.2">
      <c r="A82" s="59"/>
    </row>
    <row r="83" spans="1:1" x14ac:dyDescent="0.2">
      <c r="A83" s="59"/>
    </row>
    <row r="84" spans="1:1" x14ac:dyDescent="0.2">
      <c r="A84" s="59"/>
    </row>
    <row r="85" spans="1:1" x14ac:dyDescent="0.2">
      <c r="A85" s="59"/>
    </row>
    <row r="86" spans="1:1" x14ac:dyDescent="0.2">
      <c r="A86" s="59"/>
    </row>
    <row r="87" spans="1:1" x14ac:dyDescent="0.2">
      <c r="A87" s="59"/>
    </row>
    <row r="88" spans="1:1" x14ac:dyDescent="0.2">
      <c r="A88" s="59"/>
    </row>
    <row r="89" spans="1:1" x14ac:dyDescent="0.2">
      <c r="A89" s="59"/>
    </row>
    <row r="90" spans="1:1" x14ac:dyDescent="0.2">
      <c r="A90" s="59"/>
    </row>
    <row r="91" spans="1:1" x14ac:dyDescent="0.2">
      <c r="A91" s="59"/>
    </row>
    <row r="92" spans="1:1" x14ac:dyDescent="0.2">
      <c r="A92" s="59"/>
    </row>
    <row r="93" spans="1:1" x14ac:dyDescent="0.2">
      <c r="A93" s="59"/>
    </row>
    <row r="94" spans="1:1" x14ac:dyDescent="0.2">
      <c r="A94" s="59"/>
    </row>
    <row r="95" spans="1:1" x14ac:dyDescent="0.2">
      <c r="A95" s="59"/>
    </row>
    <row r="96" spans="1:1" x14ac:dyDescent="0.2">
      <c r="A96" s="59"/>
    </row>
    <row r="97" spans="1:1" x14ac:dyDescent="0.2">
      <c r="A97" s="59"/>
    </row>
    <row r="98" spans="1:1" x14ac:dyDescent="0.2">
      <c r="A98" s="59"/>
    </row>
    <row r="99" spans="1:1" x14ac:dyDescent="0.2">
      <c r="A99" s="59"/>
    </row>
    <row r="100" spans="1:1" x14ac:dyDescent="0.2">
      <c r="A100" s="59"/>
    </row>
    <row r="101" spans="1:1" x14ac:dyDescent="0.2">
      <c r="A101" s="59"/>
    </row>
    <row r="102" spans="1:1" x14ac:dyDescent="0.2">
      <c r="A102" s="59"/>
    </row>
    <row r="103" spans="1:1" x14ac:dyDescent="0.2">
      <c r="A103" s="59"/>
    </row>
    <row r="104" spans="1:1" x14ac:dyDescent="0.2">
      <c r="A104" s="59"/>
    </row>
    <row r="105" spans="1:1" x14ac:dyDescent="0.2">
      <c r="A105" s="59"/>
    </row>
    <row r="106" spans="1:1" x14ac:dyDescent="0.2">
      <c r="A106" s="59"/>
    </row>
    <row r="107" spans="1:1" x14ac:dyDescent="0.2">
      <c r="A107" s="59"/>
    </row>
    <row r="108" spans="1:1" x14ac:dyDescent="0.2">
      <c r="A108" s="59"/>
    </row>
    <row r="109" spans="1:1" x14ac:dyDescent="0.2">
      <c r="A109" s="59"/>
    </row>
    <row r="110" spans="1:1" x14ac:dyDescent="0.2">
      <c r="A110" s="59"/>
    </row>
    <row r="111" spans="1:1" x14ac:dyDescent="0.2">
      <c r="A111" s="59"/>
    </row>
    <row r="112" spans="1:1" x14ac:dyDescent="0.2">
      <c r="A112" s="59"/>
    </row>
    <row r="113" spans="1:1" x14ac:dyDescent="0.2">
      <c r="A113" s="59"/>
    </row>
    <row r="114" spans="1:1" x14ac:dyDescent="0.2">
      <c r="A114" s="59"/>
    </row>
    <row r="115" spans="1:1" x14ac:dyDescent="0.2">
      <c r="A115" s="59"/>
    </row>
    <row r="116" spans="1:1" x14ac:dyDescent="0.2">
      <c r="A116" s="59"/>
    </row>
    <row r="117" spans="1:1" x14ac:dyDescent="0.2">
      <c r="A117" s="59"/>
    </row>
    <row r="118" spans="1:1" x14ac:dyDescent="0.2">
      <c r="A118" s="59"/>
    </row>
    <row r="119" spans="1:1" x14ac:dyDescent="0.2">
      <c r="A119" s="59"/>
    </row>
    <row r="120" spans="1:1" x14ac:dyDescent="0.2">
      <c r="A120" s="59"/>
    </row>
    <row r="121" spans="1:1" x14ac:dyDescent="0.2">
      <c r="A121" s="59"/>
    </row>
    <row r="122" spans="1:1" x14ac:dyDescent="0.2">
      <c r="A122" s="59"/>
    </row>
    <row r="123" spans="1:1" x14ac:dyDescent="0.2">
      <c r="A123" s="59"/>
    </row>
    <row r="124" spans="1:1" x14ac:dyDescent="0.2">
      <c r="A124" s="59"/>
    </row>
    <row r="125" spans="1:1" x14ac:dyDescent="0.2">
      <c r="A125" s="59"/>
    </row>
    <row r="126" spans="1:1" x14ac:dyDescent="0.2">
      <c r="A126" s="59"/>
    </row>
    <row r="127" spans="1:1" x14ac:dyDescent="0.2">
      <c r="A127" s="59"/>
    </row>
    <row r="128" spans="1:1" x14ac:dyDescent="0.2">
      <c r="A128" s="59"/>
    </row>
    <row r="129" spans="1:1" x14ac:dyDescent="0.2">
      <c r="A129" s="59"/>
    </row>
    <row r="130" spans="1:1" x14ac:dyDescent="0.2">
      <c r="A130" s="59"/>
    </row>
    <row r="131" spans="1:1" x14ac:dyDescent="0.2">
      <c r="A131" s="59"/>
    </row>
    <row r="132" spans="1:1" x14ac:dyDescent="0.2">
      <c r="A132" s="59"/>
    </row>
    <row r="133" spans="1:1" x14ac:dyDescent="0.2">
      <c r="A133" s="59"/>
    </row>
    <row r="134" spans="1:1" x14ac:dyDescent="0.2">
      <c r="A134" s="59"/>
    </row>
    <row r="135" spans="1:1" x14ac:dyDescent="0.2">
      <c r="A135" s="59"/>
    </row>
    <row r="136" spans="1:1" x14ac:dyDescent="0.2">
      <c r="A136" s="59"/>
    </row>
    <row r="137" spans="1:1" x14ac:dyDescent="0.2">
      <c r="A137" s="59"/>
    </row>
    <row r="138" spans="1:1" x14ac:dyDescent="0.2">
      <c r="A138" s="59"/>
    </row>
    <row r="139" spans="1:1" x14ac:dyDescent="0.2">
      <c r="A139" s="59"/>
    </row>
    <row r="140" spans="1:1" x14ac:dyDescent="0.2">
      <c r="A140" s="59"/>
    </row>
  </sheetData>
  <mergeCells count="23">
    <mergeCell ref="A44:I46"/>
    <mergeCell ref="I42:I43"/>
    <mergeCell ref="I32:I33"/>
    <mergeCell ref="I15:I16"/>
    <mergeCell ref="I17:I18"/>
    <mergeCell ref="I19:I20"/>
    <mergeCell ref="I40:I41"/>
    <mergeCell ref="I38:I39"/>
    <mergeCell ref="I28:I29"/>
    <mergeCell ref="I30:I31"/>
    <mergeCell ref="I24:I25"/>
    <mergeCell ref="I26:I27"/>
    <mergeCell ref="I34:I35"/>
    <mergeCell ref="I36:I37"/>
    <mergeCell ref="K23:L23"/>
    <mergeCell ref="I11:I12"/>
    <mergeCell ref="F1:G1"/>
    <mergeCell ref="D1:E1"/>
    <mergeCell ref="I3:I4"/>
    <mergeCell ref="I5:I6"/>
    <mergeCell ref="I7:I10"/>
    <mergeCell ref="I13:I14"/>
    <mergeCell ref="A21:I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F1ACD-A1FE-FD41-890F-9B3BB73AFEF5}">
  <dimension ref="A1:P48"/>
  <sheetViews>
    <sheetView tabSelected="1" zoomScale="75" workbookViewId="0">
      <selection activeCell="N24" sqref="N24"/>
    </sheetView>
  </sheetViews>
  <sheetFormatPr baseColWidth="10" defaultRowHeight="16" x14ac:dyDescent="0.2"/>
  <cols>
    <col min="1" max="1" width="14.1640625" customWidth="1"/>
    <col min="4" max="4" width="12.83203125" customWidth="1"/>
    <col min="5" max="5" width="11.1640625" bestFit="1" customWidth="1"/>
    <col min="7" max="7" width="12.1640625" customWidth="1"/>
    <col min="8" max="8" width="10.83203125" style="155"/>
    <col min="12" max="12" width="19.1640625" customWidth="1"/>
    <col min="13" max="13" width="18" customWidth="1"/>
    <col min="15" max="15" width="12.1640625" bestFit="1" customWidth="1"/>
  </cols>
  <sheetData>
    <row r="1" spans="1:16" x14ac:dyDescent="0.2">
      <c r="A1" s="60"/>
      <c r="B1" s="60" t="s">
        <v>50</v>
      </c>
      <c r="C1" s="60" t="s">
        <v>51</v>
      </c>
    </row>
    <row r="2" spans="1:16" x14ac:dyDescent="0.2">
      <c r="A2" t="s">
        <v>26</v>
      </c>
      <c r="B2" s="109">
        <v>3000.64</v>
      </c>
      <c r="C2" s="208">
        <v>6140</v>
      </c>
    </row>
    <row r="3" spans="1:16" x14ac:dyDescent="0.2">
      <c r="A3" t="s">
        <v>27</v>
      </c>
      <c r="B3" s="109">
        <f>8400*P16</f>
        <v>2787.3410956017019</v>
      </c>
      <c r="C3" s="208">
        <f>8400*P17</f>
        <v>5612.6589043982976</v>
      </c>
      <c r="E3" s="109">
        <f>B3+C3</f>
        <v>8400</v>
      </c>
    </row>
    <row r="4" spans="1:16" x14ac:dyDescent="0.2">
      <c r="A4" t="s">
        <v>28</v>
      </c>
      <c r="B4" s="120">
        <f>(B3/B2)-1</f>
        <v>-7.1084470112475318E-2</v>
      </c>
      <c r="C4" s="120">
        <f>(C3/C2)-1</f>
        <v>-8.5886171922101351E-2</v>
      </c>
    </row>
    <row r="6" spans="1:16" ht="17" thickBot="1" x14ac:dyDescent="0.25"/>
    <row r="7" spans="1:16" ht="17" thickBot="1" x14ac:dyDescent="0.25">
      <c r="A7" s="152"/>
      <c r="B7" s="262" t="s">
        <v>8</v>
      </c>
      <c r="C7" s="263"/>
      <c r="D7" s="262" t="s">
        <v>6</v>
      </c>
      <c r="E7" s="263"/>
      <c r="F7" s="269" t="s">
        <v>4</v>
      </c>
      <c r="G7" s="263"/>
      <c r="H7" s="264" t="s">
        <v>55</v>
      </c>
      <c r="I7" s="229"/>
      <c r="J7" s="265" t="s">
        <v>29</v>
      </c>
      <c r="K7" s="266"/>
      <c r="L7" s="1"/>
      <c r="M7" s="270" t="s">
        <v>42</v>
      </c>
      <c r="N7" s="271"/>
    </row>
    <row r="8" spans="1:16" ht="17" thickBot="1" x14ac:dyDescent="0.25">
      <c r="A8" s="135" t="s">
        <v>0</v>
      </c>
      <c r="B8" s="126" t="s">
        <v>1</v>
      </c>
      <c r="C8" s="127" t="s">
        <v>9</v>
      </c>
      <c r="D8" s="126" t="s">
        <v>2</v>
      </c>
      <c r="E8" s="127" t="s">
        <v>3</v>
      </c>
      <c r="F8" s="125" t="s">
        <v>5</v>
      </c>
      <c r="G8" s="125" t="s">
        <v>3</v>
      </c>
      <c r="H8" s="156" t="s">
        <v>9</v>
      </c>
      <c r="I8" s="125" t="s">
        <v>12</v>
      </c>
      <c r="J8" s="267"/>
      <c r="K8" s="268"/>
      <c r="L8" s="1"/>
      <c r="M8" s="35" t="s">
        <v>39</v>
      </c>
      <c r="N8" s="3">
        <v>1</v>
      </c>
    </row>
    <row r="9" spans="1:16" x14ac:dyDescent="0.2">
      <c r="A9" s="68">
        <v>44651</v>
      </c>
      <c r="B9" s="154" t="s">
        <v>7</v>
      </c>
      <c r="C9" s="82">
        <v>47667.07</v>
      </c>
      <c r="D9" s="187">
        <v>-3000.6420564999999</v>
      </c>
      <c r="E9" s="130">
        <v>6.2950000000000006E-2</v>
      </c>
      <c r="F9" s="39">
        <v>0</v>
      </c>
      <c r="G9" s="157">
        <f>E9*(0.1/100)</f>
        <v>6.2950000000000012E-5</v>
      </c>
      <c r="H9" s="34">
        <f t="shared" ref="H9:H18" si="0">-(D9-F9)/(E9-G9)</f>
        <v>47714.784784784781</v>
      </c>
      <c r="I9" s="250">
        <f>(H10/H9)-1</f>
        <v>-2.2246454418112793E-2</v>
      </c>
      <c r="J9" s="272" t="s">
        <v>31</v>
      </c>
      <c r="K9" s="273"/>
      <c r="L9" s="1"/>
      <c r="M9" s="133" t="s">
        <v>40</v>
      </c>
      <c r="N9" s="38">
        <v>3</v>
      </c>
    </row>
    <row r="10" spans="1:16" ht="17" thickBot="1" x14ac:dyDescent="0.25">
      <c r="A10" s="69">
        <v>44651</v>
      </c>
      <c r="B10" s="185" t="s">
        <v>30</v>
      </c>
      <c r="C10" s="15">
        <v>46700</v>
      </c>
      <c r="D10" s="188">
        <v>2938.8310000000001</v>
      </c>
      <c r="E10" s="131">
        <v>-6.293E-2</v>
      </c>
      <c r="F10" s="40">
        <f>0.1%*D10</f>
        <v>2.938831</v>
      </c>
      <c r="G10" s="158">
        <v>0</v>
      </c>
      <c r="H10" s="33">
        <f t="shared" si="0"/>
        <v>46653.3</v>
      </c>
      <c r="I10" s="251"/>
      <c r="J10" s="274"/>
      <c r="K10" s="275"/>
      <c r="L10" s="1"/>
      <c r="M10" s="112" t="s">
        <v>35</v>
      </c>
      <c r="N10" s="86">
        <f>MAX(I9:I40)</f>
        <v>4.3104107064699138E-2</v>
      </c>
    </row>
    <row r="11" spans="1:16" x14ac:dyDescent="0.2">
      <c r="A11" s="68">
        <v>44652.583391203705</v>
      </c>
      <c r="B11" s="154" t="s">
        <v>7</v>
      </c>
      <c r="C11" s="82">
        <v>44803.71</v>
      </c>
      <c r="D11" s="187">
        <v>-2935.9871162999998</v>
      </c>
      <c r="E11" s="130">
        <v>6.5530000000000005E-2</v>
      </c>
      <c r="F11" s="39">
        <v>0</v>
      </c>
      <c r="G11" s="157">
        <f>E11*(0.1/100)</f>
        <v>6.5530000000000004E-5</v>
      </c>
      <c r="H11" s="34">
        <f t="shared" si="0"/>
        <v>44848.55855855855</v>
      </c>
      <c r="I11" s="250">
        <f>(H12/H11)-1</f>
        <v>3.6931399016510325E-2</v>
      </c>
      <c r="J11" s="252" t="s">
        <v>41</v>
      </c>
      <c r="K11" s="253"/>
      <c r="L11" s="1"/>
      <c r="M11" s="112" t="s">
        <v>36</v>
      </c>
      <c r="N11" s="86">
        <f>MIN(I8:I42)</f>
        <v>-3.2075327741098558E-2</v>
      </c>
    </row>
    <row r="12" spans="1:16" ht="17" thickBot="1" x14ac:dyDescent="0.25">
      <c r="A12" s="69">
        <v>44653.666724537034</v>
      </c>
      <c r="B12" s="185" t="s">
        <v>30</v>
      </c>
      <c r="C12" s="15">
        <v>46551.43</v>
      </c>
      <c r="D12" s="188">
        <v>3043.9980077</v>
      </c>
      <c r="E12" s="131">
        <v>-6.5390000000000004E-2</v>
      </c>
      <c r="F12" s="40">
        <f>0.1%*D12</f>
        <v>3.0439980077</v>
      </c>
      <c r="G12" s="158">
        <v>0</v>
      </c>
      <c r="H12" s="33">
        <f t="shared" si="0"/>
        <v>46504.878570000001</v>
      </c>
      <c r="I12" s="251"/>
      <c r="J12" s="254"/>
      <c r="K12" s="255"/>
      <c r="L12" s="1"/>
      <c r="M12" s="112" t="s">
        <v>37</v>
      </c>
      <c r="N12" s="86">
        <f>AVERAGE(I9:I42)</f>
        <v>9.6544811942104547E-4</v>
      </c>
    </row>
    <row r="13" spans="1:16" ht="17" thickBot="1" x14ac:dyDescent="0.25">
      <c r="A13" s="68">
        <v>44654.541701388887</v>
      </c>
      <c r="B13" s="154" t="s">
        <v>7</v>
      </c>
      <c r="C13" s="82">
        <v>46358.1</v>
      </c>
      <c r="D13" s="187">
        <f>-3005.859204 - 34.768575</f>
        <v>-3040.6277789999999</v>
      </c>
      <c r="E13" s="130">
        <f>0.06484+0.00075</f>
        <v>6.5589999999999996E-2</v>
      </c>
      <c r="F13" s="39">
        <v>0</v>
      </c>
      <c r="G13" s="157">
        <f>E13*(0.1/100)</f>
        <v>6.5590000000000001E-5</v>
      </c>
      <c r="H13" s="34">
        <f t="shared" si="0"/>
        <v>46404.504504504512</v>
      </c>
      <c r="I13" s="250">
        <f>(H14/H13)-1</f>
        <v>-1.3092636178143602E-2</v>
      </c>
      <c r="J13" s="252" t="s">
        <v>32</v>
      </c>
      <c r="K13" s="253"/>
      <c r="L13" s="1"/>
      <c r="M13" s="134" t="s">
        <v>38</v>
      </c>
      <c r="N13" s="164">
        <f>_xlfn.STDEV.S(I9:I42)</f>
        <v>2.4493915150106467E-2</v>
      </c>
    </row>
    <row r="14" spans="1:16" ht="17" thickBot="1" x14ac:dyDescent="0.25">
      <c r="A14" s="69">
        <v>44655.37804398148</v>
      </c>
      <c r="B14" s="185" t="s">
        <v>30</v>
      </c>
      <c r="C14" s="15">
        <v>45842.79</v>
      </c>
      <c r="D14" s="188">
        <v>3006.8285961000001</v>
      </c>
      <c r="E14" s="131">
        <v>-6.5589999999999996E-2</v>
      </c>
      <c r="F14" s="40">
        <f>0.1%*D14</f>
        <v>3.0068285961000001</v>
      </c>
      <c r="G14" s="158">
        <v>0</v>
      </c>
      <c r="H14" s="33">
        <f t="shared" si="0"/>
        <v>45796.947210000006</v>
      </c>
      <c r="I14" s="251"/>
      <c r="J14" s="254"/>
      <c r="K14" s="255"/>
      <c r="L14" s="1"/>
    </row>
    <row r="15" spans="1:16" ht="17" thickBot="1" x14ac:dyDescent="0.25">
      <c r="A15" s="68">
        <v>44655.920335648145</v>
      </c>
      <c r="B15" s="154" t="s">
        <v>7</v>
      </c>
      <c r="C15" s="82">
        <v>45837.55</v>
      </c>
      <c r="D15" s="187">
        <v>-3003.7346514999999</v>
      </c>
      <c r="E15" s="130">
        <v>6.5530000000000005E-2</v>
      </c>
      <c r="F15" s="39">
        <v>0</v>
      </c>
      <c r="G15" s="157">
        <f>E15*(0.1/100)</f>
        <v>6.5530000000000004E-5</v>
      </c>
      <c r="H15" s="34">
        <f t="shared" si="0"/>
        <v>45883.433433433427</v>
      </c>
      <c r="I15" s="250">
        <f>(H18/H15)-1</f>
        <v>1.4605843723544787E-2</v>
      </c>
      <c r="J15" s="283" t="s">
        <v>34</v>
      </c>
      <c r="K15" s="253"/>
      <c r="L15" s="1"/>
      <c r="M15" s="276" t="s">
        <v>47</v>
      </c>
      <c r="N15" s="277"/>
      <c r="O15" s="277"/>
      <c r="P15" s="278"/>
    </row>
    <row r="16" spans="1:16" x14ac:dyDescent="0.2">
      <c r="A16" s="72"/>
      <c r="B16" s="148" t="s">
        <v>33</v>
      </c>
      <c r="C16" s="129">
        <v>46600</v>
      </c>
      <c r="D16" s="189">
        <v>2989.8560000000002</v>
      </c>
      <c r="E16" s="132">
        <v>-6.4159999999999995E-2</v>
      </c>
      <c r="F16" s="153">
        <f>0.1%*D16</f>
        <v>2.9898560000000001</v>
      </c>
      <c r="G16" s="159">
        <v>0</v>
      </c>
      <c r="H16" s="128">
        <f t="shared" si="0"/>
        <v>46553.4</v>
      </c>
      <c r="I16" s="279"/>
      <c r="J16" s="284"/>
      <c r="K16" s="282"/>
      <c r="L16" s="1"/>
      <c r="M16" s="21" t="s">
        <v>44</v>
      </c>
      <c r="N16" s="136">
        <v>6.6976839999999996E-2</v>
      </c>
      <c r="O16" s="98" t="s">
        <v>3</v>
      </c>
      <c r="P16" s="85">
        <f>N16/N18</f>
        <v>0.3318263209049645</v>
      </c>
    </row>
    <row r="17" spans="1:16" x14ac:dyDescent="0.2">
      <c r="A17" s="72"/>
      <c r="B17" s="148" t="s">
        <v>33</v>
      </c>
      <c r="C17" s="129">
        <v>46609.99</v>
      </c>
      <c r="D17" s="189">
        <v>61.059086899999997</v>
      </c>
      <c r="E17" s="132">
        <v>-1.31E-3</v>
      </c>
      <c r="F17" s="153">
        <f>0.1%*D17</f>
        <v>6.1059086899999997E-2</v>
      </c>
      <c r="G17" s="160">
        <v>0</v>
      </c>
      <c r="H17" s="128">
        <f t="shared" si="0"/>
        <v>46563.380010000001</v>
      </c>
      <c r="I17" s="279"/>
      <c r="J17" s="284"/>
      <c r="K17" s="282"/>
      <c r="L17" s="1"/>
      <c r="M17" s="84" t="s">
        <v>46</v>
      </c>
      <c r="N17" s="137">
        <f>N18-N16</f>
        <v>0.13486621999999998</v>
      </c>
      <c r="O17" s="61" t="s">
        <v>3</v>
      </c>
      <c r="P17" s="139">
        <f>N17/N18</f>
        <v>0.66817367909503544</v>
      </c>
    </row>
    <row r="18" spans="1:16" ht="17" thickBot="1" x14ac:dyDescent="0.25">
      <c r="A18" s="69">
        <v>44656.287743055553</v>
      </c>
      <c r="B18" s="185" t="s">
        <v>30</v>
      </c>
      <c r="C18" s="15">
        <f>(C16*D16+C17*D17)/SUM(D16:D17)</f>
        <v>46600.199933548058</v>
      </c>
      <c r="D18" s="188">
        <f>SUM(D16:D17)</f>
        <v>3050.9150869</v>
      </c>
      <c r="E18" s="131">
        <f>SUM(E16:E17)</f>
        <v>-6.547E-2</v>
      </c>
      <c r="F18" s="40">
        <f>0.1%*D18</f>
        <v>3.0509150868999999</v>
      </c>
      <c r="G18" s="158">
        <v>0</v>
      </c>
      <c r="H18" s="33">
        <f t="shared" si="0"/>
        <v>46553.599691661824</v>
      </c>
      <c r="I18" s="251"/>
      <c r="J18" s="285"/>
      <c r="K18" s="255"/>
      <c r="L18" s="1"/>
      <c r="M18" s="135" t="s">
        <v>45</v>
      </c>
      <c r="N18" s="138">
        <v>0.20184305999999999</v>
      </c>
      <c r="O18" s="118" t="s">
        <v>3</v>
      </c>
      <c r="P18" s="32"/>
    </row>
    <row r="19" spans="1:16" x14ac:dyDescent="0.2">
      <c r="A19" s="68">
        <v>44657</v>
      </c>
      <c r="B19" s="147" t="s">
        <v>49</v>
      </c>
      <c r="C19" s="143">
        <v>45466.48</v>
      </c>
      <c r="D19" s="190">
        <v>-3048.0728192000001</v>
      </c>
      <c r="E19" s="145">
        <v>6.7040000000000002E-2</v>
      </c>
      <c r="F19" s="144">
        <v>0</v>
      </c>
      <c r="G19" s="161">
        <f>E19*(0.1/100)</f>
        <v>6.7040000000000009E-5</v>
      </c>
      <c r="H19" s="144">
        <f t="shared" ref="H19" si="1">-(D19-F19)/(E19-G19)</f>
        <v>45511.991991991992</v>
      </c>
      <c r="I19" s="250">
        <f>(H22/H21)-1</f>
        <v>-3.2075327741098558E-2</v>
      </c>
      <c r="J19" s="280" t="s">
        <v>52</v>
      </c>
      <c r="K19" s="253"/>
      <c r="L19" s="1"/>
    </row>
    <row r="20" spans="1:16" x14ac:dyDescent="0.2">
      <c r="A20" s="21"/>
      <c r="B20" s="148" t="s">
        <v>48</v>
      </c>
      <c r="C20" s="129">
        <v>45475.22</v>
      </c>
      <c r="D20" s="189">
        <v>-6140</v>
      </c>
      <c r="E20" s="132">
        <v>0.13501858999999999</v>
      </c>
      <c r="F20" s="128">
        <v>0</v>
      </c>
      <c r="G20" s="162">
        <f>E20*(0.1/100)</f>
        <v>1.3501858999999999E-4</v>
      </c>
      <c r="H20" s="128">
        <f t="shared" ref="H20" si="2">-(D20-F20)/(E20-G20)</f>
        <v>45520.740115462228</v>
      </c>
      <c r="I20" s="279"/>
      <c r="J20" s="281"/>
      <c r="K20" s="282"/>
      <c r="L20" s="1"/>
    </row>
    <row r="21" spans="1:16" x14ac:dyDescent="0.2">
      <c r="A21" s="21"/>
      <c r="B21" s="149" t="s">
        <v>7</v>
      </c>
      <c r="C21" s="22">
        <f>(C19*D19+C20*D20)/SUM(D19:D20)</f>
        <v>45472.320571908378</v>
      </c>
      <c r="D21" s="191">
        <f>SUM(D19:D20)</f>
        <v>-9188.0728192000006</v>
      </c>
      <c r="E21" s="141">
        <f>SUM(E19:E20)</f>
        <v>0.20205858999999998</v>
      </c>
      <c r="F21" s="140">
        <v>0</v>
      </c>
      <c r="G21" s="163">
        <f>SUM(G19:G20)</f>
        <v>2.0205859E-4</v>
      </c>
      <c r="H21" s="142">
        <f>-(D21-F21)/(E21-G21)</f>
        <v>45517.837619718572</v>
      </c>
      <c r="I21" s="279"/>
      <c r="J21" s="281"/>
      <c r="K21" s="282"/>
      <c r="L21" s="1"/>
    </row>
    <row r="22" spans="1:16" ht="17" thickBot="1" x14ac:dyDescent="0.25">
      <c r="A22" s="69">
        <f>A19</f>
        <v>44657</v>
      </c>
      <c r="B22" s="146" t="s">
        <v>30</v>
      </c>
      <c r="C22" s="36">
        <v>44101.94</v>
      </c>
      <c r="D22" s="13">
        <v>8902.4176083999992</v>
      </c>
      <c r="E22" s="36">
        <v>-0.20186000000000001</v>
      </c>
      <c r="F22" s="40">
        <f>0.1%*D22</f>
        <v>8.9024176083999986</v>
      </c>
      <c r="G22" s="158">
        <v>0</v>
      </c>
      <c r="H22" s="33">
        <f>-(D22-F22)/(E22-G22)</f>
        <v>44057.838059999995</v>
      </c>
      <c r="I22" s="251"/>
      <c r="J22" s="254"/>
      <c r="K22" s="255"/>
      <c r="L22" s="1"/>
    </row>
    <row r="23" spans="1:16" x14ac:dyDescent="0.2">
      <c r="A23" s="68">
        <v>44658</v>
      </c>
      <c r="B23" s="150" t="s">
        <v>7</v>
      </c>
      <c r="C23" s="45">
        <v>43406.78</v>
      </c>
      <c r="D23" s="102">
        <v>-8887.1041372</v>
      </c>
      <c r="E23" s="45">
        <v>0.20474000000000001</v>
      </c>
      <c r="F23" s="144">
        <v>0</v>
      </c>
      <c r="G23" s="161">
        <f>E23*(0.1/100)</f>
        <v>2.0474000000000002E-4</v>
      </c>
      <c r="H23" s="34">
        <f t="shared" ref="H23" si="3">-(D23-F23)/(E23-G23)</f>
        <v>43450.230230230234</v>
      </c>
      <c r="I23" s="250">
        <f>(H24/H23)-1</f>
        <v>-4.0657349637546192E-3</v>
      </c>
      <c r="J23" s="252" t="s">
        <v>53</v>
      </c>
      <c r="K23" s="253"/>
      <c r="L23" s="1"/>
    </row>
    <row r="24" spans="1:16" ht="17" thickBot="1" x14ac:dyDescent="0.25">
      <c r="A24" s="69">
        <v>44659</v>
      </c>
      <c r="B24" s="146" t="s">
        <v>30</v>
      </c>
      <c r="C24" s="36">
        <v>43316.89</v>
      </c>
      <c r="D24" s="13">
        <v>8850.9401336999999</v>
      </c>
      <c r="E24" s="36">
        <v>-0.20433000000000001</v>
      </c>
      <c r="F24" s="40">
        <f>0.1%*D24</f>
        <v>8.8509401337</v>
      </c>
      <c r="G24" s="158">
        <v>0</v>
      </c>
      <c r="H24" s="33">
        <f>-(D24-F24)/(E24-G24)</f>
        <v>43273.573109999998</v>
      </c>
      <c r="I24" s="251"/>
      <c r="J24" s="254"/>
      <c r="K24" s="255"/>
      <c r="L24" s="1"/>
    </row>
    <row r="25" spans="1:16" x14ac:dyDescent="0.2">
      <c r="A25" s="72">
        <v>44660</v>
      </c>
      <c r="B25" s="151" t="s">
        <v>7</v>
      </c>
      <c r="C25" s="192">
        <v>42586.04</v>
      </c>
      <c r="D25" s="37">
        <v>-8842.9912060000006</v>
      </c>
      <c r="E25" s="192">
        <v>0.20765</v>
      </c>
      <c r="F25" s="144">
        <v>0</v>
      </c>
      <c r="G25" s="161">
        <f>E25*(0.1/100)</f>
        <v>2.0765000000000001E-4</v>
      </c>
      <c r="H25" s="34">
        <f t="shared" ref="H25" si="4">-(D25-F25)/(E25-G25)</f>
        <v>42628.668668668673</v>
      </c>
      <c r="I25" s="250">
        <f>(H26/H25)-1</f>
        <v>-1.1783084584995551E-2</v>
      </c>
      <c r="J25" s="252" t="s">
        <v>32</v>
      </c>
      <c r="K25" s="253"/>
      <c r="L25" s="1"/>
    </row>
    <row r="26" spans="1:16" ht="17" thickBot="1" x14ac:dyDescent="0.25">
      <c r="A26" s="69">
        <v>44662</v>
      </c>
      <c r="B26" s="185" t="s">
        <v>30</v>
      </c>
      <c r="C26" s="36">
        <v>42168.54</v>
      </c>
      <c r="D26" s="13">
        <v>8747.4419376000005</v>
      </c>
      <c r="E26" s="36">
        <v>-0.20744000000000001</v>
      </c>
      <c r="F26" s="40">
        <f>0.1%*D26</f>
        <v>8.7474419376000014</v>
      </c>
      <c r="G26" s="158">
        <v>0</v>
      </c>
      <c r="H26" s="33">
        <f t="shared" ref="H26:H32" si="5">-(D26-F26)/(E26-G26)</f>
        <v>42126.371460000002</v>
      </c>
      <c r="I26" s="251"/>
      <c r="J26" s="254"/>
      <c r="K26" s="255"/>
      <c r="L26" s="1"/>
    </row>
    <row r="27" spans="1:16" x14ac:dyDescent="0.2">
      <c r="A27" s="68">
        <v>44663</v>
      </c>
      <c r="B27" s="150" t="s">
        <v>7</v>
      </c>
      <c r="C27" s="45">
        <v>39490</v>
      </c>
      <c r="D27" s="102">
        <v>-8738.7420999999995</v>
      </c>
      <c r="E27" s="45">
        <v>0.22128999999999999</v>
      </c>
      <c r="F27" s="144">
        <v>0</v>
      </c>
      <c r="G27" s="161">
        <f>E27*(0.1/100)</f>
        <v>2.2128999999999999E-4</v>
      </c>
      <c r="H27" s="34">
        <f t="shared" si="5"/>
        <v>39529.529529529529</v>
      </c>
      <c r="I27" s="250">
        <f>(H28/H27)-1</f>
        <v>4.3104107064699138E-2</v>
      </c>
      <c r="J27" s="272" t="s">
        <v>54</v>
      </c>
      <c r="K27" s="273"/>
      <c r="L27" s="1"/>
    </row>
    <row r="28" spans="1:16" ht="17" thickBot="1" x14ac:dyDescent="0.25">
      <c r="A28" s="69">
        <v>44665</v>
      </c>
      <c r="B28" s="146" t="s">
        <v>30</v>
      </c>
      <c r="C28" s="36">
        <v>41278.42</v>
      </c>
      <c r="D28" s="13">
        <v>9133.6759934000002</v>
      </c>
      <c r="E28" s="36">
        <v>-0.22128999999999999</v>
      </c>
      <c r="F28" s="40">
        <f>0.1%*D28</f>
        <v>9.1336759934000007</v>
      </c>
      <c r="G28" s="158">
        <v>0</v>
      </c>
      <c r="H28" s="33">
        <f t="shared" si="5"/>
        <v>41233.41460258756</v>
      </c>
      <c r="I28" s="251"/>
      <c r="J28" s="274"/>
      <c r="K28" s="275"/>
      <c r="L28" s="1"/>
    </row>
    <row r="29" spans="1:16" x14ac:dyDescent="0.2">
      <c r="A29" s="68">
        <v>44666</v>
      </c>
      <c r="B29" s="194" t="s">
        <v>7</v>
      </c>
      <c r="C29" s="3">
        <v>40133.24</v>
      </c>
      <c r="D29" s="102">
        <v>-9123.8907815999992</v>
      </c>
      <c r="E29" s="193">
        <v>0.22733999999999999</v>
      </c>
      <c r="F29" s="144">
        <v>0</v>
      </c>
      <c r="G29" s="161">
        <f>E29*(0.1/100)</f>
        <v>2.2734E-4</v>
      </c>
      <c r="H29" s="34">
        <f t="shared" si="5"/>
        <v>40173.413413413407</v>
      </c>
      <c r="I29" s="250">
        <f>(H30/H29)-1</f>
        <v>-8.2344484898303483E-3</v>
      </c>
      <c r="J29" s="272" t="s">
        <v>73</v>
      </c>
      <c r="K29" s="273"/>
      <c r="L29" s="1"/>
    </row>
    <row r="30" spans="1:16" ht="17" thickBot="1" x14ac:dyDescent="0.25">
      <c r="A30" s="69">
        <v>44669</v>
      </c>
      <c r="B30" s="195" t="s">
        <v>30</v>
      </c>
      <c r="C30" s="32">
        <v>39882.49</v>
      </c>
      <c r="D30" s="13">
        <v>9048.9381560999991</v>
      </c>
      <c r="E30" s="36">
        <v>-0.22689000000000001</v>
      </c>
      <c r="F30" s="40">
        <f>0.1%*D30</f>
        <v>9.0489381560999984</v>
      </c>
      <c r="G30" s="158">
        <v>0</v>
      </c>
      <c r="H30" s="33">
        <f t="shared" si="5"/>
        <v>39842.607509999994</v>
      </c>
      <c r="I30" s="251"/>
      <c r="J30" s="274"/>
      <c r="K30" s="275"/>
      <c r="L30" s="1"/>
    </row>
    <row r="31" spans="1:16" ht="29" customHeight="1" x14ac:dyDescent="0.2">
      <c r="A31" s="199">
        <v>44669</v>
      </c>
      <c r="B31" s="186" t="s">
        <v>7</v>
      </c>
      <c r="C31" s="200">
        <v>39248.04</v>
      </c>
      <c r="D31" s="211">
        <v>-9040.0010531999997</v>
      </c>
      <c r="E31" s="196">
        <v>0.23033000000000001</v>
      </c>
      <c r="F31" s="201">
        <v>0</v>
      </c>
      <c r="G31" s="202">
        <f>E31*(0.1/100)</f>
        <v>2.3033E-4</v>
      </c>
      <c r="H31" s="203">
        <f t="shared" si="5"/>
        <v>39287.327327327323</v>
      </c>
      <c r="I31" s="250">
        <f>(H32/H31)-1</f>
        <v>3.2409231920192516E-2</v>
      </c>
      <c r="J31" s="272" t="s">
        <v>74</v>
      </c>
      <c r="K31" s="273"/>
      <c r="L31" s="1"/>
    </row>
    <row r="32" spans="1:16" ht="33" customHeight="1" thickBot="1" x14ac:dyDescent="0.25">
      <c r="A32" s="204">
        <v>44670</v>
      </c>
      <c r="B32" s="197" t="s">
        <v>30</v>
      </c>
      <c r="C32" s="205">
        <v>40602.963447820002</v>
      </c>
      <c r="D32" s="209">
        <v>9351.6745413000008</v>
      </c>
      <c r="E32" s="210">
        <v>-0.23033000000000001</v>
      </c>
      <c r="F32" s="205">
        <f>0.1%*D32</f>
        <v>9.3516745413000013</v>
      </c>
      <c r="G32" s="206">
        <v>0</v>
      </c>
      <c r="H32" s="207">
        <f t="shared" si="5"/>
        <v>40560.59943020319</v>
      </c>
      <c r="I32" s="251"/>
      <c r="J32" s="290"/>
      <c r="K32" s="291"/>
    </row>
    <row r="33" spans="1:13" x14ac:dyDescent="0.2">
      <c r="A33" s="212">
        <v>44672</v>
      </c>
      <c r="B33" s="194" t="s">
        <v>15</v>
      </c>
      <c r="C33" s="3">
        <v>41674.480000000003</v>
      </c>
      <c r="D33" s="102">
        <v>-9342.1681816</v>
      </c>
      <c r="E33" s="214">
        <v>0.22417000000000001</v>
      </c>
      <c r="F33" s="201">
        <v>0</v>
      </c>
      <c r="G33" s="202">
        <f>E33*(0.1/100)</f>
        <v>2.2417000000000002E-4</v>
      </c>
      <c r="H33" s="203">
        <f t="shared" ref="H33:H34" si="6">-(D33-F33)/(E33-G33)</f>
        <v>41716.196196196193</v>
      </c>
      <c r="I33" s="260">
        <f>(H34/H33)-1</f>
        <v>-2.5282228783178429E-2</v>
      </c>
      <c r="J33" s="286" t="s">
        <v>75</v>
      </c>
      <c r="K33" s="287"/>
    </row>
    <row r="34" spans="1:13" ht="17" thickBot="1" x14ac:dyDescent="0.25">
      <c r="A34" s="213">
        <v>44673</v>
      </c>
      <c r="B34" s="195" t="s">
        <v>30</v>
      </c>
      <c r="C34" s="32">
        <v>40702.22</v>
      </c>
      <c r="D34" s="13">
        <v>9106.3076806000008</v>
      </c>
      <c r="E34" s="215">
        <v>-0.22373000000000001</v>
      </c>
      <c r="F34" s="205">
        <f>0.1%*D34</f>
        <v>9.1063076806000005</v>
      </c>
      <c r="G34" s="206">
        <v>0</v>
      </c>
      <c r="H34" s="207">
        <f t="shared" si="6"/>
        <v>40661.517780000002</v>
      </c>
      <c r="I34" s="261"/>
      <c r="J34" s="288"/>
      <c r="K34" s="289"/>
    </row>
    <row r="35" spans="1:13" ht="39" customHeight="1" x14ac:dyDescent="0.2">
      <c r="A35" s="212">
        <v>44673</v>
      </c>
      <c r="B35" s="194" t="s">
        <v>7</v>
      </c>
      <c r="C35" s="3">
        <v>40235.480000000003</v>
      </c>
      <c r="D35" s="102">
        <v>-9096.0349635999992</v>
      </c>
      <c r="E35" s="214">
        <v>0.22606999999999999</v>
      </c>
      <c r="F35" s="201">
        <v>0</v>
      </c>
      <c r="G35" s="202">
        <f>E35*(0.1/100)</f>
        <v>2.2607000000000001E-4</v>
      </c>
      <c r="H35" s="203">
        <f t="shared" ref="H35" si="7">-(D35-F35)/(E35-G35)</f>
        <v>40275.755755755752</v>
      </c>
      <c r="I35" s="250">
        <f>(H36/H35)-1</f>
        <v>-1.2617345999351937E-2</v>
      </c>
      <c r="J35" s="256" t="s">
        <v>76</v>
      </c>
      <c r="K35" s="257"/>
    </row>
    <row r="36" spans="1:13" ht="39" customHeight="1" thickBot="1" x14ac:dyDescent="0.25">
      <c r="A36" s="213">
        <v>44677</v>
      </c>
      <c r="B36" s="195" t="s">
        <v>30</v>
      </c>
      <c r="C36" s="32">
        <v>39805.300000000003</v>
      </c>
      <c r="D36" s="13">
        <v>8990.1009575999997</v>
      </c>
      <c r="E36" s="215">
        <v>-0.22584000000000001</v>
      </c>
      <c r="F36" s="205">
        <f>0.1%*D36</f>
        <v>8.9901009575999993</v>
      </c>
      <c r="G36" s="206">
        <v>0</v>
      </c>
      <c r="H36" s="207">
        <f>-(D36-F36)/(E36-G36)</f>
        <v>39767.58260999999</v>
      </c>
      <c r="I36" s="251"/>
      <c r="J36" s="258"/>
      <c r="K36" s="259"/>
    </row>
    <row r="37" spans="1:13" ht="17" thickBot="1" x14ac:dyDescent="0.25">
      <c r="A37" s="212">
        <v>44678</v>
      </c>
      <c r="B37" s="194" t="s">
        <v>7</v>
      </c>
      <c r="C37" s="3">
        <v>38660.730000000003</v>
      </c>
      <c r="D37" s="102">
        <v>-8982.4340081999999</v>
      </c>
      <c r="E37" s="216">
        <v>0.23233999999999999</v>
      </c>
      <c r="F37" s="201">
        <v>0</v>
      </c>
      <c r="G37" s="202">
        <f>E37*(0.1/100)</f>
        <v>2.3233999999999999E-4</v>
      </c>
      <c r="H37" s="203">
        <f t="shared" ref="H37" si="8">-(D37-F37)/(E37-G37)</f>
        <v>38699.42942942943</v>
      </c>
      <c r="I37" s="250">
        <f>(H38/H37)-1</f>
        <v>1.7836217909235508E-2</v>
      </c>
      <c r="J37" s="217"/>
      <c r="K37" s="218"/>
      <c r="M37" s="222"/>
    </row>
    <row r="38" spans="1:13" ht="17" thickBot="1" x14ac:dyDescent="0.25">
      <c r="A38" s="213">
        <v>44679</v>
      </c>
      <c r="B38" s="195" t="s">
        <v>30</v>
      </c>
      <c r="C38" s="32">
        <v>39429.11</v>
      </c>
      <c r="D38" s="13">
        <v>9151.4964299999992</v>
      </c>
      <c r="E38" s="219">
        <v>-0.2321</v>
      </c>
      <c r="F38" s="205">
        <f>0.1%*D38</f>
        <v>9.1514964299999999</v>
      </c>
      <c r="G38" s="206">
        <v>0</v>
      </c>
      <c r="H38" s="207">
        <f>-(D38-F38)/(E38-G38)</f>
        <v>39389.680885695816</v>
      </c>
      <c r="I38" s="251"/>
      <c r="J38" s="220"/>
      <c r="K38" s="221"/>
    </row>
    <row r="39" spans="1:13" x14ac:dyDescent="0.2">
      <c r="A39" s="212">
        <v>44681</v>
      </c>
      <c r="B39" s="194" t="s">
        <v>7</v>
      </c>
      <c r="C39" s="217">
        <v>38701.980000000003</v>
      </c>
      <c r="D39" s="102">
        <v>-9142.1817155999997</v>
      </c>
      <c r="E39" s="216">
        <v>0.23233999999999999</v>
      </c>
      <c r="F39" s="201">
        <v>0</v>
      </c>
      <c r="G39" s="202">
        <f>E39*(0.1/100)</f>
        <v>2.3233999999999999E-4</v>
      </c>
      <c r="H39" s="203">
        <f t="shared" ref="H39" si="9">-(D39-F39)/(E39-G39)</f>
        <v>39387.677750919553</v>
      </c>
      <c r="I39" s="250">
        <f>(H40/H39)-1</f>
        <v>-2.1627040671668762E-2</v>
      </c>
      <c r="J39" s="223"/>
      <c r="K39" s="218"/>
    </row>
    <row r="40" spans="1:13" ht="17" thickBot="1" x14ac:dyDescent="0.25">
      <c r="A40" s="213">
        <v>44682</v>
      </c>
      <c r="B40" s="195" t="s">
        <v>11</v>
      </c>
      <c r="C40" s="118">
        <v>37940.17</v>
      </c>
      <c r="D40" s="13">
        <v>8953.1213165999998</v>
      </c>
      <c r="E40" s="219">
        <v>-0.2321</v>
      </c>
      <c r="F40" s="205">
        <f>0.1%*D40</f>
        <v>8.9531213166000008</v>
      </c>
      <c r="G40" s="206">
        <v>0</v>
      </c>
      <c r="H40" s="207">
        <f>-(D40-F40)/(E40-G40)</f>
        <v>38535.838842237834</v>
      </c>
      <c r="I40" s="251"/>
      <c r="J40" s="224"/>
      <c r="K40" s="221"/>
    </row>
    <row r="41" spans="1:13" x14ac:dyDescent="0.2">
      <c r="A41" s="212">
        <v>44682</v>
      </c>
      <c r="B41" s="194" t="s">
        <v>7</v>
      </c>
      <c r="C41" s="62">
        <v>38068.910000000003</v>
      </c>
      <c r="D41" s="102">
        <v>-8944.2904044999996</v>
      </c>
      <c r="E41" s="216">
        <v>0.23233999999999999</v>
      </c>
      <c r="F41" s="201">
        <v>0</v>
      </c>
      <c r="G41" s="202">
        <f>E41*(0.1/100)</f>
        <v>2.3233999999999999E-4</v>
      </c>
      <c r="H41" s="203">
        <f t="shared" ref="H41" si="10">-(D41-F41)/(E41-G41)</f>
        <v>38535.093604838374</v>
      </c>
      <c r="I41" s="250">
        <f>(H42/H41)-1</f>
        <v>2.0619223987268009E-2</v>
      </c>
      <c r="J41" s="223"/>
      <c r="K41" s="218"/>
    </row>
    <row r="42" spans="1:13" ht="17" thickBot="1" x14ac:dyDescent="0.25">
      <c r="A42" s="213">
        <v>44683</v>
      </c>
      <c r="B42" s="195" t="s">
        <v>30</v>
      </c>
      <c r="C42" s="118">
        <v>38929.58</v>
      </c>
      <c r="D42" s="13">
        <v>9137.5510176000007</v>
      </c>
      <c r="E42" s="219">
        <v>-0.2321</v>
      </c>
      <c r="F42" s="205">
        <f>0.1%*D42</f>
        <v>9.1375510176000017</v>
      </c>
      <c r="G42" s="206">
        <v>0</v>
      </c>
      <c r="H42" s="207">
        <f>-(D42-F42)/(E42-G42)</f>
        <v>39329.657331246875</v>
      </c>
      <c r="I42" s="251"/>
      <c r="J42" s="224"/>
      <c r="K42" s="221"/>
    </row>
    <row r="43" spans="1:13" x14ac:dyDescent="0.2">
      <c r="A43" s="212">
        <v>44684</v>
      </c>
      <c r="B43" s="194" t="s">
        <v>7</v>
      </c>
      <c r="C43" s="62">
        <v>38501.07</v>
      </c>
      <c r="D43" s="102">
        <v>-9128.6036970000005</v>
      </c>
      <c r="E43" s="216">
        <v>0.23710000000000001</v>
      </c>
      <c r="F43" s="201">
        <v>0</v>
      </c>
      <c r="G43" s="202">
        <f>E43*(0.1/100)</f>
        <v>2.3710000000000002E-4</v>
      </c>
      <c r="H43" s="203">
        <f t="shared" ref="H43" si="11">-(D43-F43)/(E43-G43)</f>
        <v>38539.609609609608</v>
      </c>
      <c r="I43" s="250">
        <f>(H44/H43)-1</f>
        <v>-2.0397997996678963E-2</v>
      </c>
      <c r="J43" s="217"/>
      <c r="K43" s="218"/>
    </row>
    <row r="44" spans="1:13" ht="17" thickBot="1" x14ac:dyDescent="0.25">
      <c r="A44" s="213">
        <v>44685</v>
      </c>
      <c r="B44" s="195" t="s">
        <v>30</v>
      </c>
      <c r="C44" s="118">
        <v>37791.269999999997</v>
      </c>
      <c r="D44" s="13">
        <v>8951.2402122000003</v>
      </c>
      <c r="E44" s="219">
        <v>-0.23685999999999999</v>
      </c>
      <c r="F44" s="205">
        <f>0.1%*D44</f>
        <v>8.9512402122000001</v>
      </c>
      <c r="G44" s="206">
        <v>0</v>
      </c>
      <c r="H44" s="207">
        <f>-(D44-F44)/(E44-G44)</f>
        <v>37753.478730000003</v>
      </c>
      <c r="I44" s="251"/>
      <c r="J44" s="220"/>
      <c r="K44" s="221"/>
    </row>
    <row r="45" spans="1:13" x14ac:dyDescent="0.2">
      <c r="A45" s="212">
        <v>44687</v>
      </c>
      <c r="B45" s="194" t="s">
        <v>15</v>
      </c>
      <c r="C45" s="62">
        <v>36290</v>
      </c>
      <c r="D45" s="102">
        <v>-8924.4367999999995</v>
      </c>
      <c r="E45" s="216">
        <v>0.24592</v>
      </c>
      <c r="F45" s="201">
        <v>0</v>
      </c>
      <c r="G45" s="202">
        <f>E45*(0.1/100)</f>
        <v>2.4592E-4</v>
      </c>
      <c r="H45" s="203">
        <f t="shared" ref="H45" si="12">-(D45-F45)/(E45-G45)</f>
        <v>36326.326326326329</v>
      </c>
      <c r="I45" s="250">
        <f>(H46/H45)-1</f>
        <v>-1.0835255202810701E-2</v>
      </c>
      <c r="J45" s="223"/>
      <c r="K45" s="218"/>
    </row>
    <row r="46" spans="1:13" ht="17" thickBot="1" x14ac:dyDescent="0.25">
      <c r="A46" s="227">
        <v>44688</v>
      </c>
      <c r="B46" s="225" t="s">
        <v>11</v>
      </c>
      <c r="C46" s="98">
        <v>35968.69</v>
      </c>
      <c r="D46" s="37">
        <v>8836.0683853999999</v>
      </c>
      <c r="E46" s="226">
        <v>-0.24565999999999999</v>
      </c>
      <c r="F46" s="205">
        <f>0.1%*D46</f>
        <v>8.8360683854000008</v>
      </c>
      <c r="G46" s="206">
        <v>0</v>
      </c>
      <c r="H46" s="207">
        <f>-(D46-F46)/(E46-G46)</f>
        <v>35932.721310000001</v>
      </c>
      <c r="I46" s="251"/>
      <c r="J46" s="224"/>
      <c r="K46" s="221"/>
    </row>
    <row r="47" spans="1:13" x14ac:dyDescent="0.2">
      <c r="A47" s="227">
        <v>44688</v>
      </c>
      <c r="B47" s="225" t="s">
        <v>7</v>
      </c>
      <c r="C47" s="98">
        <v>35775.492819400002</v>
      </c>
      <c r="D47" s="37">
        <v>-8829.0338728999996</v>
      </c>
      <c r="E47" s="226">
        <v>0.24679000000000001</v>
      </c>
      <c r="F47" s="201">
        <v>0</v>
      </c>
      <c r="G47" s="202">
        <f>E47*(0.1/100)</f>
        <v>2.4679000000000004E-4</v>
      </c>
      <c r="H47" s="203">
        <f t="shared" ref="H47" si="13">-(D47-F47)/(E47-G47)</f>
        <v>35811.304123524635</v>
      </c>
      <c r="I47" s="250">
        <f>(H48/H47)-1</f>
        <v>4.8040146297978481E-4</v>
      </c>
      <c r="J47" s="223"/>
      <c r="K47" s="218"/>
    </row>
    <row r="48" spans="1:13" ht="17" thickBot="1" x14ac:dyDescent="0.25">
      <c r="A48" s="213">
        <v>44688</v>
      </c>
      <c r="B48" s="195" t="s">
        <v>30</v>
      </c>
      <c r="C48" s="118">
        <v>35900.74</v>
      </c>
      <c r="D48" s="13">
        <v>8850.9684395999993</v>
      </c>
      <c r="E48" s="219">
        <v>-0.24679000000000001</v>
      </c>
      <c r="F48" s="205">
        <f>0.1%*D48</f>
        <v>8.850968439599999</v>
      </c>
      <c r="G48" s="206">
        <v>0</v>
      </c>
      <c r="H48" s="207">
        <f>-(D48-F48)/(E48-G48)</f>
        <v>35828.507926416787</v>
      </c>
      <c r="I48" s="251"/>
      <c r="J48" s="224"/>
      <c r="K48" s="221"/>
    </row>
  </sheetData>
  <mergeCells count="37">
    <mergeCell ref="I45:I46"/>
    <mergeCell ref="I47:I48"/>
    <mergeCell ref="J33:K34"/>
    <mergeCell ref="I31:I32"/>
    <mergeCell ref="J31:K32"/>
    <mergeCell ref="I39:I40"/>
    <mergeCell ref="I37:I38"/>
    <mergeCell ref="I43:I44"/>
    <mergeCell ref="I41:I42"/>
    <mergeCell ref="M7:N7"/>
    <mergeCell ref="I11:I12"/>
    <mergeCell ref="J9:K10"/>
    <mergeCell ref="J11:K12"/>
    <mergeCell ref="I23:I24"/>
    <mergeCell ref="J23:K24"/>
    <mergeCell ref="M15:P15"/>
    <mergeCell ref="I19:I22"/>
    <mergeCell ref="J19:K22"/>
    <mergeCell ref="I15:I18"/>
    <mergeCell ref="J15:K18"/>
    <mergeCell ref="B7:C7"/>
    <mergeCell ref="H7:I7"/>
    <mergeCell ref="J7:K8"/>
    <mergeCell ref="I13:I14"/>
    <mergeCell ref="J13:K14"/>
    <mergeCell ref="D7:E7"/>
    <mergeCell ref="F7:G7"/>
    <mergeCell ref="I9:I10"/>
    <mergeCell ref="I25:I26"/>
    <mergeCell ref="J25:K26"/>
    <mergeCell ref="I35:I36"/>
    <mergeCell ref="J35:K36"/>
    <mergeCell ref="I33:I34"/>
    <mergeCell ref="I29:I30"/>
    <mergeCell ref="J29:K30"/>
    <mergeCell ref="I27:I28"/>
    <mergeCell ref="J27:K28"/>
  </mergeCells>
  <pageMargins left="0.7" right="0.7" top="0.75" bottom="0.75" header="0.3" footer="0.3"/>
  <ignoredErrors>
    <ignoredError sqref="C18:E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08BD-F8FE-874A-813C-12ABE62C364E}">
  <dimension ref="A3:K29"/>
  <sheetViews>
    <sheetView workbookViewId="0">
      <selection activeCell="D28" sqref="D28"/>
    </sheetView>
  </sheetViews>
  <sheetFormatPr baseColWidth="10" defaultRowHeight="16" x14ac:dyDescent="0.2"/>
  <cols>
    <col min="1" max="1" width="12.83203125" customWidth="1"/>
    <col min="2" max="2" width="15.5" customWidth="1"/>
    <col min="7" max="7" width="25.33203125" customWidth="1"/>
    <col min="8" max="8" width="24.83203125" customWidth="1"/>
    <col min="9" max="9" width="45.5" customWidth="1"/>
  </cols>
  <sheetData>
    <row r="3" spans="1:11" x14ac:dyDescent="0.2">
      <c r="B3" s="292">
        <v>9914.6102690000007</v>
      </c>
      <c r="C3" t="s">
        <v>77</v>
      </c>
      <c r="D3">
        <v>36.6</v>
      </c>
      <c r="E3" t="s">
        <v>79</v>
      </c>
      <c r="F3" t="s">
        <v>80</v>
      </c>
      <c r="J3" t="s">
        <v>4</v>
      </c>
      <c r="K3">
        <f>D4/(D3*D5)</f>
        <v>1.0691375623663577</v>
      </c>
    </row>
    <row r="4" spans="1:11" x14ac:dyDescent="0.2">
      <c r="B4">
        <f>B3/D3</f>
        <v>270.89099095628416</v>
      </c>
      <c r="C4" t="s">
        <v>78</v>
      </c>
      <c r="D4">
        <v>36</v>
      </c>
      <c r="E4" t="s">
        <v>82</v>
      </c>
      <c r="F4" t="s">
        <v>81</v>
      </c>
    </row>
    <row r="5" spans="1:11" x14ac:dyDescent="0.2">
      <c r="B5">
        <f>B4*D4</f>
        <v>9752.0756744262289</v>
      </c>
      <c r="C5" t="s">
        <v>5</v>
      </c>
      <c r="D5">
        <v>0.92</v>
      </c>
      <c r="E5" t="s">
        <v>83</v>
      </c>
      <c r="F5" t="s">
        <v>81</v>
      </c>
    </row>
    <row r="6" spans="1:11" x14ac:dyDescent="0.2">
      <c r="H6" t="s">
        <v>88</v>
      </c>
      <c r="I6" t="s">
        <v>89</v>
      </c>
    </row>
    <row r="7" spans="1:11" x14ac:dyDescent="0.2">
      <c r="B7">
        <f>B5/D5</f>
        <v>10600.082254811117</v>
      </c>
      <c r="C7" t="s">
        <v>77</v>
      </c>
      <c r="H7" t="s">
        <v>91</v>
      </c>
      <c r="I7" t="s">
        <v>92</v>
      </c>
    </row>
    <row r="8" spans="1:11" x14ac:dyDescent="0.2">
      <c r="B8" s="120">
        <f>B7/B3-1</f>
        <v>6.9137562366357486E-2</v>
      </c>
      <c r="H8" t="s">
        <v>90</v>
      </c>
      <c r="I8">
        <v>106364094</v>
      </c>
    </row>
    <row r="10" spans="1:11" x14ac:dyDescent="0.2">
      <c r="E10" s="314"/>
    </row>
    <row r="12" spans="1:11" ht="17" thickBot="1" x14ac:dyDescent="0.25">
      <c r="B12" s="60" t="s">
        <v>84</v>
      </c>
      <c r="C12" s="293">
        <v>9914.61</v>
      </c>
      <c r="D12" s="60" t="s">
        <v>77</v>
      </c>
      <c r="E12" s="60" t="s">
        <v>28</v>
      </c>
      <c r="F12" s="297">
        <f>(B20/C12)-1</f>
        <v>4.5124316538925902E-2</v>
      </c>
    </row>
    <row r="13" spans="1:11" ht="17" thickBot="1" x14ac:dyDescent="0.25">
      <c r="A13" s="302" t="s">
        <v>84</v>
      </c>
      <c r="B13" s="306">
        <v>9914.61</v>
      </c>
      <c r="C13" s="311" t="s">
        <v>77</v>
      </c>
      <c r="D13" s="294" t="s">
        <v>86</v>
      </c>
      <c r="E13" s="295"/>
      <c r="F13" s="296"/>
      <c r="G13" s="222" t="s">
        <v>93</v>
      </c>
    </row>
    <row r="14" spans="1:11" x14ac:dyDescent="0.2">
      <c r="A14" s="308">
        <v>1</v>
      </c>
      <c r="B14" s="307">
        <f>C12/D14</f>
        <v>311.70731599999999</v>
      </c>
      <c r="C14" s="298" t="s">
        <v>78</v>
      </c>
      <c r="D14" s="312">
        <f>9914.61/311.707316</f>
        <v>31.807434381809635</v>
      </c>
      <c r="E14" s="299" t="s">
        <v>79</v>
      </c>
      <c r="F14" s="300" t="s">
        <v>80</v>
      </c>
      <c r="G14" s="319">
        <f>D15/D14</f>
        <v>0.92116829192474536</v>
      </c>
    </row>
    <row r="15" spans="1:11" x14ac:dyDescent="0.2">
      <c r="A15" s="309"/>
      <c r="B15" s="307">
        <f>B14*D15</f>
        <v>9133.0243587999994</v>
      </c>
      <c r="C15" s="298" t="s">
        <v>5</v>
      </c>
      <c r="D15" s="312">
        <v>29.3</v>
      </c>
      <c r="E15" s="299" t="s">
        <v>82</v>
      </c>
      <c r="F15" s="300" t="s">
        <v>85</v>
      </c>
      <c r="G15" s="319"/>
    </row>
    <row r="16" spans="1:11" x14ac:dyDescent="0.2">
      <c r="A16" s="309"/>
      <c r="B16" s="307">
        <f>B15/D16</f>
        <v>10167.009193810531</v>
      </c>
      <c r="C16" s="298" t="s">
        <v>77</v>
      </c>
      <c r="D16" s="312">
        <v>0.89829999999999999</v>
      </c>
      <c r="E16" s="299" t="s">
        <v>87</v>
      </c>
      <c r="F16" s="300" t="s">
        <v>85</v>
      </c>
      <c r="G16" s="319"/>
    </row>
    <row r="17" spans="1:7" ht="17" thickBot="1" x14ac:dyDescent="0.25">
      <c r="A17" s="309"/>
      <c r="B17" s="298" t="s">
        <v>28</v>
      </c>
      <c r="C17" s="316">
        <f>(B16/C12)-1</f>
        <v>2.54572992594293E-2</v>
      </c>
      <c r="D17" s="305"/>
      <c r="E17" s="298"/>
      <c r="F17" s="317"/>
      <c r="G17" s="319"/>
    </row>
    <row r="18" spans="1:7" x14ac:dyDescent="0.2">
      <c r="A18" s="308">
        <v>2</v>
      </c>
      <c r="B18" s="303">
        <f>B16/D18</f>
        <v>286.85325939531151</v>
      </c>
      <c r="C18" s="217" t="s">
        <v>78</v>
      </c>
      <c r="D18" s="313">
        <f>10167/286.853</f>
        <v>35.443240963141399</v>
      </c>
      <c r="E18" s="301" t="s">
        <v>79</v>
      </c>
      <c r="F18" s="304" t="s">
        <v>80</v>
      </c>
      <c r="G18" s="319">
        <f>D19/D18</f>
        <v>0.93670892101898307</v>
      </c>
    </row>
    <row r="19" spans="1:7" x14ac:dyDescent="0.2">
      <c r="A19" s="309"/>
      <c r="B19" s="298">
        <f>B18*D19</f>
        <v>9523.5282119243439</v>
      </c>
      <c r="C19" s="298" t="s">
        <v>5</v>
      </c>
      <c r="D19" s="312">
        <f>9523.752/286.86</f>
        <v>33.200000000000003</v>
      </c>
      <c r="E19" s="299" t="s">
        <v>82</v>
      </c>
      <c r="F19" s="300" t="s">
        <v>85</v>
      </c>
      <c r="G19" s="319"/>
    </row>
    <row r="20" spans="1:7" x14ac:dyDescent="0.2">
      <c r="A20" s="309"/>
      <c r="B20" s="307">
        <v>10362</v>
      </c>
      <c r="C20" s="298" t="s">
        <v>77</v>
      </c>
      <c r="D20" s="312">
        <v>0.91810000000000003</v>
      </c>
      <c r="E20" s="299" t="s">
        <v>87</v>
      </c>
      <c r="F20" s="300" t="s">
        <v>85</v>
      </c>
      <c r="G20" s="319"/>
    </row>
    <row r="21" spans="1:7" ht="17" thickBot="1" x14ac:dyDescent="0.25">
      <c r="A21" s="310"/>
      <c r="B21" s="220" t="s">
        <v>28</v>
      </c>
      <c r="C21" s="315">
        <f>(B20/B16)-1</f>
        <v>1.9178777403700664E-2</v>
      </c>
      <c r="D21" s="224"/>
      <c r="E21" s="220"/>
      <c r="F21" s="221"/>
      <c r="G21" s="319"/>
    </row>
    <row r="22" spans="1:7" x14ac:dyDescent="0.2">
      <c r="A22" s="308">
        <v>3</v>
      </c>
      <c r="B22" s="303">
        <v>280.759007</v>
      </c>
      <c r="C22" s="217" t="s">
        <v>78</v>
      </c>
      <c r="D22" s="313">
        <f>10362/280.759007</f>
        <v>36.907097338465796</v>
      </c>
      <c r="E22" s="301" t="s">
        <v>79</v>
      </c>
      <c r="F22" s="304" t="s">
        <v>80</v>
      </c>
      <c r="G22" s="319">
        <f t="shared" ref="G15:G22" si="0">D23/D22</f>
        <v>0.92123202451264241</v>
      </c>
    </row>
    <row r="23" spans="1:7" x14ac:dyDescent="0.2">
      <c r="A23" s="309"/>
      <c r="B23" s="298">
        <f>B22*D23</f>
        <v>9545.8062379999992</v>
      </c>
      <c r="C23" s="298" t="s">
        <v>5</v>
      </c>
      <c r="D23" s="312">
        <v>34</v>
      </c>
      <c r="E23" s="299" t="s">
        <v>82</v>
      </c>
      <c r="F23" s="300" t="s">
        <v>85</v>
      </c>
      <c r="G23" s="318"/>
    </row>
    <row r="24" spans="1:7" x14ac:dyDescent="0.2">
      <c r="A24" s="309"/>
      <c r="B24" s="307">
        <v>10385</v>
      </c>
      <c r="C24" s="298" t="s">
        <v>77</v>
      </c>
      <c r="D24" s="312">
        <v>0.92110000000000003</v>
      </c>
      <c r="E24" s="299" t="s">
        <v>87</v>
      </c>
      <c r="F24" s="300" t="s">
        <v>85</v>
      </c>
      <c r="G24" s="318"/>
    </row>
    <row r="25" spans="1:7" ht="17" thickBot="1" x14ac:dyDescent="0.25">
      <c r="A25" s="310"/>
      <c r="B25" s="220" t="s">
        <v>28</v>
      </c>
      <c r="C25" s="315">
        <f>(B24/B20)-1</f>
        <v>2.2196487164640732E-3</v>
      </c>
      <c r="D25" s="224"/>
      <c r="E25" s="220"/>
      <c r="F25" s="221"/>
      <c r="G25" s="215"/>
    </row>
    <row r="26" spans="1:7" x14ac:dyDescent="0.2">
      <c r="A26" s="308">
        <v>3</v>
      </c>
      <c r="B26" s="303">
        <f>B24/D26</f>
        <v>293.27873482067213</v>
      </c>
      <c r="C26" s="217" t="s">
        <v>78</v>
      </c>
      <c r="D26" s="313">
        <v>35.409999999999997</v>
      </c>
      <c r="E26" s="301" t="s">
        <v>79</v>
      </c>
      <c r="F26" s="304" t="s">
        <v>80</v>
      </c>
      <c r="G26" s="319">
        <f t="shared" ref="G26:G29" si="1">D27/D26</f>
        <v>0.81332956791866717</v>
      </c>
    </row>
    <row r="27" spans="1:7" x14ac:dyDescent="0.2">
      <c r="A27" s="309"/>
      <c r="B27" s="298">
        <f>B26*D27</f>
        <v>8446.4275628353571</v>
      </c>
      <c r="C27" s="298" t="s">
        <v>5</v>
      </c>
      <c r="D27" s="312">
        <v>28.8</v>
      </c>
      <c r="E27" s="299" t="s">
        <v>82</v>
      </c>
      <c r="F27" s="300" t="s">
        <v>85</v>
      </c>
      <c r="G27" s="318"/>
    </row>
    <row r="28" spans="1:7" x14ac:dyDescent="0.2">
      <c r="A28" s="309"/>
      <c r="B28" s="307">
        <f>B27/D28</f>
        <v>9111.5723439432113</v>
      </c>
      <c r="C28" s="298" t="s">
        <v>77</v>
      </c>
      <c r="D28" s="312">
        <v>0.92700000000000005</v>
      </c>
      <c r="E28" s="299" t="s">
        <v>87</v>
      </c>
      <c r="F28" s="300" t="s">
        <v>85</v>
      </c>
      <c r="G28" s="318"/>
    </row>
    <row r="29" spans="1:7" ht="17" thickBot="1" x14ac:dyDescent="0.25">
      <c r="A29" s="310"/>
      <c r="B29" s="220" t="s">
        <v>28</v>
      </c>
      <c r="C29" s="315">
        <f>(B28/B24)-1</f>
        <v>-0.12262182533045629</v>
      </c>
      <c r="D29" s="224"/>
      <c r="E29" s="220"/>
      <c r="F29" s="221"/>
      <c r="G29" s="215"/>
    </row>
  </sheetData>
  <mergeCells count="5">
    <mergeCell ref="A22:A25"/>
    <mergeCell ref="A26:A29"/>
    <mergeCell ref="D13:F13"/>
    <mergeCell ref="A14:A17"/>
    <mergeCell ref="A18:A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9FBBC-F59A-7246-AA47-D0ED2BF793D1}">
  <dimension ref="B3:N46"/>
  <sheetViews>
    <sheetView zoomScale="75" zoomScaleNormal="61" workbookViewId="0">
      <selection activeCell="C34" sqref="C34"/>
    </sheetView>
  </sheetViews>
  <sheetFormatPr baseColWidth="10" defaultRowHeight="16" x14ac:dyDescent="0.2"/>
  <cols>
    <col min="2" max="3" width="17.33203125" customWidth="1"/>
    <col min="5" max="5" width="13.1640625" bestFit="1" customWidth="1"/>
    <col min="6" max="6" width="13.6640625" customWidth="1"/>
    <col min="7" max="7" width="13" customWidth="1"/>
    <col min="8" max="8" width="16.33203125" customWidth="1"/>
    <col min="9" max="9" width="13.5" customWidth="1"/>
    <col min="10" max="10" width="13.6640625" customWidth="1"/>
    <col min="11" max="11" width="20.1640625" customWidth="1"/>
    <col min="12" max="12" width="19.33203125" customWidth="1"/>
    <col min="13" max="13" width="12" customWidth="1"/>
  </cols>
  <sheetData>
    <row r="3" spans="2:14" x14ac:dyDescent="0.2">
      <c r="B3" t="s">
        <v>56</v>
      </c>
      <c r="C3" t="s">
        <v>72</v>
      </c>
      <c r="D3" t="s">
        <v>61</v>
      </c>
      <c r="E3" t="s">
        <v>66</v>
      </c>
      <c r="F3" t="s">
        <v>62</v>
      </c>
      <c r="G3" t="s">
        <v>39</v>
      </c>
      <c r="H3" t="s">
        <v>63</v>
      </c>
      <c r="I3" t="s">
        <v>67</v>
      </c>
      <c r="J3" t="s">
        <v>68</v>
      </c>
    </row>
    <row r="4" spans="2:14" x14ac:dyDescent="0.2">
      <c r="B4" s="184" t="s">
        <v>70</v>
      </c>
    </row>
    <row r="5" spans="2:14" x14ac:dyDescent="0.2">
      <c r="B5" s="119">
        <v>44197</v>
      </c>
      <c r="C5" s="120">
        <v>0.1226</v>
      </c>
      <c r="D5" s="73">
        <v>0.20300000000000001</v>
      </c>
      <c r="E5" s="73">
        <v>1.55E-2</v>
      </c>
      <c r="F5" s="73">
        <v>4.5100000000000001E-2</v>
      </c>
      <c r="G5" s="173">
        <v>2</v>
      </c>
      <c r="H5" s="173">
        <v>2</v>
      </c>
      <c r="I5" s="173">
        <v>15</v>
      </c>
      <c r="J5" s="182">
        <f>G5/H5</f>
        <v>1</v>
      </c>
      <c r="K5" s="60"/>
      <c r="L5" s="60"/>
      <c r="M5" s="122"/>
      <c r="N5" s="60"/>
    </row>
    <row r="6" spans="2:14" x14ac:dyDescent="0.2">
      <c r="B6" s="119">
        <v>44228</v>
      </c>
      <c r="C6" s="120">
        <v>0.39660000000000001</v>
      </c>
      <c r="D6" s="73">
        <v>0.4259</v>
      </c>
      <c r="E6" s="73">
        <v>3.7100000000000001E-2</v>
      </c>
      <c r="F6" s="73">
        <v>4.2000000000000003E-2</v>
      </c>
      <c r="G6" s="173">
        <v>8</v>
      </c>
      <c r="H6" s="173">
        <v>1</v>
      </c>
      <c r="I6" s="173">
        <v>10</v>
      </c>
      <c r="J6" s="182">
        <f t="shared" ref="J6:J20" si="0">G6/H6</f>
        <v>8</v>
      </c>
      <c r="K6" s="120"/>
      <c r="L6" s="120"/>
      <c r="M6" s="123"/>
    </row>
    <row r="7" spans="2:14" x14ac:dyDescent="0.2">
      <c r="B7" s="119">
        <v>44256</v>
      </c>
      <c r="C7" s="120">
        <v>0.31209999999999999</v>
      </c>
      <c r="D7" s="73">
        <v>0.26690000000000003</v>
      </c>
      <c r="E7" s="73">
        <v>2.1100000000000001E-2</v>
      </c>
      <c r="F7" s="73">
        <v>2.1100000000000001E-2</v>
      </c>
      <c r="G7" s="173">
        <v>6</v>
      </c>
      <c r="H7" s="173">
        <v>2</v>
      </c>
      <c r="I7" s="173">
        <v>13</v>
      </c>
      <c r="J7" s="182">
        <f t="shared" si="0"/>
        <v>3</v>
      </c>
      <c r="K7" s="120"/>
      <c r="L7" s="120"/>
      <c r="M7" s="123"/>
      <c r="N7" s="121"/>
    </row>
    <row r="8" spans="2:14" x14ac:dyDescent="0.2">
      <c r="B8" s="119">
        <v>44287</v>
      </c>
      <c r="C8" s="73">
        <v>-1.5800000000000002E-2</v>
      </c>
      <c r="D8" s="73">
        <v>-1.2500000000000001E-2</v>
      </c>
      <c r="E8" s="73">
        <v>-5.0000000000000001E-3</v>
      </c>
      <c r="F8" s="73">
        <v>3.5299999999999998E-2</v>
      </c>
      <c r="G8" s="173">
        <v>2</v>
      </c>
      <c r="H8" s="173">
        <v>2</v>
      </c>
      <c r="I8" s="173">
        <v>12</v>
      </c>
      <c r="J8" s="182">
        <f t="shared" si="0"/>
        <v>1</v>
      </c>
      <c r="K8" s="120"/>
      <c r="L8" s="120"/>
      <c r="M8" s="123"/>
      <c r="N8" s="121"/>
    </row>
    <row r="9" spans="2:14" x14ac:dyDescent="0.2">
      <c r="B9" s="119">
        <v>44317</v>
      </c>
      <c r="C9" s="73">
        <v>-0.34489999999999998</v>
      </c>
      <c r="D9" s="73">
        <v>0.40949999999999998</v>
      </c>
      <c r="E9" s="73">
        <v>2.29E-2</v>
      </c>
      <c r="F9" s="73">
        <v>5.21E-2</v>
      </c>
      <c r="G9" s="173">
        <v>7</v>
      </c>
      <c r="H9" s="173">
        <v>3</v>
      </c>
      <c r="I9" s="173">
        <v>17</v>
      </c>
      <c r="J9" s="182">
        <f t="shared" si="0"/>
        <v>2.3333333333333335</v>
      </c>
      <c r="K9" s="120"/>
      <c r="L9" s="120"/>
      <c r="M9" s="123"/>
      <c r="N9" s="121"/>
    </row>
    <row r="10" spans="2:14" x14ac:dyDescent="0.2">
      <c r="B10" s="119">
        <v>44348</v>
      </c>
      <c r="C10" s="120">
        <v>-6.7599999999999993E-2</v>
      </c>
      <c r="D10" s="73">
        <v>-4.4199999999999996E-2</v>
      </c>
      <c r="E10" s="73">
        <v>0</v>
      </c>
      <c r="F10" s="73">
        <v>3.5099999999999999E-2</v>
      </c>
      <c r="G10" s="173">
        <v>3</v>
      </c>
      <c r="H10" s="173">
        <v>5</v>
      </c>
      <c r="I10" s="173">
        <v>16</v>
      </c>
      <c r="J10" s="182">
        <f t="shared" si="0"/>
        <v>0.6</v>
      </c>
      <c r="K10" s="120"/>
      <c r="L10" s="120"/>
      <c r="M10" s="123"/>
      <c r="N10" s="121"/>
    </row>
    <row r="11" spans="2:14" x14ac:dyDescent="0.2">
      <c r="B11" s="119">
        <v>44378</v>
      </c>
      <c r="C11" s="120">
        <v>0.191</v>
      </c>
      <c r="D11" s="73">
        <v>8.1000000000000003E-2</v>
      </c>
      <c r="E11" s="167">
        <v>9.4999999999999998E-3</v>
      </c>
      <c r="F11" s="73">
        <v>2.7099999999999999E-2</v>
      </c>
      <c r="G11" s="172">
        <v>3</v>
      </c>
      <c r="H11" s="173">
        <v>3</v>
      </c>
      <c r="I11" s="173">
        <v>11</v>
      </c>
      <c r="J11" s="182">
        <f t="shared" si="0"/>
        <v>1</v>
      </c>
      <c r="K11" s="120"/>
      <c r="L11" s="120"/>
      <c r="M11" s="123"/>
      <c r="N11" s="121"/>
    </row>
    <row r="12" spans="2:14" x14ac:dyDescent="0.2">
      <c r="B12" s="119">
        <v>44409</v>
      </c>
      <c r="C12" s="73">
        <v>0.12770000000000001</v>
      </c>
      <c r="D12" s="73">
        <v>-6.7799999999999999E-2</v>
      </c>
      <c r="E12" s="167">
        <v>4.0000000000000002E-4</v>
      </c>
      <c r="F12" s="73">
        <v>3.5000000000000003E-2</v>
      </c>
      <c r="G12" s="172">
        <v>4</v>
      </c>
      <c r="H12" s="173">
        <v>4</v>
      </c>
      <c r="I12" s="173">
        <v>14</v>
      </c>
      <c r="J12" s="182">
        <f t="shared" si="0"/>
        <v>1</v>
      </c>
      <c r="K12" s="120"/>
      <c r="L12" s="120"/>
      <c r="M12" s="123"/>
      <c r="N12" s="121"/>
    </row>
    <row r="13" spans="2:14" x14ac:dyDescent="0.2">
      <c r="B13" s="119">
        <v>44440</v>
      </c>
      <c r="C13" s="73">
        <v>-7.2300000000000003E-2</v>
      </c>
      <c r="D13" s="73">
        <v>7.5300000000000006E-2</v>
      </c>
      <c r="E13" s="73">
        <v>7.9000000000000008E-3</v>
      </c>
      <c r="F13" s="73">
        <v>2.1100000000000001E-2</v>
      </c>
      <c r="G13" s="173">
        <v>3</v>
      </c>
      <c r="H13" s="173">
        <v>3</v>
      </c>
      <c r="I13" s="173">
        <v>13</v>
      </c>
      <c r="J13" s="182">
        <f t="shared" si="0"/>
        <v>1</v>
      </c>
      <c r="K13" s="120"/>
      <c r="L13" s="120"/>
      <c r="M13" s="123"/>
      <c r="N13" s="121"/>
    </row>
    <row r="14" spans="2:14" x14ac:dyDescent="0.2">
      <c r="B14" s="119">
        <v>44470</v>
      </c>
      <c r="C14" s="73">
        <v>0.40479999999999999</v>
      </c>
      <c r="D14" s="73">
        <v>0.23430000000000001</v>
      </c>
      <c r="E14" s="73">
        <v>2.8199999999999999E-2</v>
      </c>
      <c r="F14" s="73">
        <v>3.6900000000000002E-2</v>
      </c>
      <c r="G14" s="173">
        <v>4</v>
      </c>
      <c r="H14" s="173">
        <v>1</v>
      </c>
      <c r="I14" s="173">
        <v>9</v>
      </c>
      <c r="J14" s="182">
        <f t="shared" si="0"/>
        <v>4</v>
      </c>
    </row>
    <row r="15" spans="2:14" x14ac:dyDescent="0.2">
      <c r="B15" s="119">
        <v>44501</v>
      </c>
      <c r="C15" s="73">
        <v>-6.0700000000000004E-2</v>
      </c>
      <c r="D15" s="73">
        <v>9.4100000000000003E-2</v>
      </c>
      <c r="E15" s="73">
        <v>1.03E-2</v>
      </c>
      <c r="F15" s="73">
        <v>3.61E-2</v>
      </c>
      <c r="G15" s="173">
        <v>1</v>
      </c>
      <c r="H15" s="173">
        <v>3</v>
      </c>
      <c r="I15" s="173">
        <v>11</v>
      </c>
      <c r="J15" s="182">
        <f t="shared" si="0"/>
        <v>0.33333333333333331</v>
      </c>
    </row>
    <row r="16" spans="2:14" x14ac:dyDescent="0.2">
      <c r="B16" s="119">
        <v>44531</v>
      </c>
      <c r="C16" s="73">
        <v>-0.1734</v>
      </c>
      <c r="D16" s="73">
        <v>8.72E-2</v>
      </c>
      <c r="E16" s="73">
        <v>1.12E-2</v>
      </c>
      <c r="F16" s="73">
        <v>2.7099999999999999E-2</v>
      </c>
      <c r="G16" s="173">
        <v>6</v>
      </c>
      <c r="H16" s="173">
        <v>1</v>
      </c>
      <c r="I16" s="173">
        <v>12</v>
      </c>
      <c r="J16" s="182">
        <f t="shared" si="0"/>
        <v>6</v>
      </c>
    </row>
    <row r="17" spans="2:11" x14ac:dyDescent="0.2">
      <c r="B17" s="119">
        <v>44562</v>
      </c>
      <c r="C17" s="73">
        <v>-0.1782</v>
      </c>
      <c r="D17" s="73">
        <v>-6.08E-2</v>
      </c>
      <c r="E17" s="73">
        <v>-5.5999999999999999E-3</v>
      </c>
      <c r="F17" s="73">
        <v>2.2200000000000001E-2</v>
      </c>
      <c r="G17" s="173">
        <v>2</v>
      </c>
      <c r="H17" s="173">
        <v>2</v>
      </c>
      <c r="I17" s="173">
        <v>10</v>
      </c>
      <c r="J17" s="182">
        <f t="shared" si="0"/>
        <v>1</v>
      </c>
    </row>
    <row r="18" spans="2:11" x14ac:dyDescent="0.2">
      <c r="B18" s="119">
        <v>44593</v>
      </c>
      <c r="C18" s="73">
        <v>0.13270000000000001</v>
      </c>
      <c r="D18" s="73">
        <v>0.17760000000000001</v>
      </c>
      <c r="E18" s="73">
        <v>7.3000000000000001E-3</v>
      </c>
      <c r="F18" s="73">
        <v>5.4199999999999998E-2</v>
      </c>
      <c r="G18" s="173">
        <v>3</v>
      </c>
      <c r="H18" s="173">
        <v>2</v>
      </c>
      <c r="I18" s="173">
        <v>10</v>
      </c>
      <c r="J18" s="182">
        <f t="shared" si="0"/>
        <v>1.5</v>
      </c>
      <c r="K18" s="121"/>
    </row>
    <row r="19" spans="2:11" x14ac:dyDescent="0.2">
      <c r="B19" s="119">
        <v>44621</v>
      </c>
      <c r="C19" s="73">
        <v>5.5199999999999999E-2</v>
      </c>
      <c r="D19" s="73">
        <v>-6.0499999999999998E-2</v>
      </c>
      <c r="E19" s="73">
        <v>-3.3999999999999998E-3</v>
      </c>
      <c r="F19" s="73">
        <v>4.1500000000000002E-2</v>
      </c>
      <c r="G19" s="173">
        <v>4</v>
      </c>
      <c r="H19" s="173">
        <v>2</v>
      </c>
      <c r="I19" s="173">
        <v>10</v>
      </c>
      <c r="J19" s="182">
        <f t="shared" si="0"/>
        <v>2</v>
      </c>
      <c r="K19" s="121"/>
    </row>
    <row r="20" spans="2:11" x14ac:dyDescent="0.2">
      <c r="B20" s="119">
        <v>44652</v>
      </c>
      <c r="C20" s="73">
        <v>-0.19939999999999999</v>
      </c>
      <c r="D20" s="73">
        <v>-3.44E-2</v>
      </c>
      <c r="E20" s="73">
        <v>1.6000000000000001E-3</v>
      </c>
      <c r="F20" s="73">
        <v>2.5600000000000001E-2</v>
      </c>
      <c r="G20" s="173">
        <v>1</v>
      </c>
      <c r="H20" s="173">
        <v>2</v>
      </c>
      <c r="I20" s="173">
        <v>10</v>
      </c>
      <c r="J20" s="182">
        <f t="shared" si="0"/>
        <v>0.5</v>
      </c>
      <c r="K20" s="121"/>
    </row>
    <row r="21" spans="2:11" x14ac:dyDescent="0.2">
      <c r="K21" s="121"/>
    </row>
    <row r="22" spans="2:11" x14ac:dyDescent="0.2">
      <c r="B22" s="183" t="s">
        <v>69</v>
      </c>
      <c r="D22" s="174"/>
      <c r="E22" s="174"/>
      <c r="F22" s="174"/>
      <c r="J22" s="182"/>
      <c r="K22" s="121"/>
    </row>
    <row r="23" spans="2:11" x14ac:dyDescent="0.2">
      <c r="B23" s="155" t="s">
        <v>57</v>
      </c>
      <c r="C23" s="73">
        <v>1.0425</v>
      </c>
      <c r="D23" s="181">
        <v>1.0900000000000001</v>
      </c>
      <c r="E23" s="73">
        <v>2.2100000000000002E-2</v>
      </c>
      <c r="F23" s="73">
        <v>3.9699999999999999E-2</v>
      </c>
      <c r="G23" s="170">
        <v>8</v>
      </c>
      <c r="H23" s="170">
        <v>2</v>
      </c>
      <c r="I23" s="170">
        <v>39</v>
      </c>
      <c r="J23" s="182">
        <f>G23/H23</f>
        <v>4</v>
      </c>
      <c r="K23" s="121"/>
    </row>
    <row r="24" spans="2:11" x14ac:dyDescent="0.2">
      <c r="B24" s="155" t="s">
        <v>58</v>
      </c>
      <c r="C24" s="73">
        <v>-0.4088</v>
      </c>
      <c r="D24" s="166">
        <v>0.26869999999999999</v>
      </c>
      <c r="E24" s="166">
        <v>8.2000000000000007E-3</v>
      </c>
      <c r="F24" s="166">
        <v>4.4600000000000001E-2</v>
      </c>
      <c r="G24" s="171">
        <v>7</v>
      </c>
      <c r="H24" s="171">
        <v>5</v>
      </c>
      <c r="I24" s="171">
        <v>47</v>
      </c>
      <c r="J24" s="182">
        <f t="shared" ref="J24:J26" si="1">G24/H24</f>
        <v>1.4</v>
      </c>
      <c r="K24" s="121"/>
    </row>
    <row r="25" spans="2:11" x14ac:dyDescent="0.2">
      <c r="B25" s="165" t="s">
        <v>59</v>
      </c>
      <c r="C25" s="73">
        <v>0.24679999999999999</v>
      </c>
      <c r="D25" s="166">
        <v>0.1658</v>
      </c>
      <c r="E25" s="167">
        <v>6.3E-3</v>
      </c>
      <c r="F25" s="73">
        <v>2.81E-2</v>
      </c>
      <c r="G25" s="172">
        <v>4</v>
      </c>
      <c r="H25" s="173">
        <v>4</v>
      </c>
      <c r="I25" s="173">
        <v>40</v>
      </c>
      <c r="J25" s="182">
        <f t="shared" si="1"/>
        <v>1</v>
      </c>
    </row>
    <row r="26" spans="2:11" x14ac:dyDescent="0.2">
      <c r="B26" s="165" t="s">
        <v>60</v>
      </c>
      <c r="C26" s="73">
        <v>7.4300000000000005E-2</v>
      </c>
      <c r="D26" s="166">
        <v>0.33050000000000002</v>
      </c>
      <c r="E26" s="167">
        <v>1.1900000000000001E-2</v>
      </c>
      <c r="F26" s="73">
        <v>3.04E-2</v>
      </c>
      <c r="G26" s="172">
        <v>6</v>
      </c>
      <c r="H26" s="173">
        <v>3</v>
      </c>
      <c r="I26" s="173">
        <v>33</v>
      </c>
      <c r="J26" s="182">
        <f t="shared" si="1"/>
        <v>2</v>
      </c>
    </row>
    <row r="27" spans="2:11" x14ac:dyDescent="0.2">
      <c r="B27" s="119" t="s">
        <v>65</v>
      </c>
      <c r="C27" s="73">
        <v>-2.3900000000000001E-2</v>
      </c>
      <c r="D27" s="73">
        <v>4.3200000000000002E-2</v>
      </c>
      <c r="E27" s="167">
        <v>4.4999999999999997E-3</v>
      </c>
      <c r="F27" s="73">
        <v>4.8000000000000001E-2</v>
      </c>
      <c r="G27" s="169">
        <v>4</v>
      </c>
      <c r="H27" s="168">
        <v>2</v>
      </c>
      <c r="I27" s="168">
        <v>31</v>
      </c>
      <c r="J27" s="182">
        <f>G27/H27</f>
        <v>2</v>
      </c>
    </row>
    <row r="28" spans="2:11" x14ac:dyDescent="0.2">
      <c r="B28" s="184" t="s">
        <v>71</v>
      </c>
    </row>
    <row r="29" spans="2:11" x14ac:dyDescent="0.2">
      <c r="B29" s="175" t="s">
        <v>64</v>
      </c>
      <c r="D29" s="176">
        <v>2.79</v>
      </c>
      <c r="E29" s="177">
        <v>1.1299999999999999E-2</v>
      </c>
      <c r="F29" s="178">
        <v>3.78E-2</v>
      </c>
      <c r="G29" s="179">
        <v>8</v>
      </c>
      <c r="H29" s="180">
        <v>5</v>
      </c>
      <c r="I29" s="180">
        <v>159</v>
      </c>
      <c r="J29" s="182">
        <f>G29/H29</f>
        <v>1.6</v>
      </c>
    </row>
    <row r="46" spans="12:12" x14ac:dyDescent="0.2">
      <c r="L46" s="198">
        <f>(40747/45527)-1</f>
        <v>-0.10499264172908385</v>
      </c>
    </row>
  </sheetData>
  <sortState xmlns:xlrd2="http://schemas.microsoft.com/office/spreadsheetml/2017/richdata2" ref="B7:M14">
    <sortCondition ref="B6:B1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Bot3 Log</vt:lpstr>
      <vt:lpstr>Dynamic Bot1 Log</vt:lpstr>
      <vt:lpstr>USDT-UST Abitrage</vt:lpstr>
      <vt:lpstr>Dynamic Bot1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2022-01-24T13:36:09Z</dcterms:created>
  <dcterms:modified xsi:type="dcterms:W3CDTF">2022-05-10T15:48:05Z</dcterms:modified>
</cp:coreProperties>
</file>