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\Personal Process for Software Development\lab05\"/>
    </mc:Choice>
  </mc:AlternateContent>
  <xr:revisionPtr revIDLastSave="0" documentId="13_ncr:1_{D8DF663D-2755-4D4A-81D8-3B75C65FFFBE}" xr6:coauthVersionLast="47" xr6:coauthVersionMax="47" xr10:uidLastSave="{00000000-0000-0000-0000-000000000000}"/>
  <bookViews>
    <workbookView xWindow="-108" yWindow="-108" windowWidth="23256" windowHeight="12456" activeTab="4" xr2:uid="{3E88ED78-92DC-43E1-9D4E-BA01A1E63C2E}"/>
  </bookViews>
  <sheets>
    <sheet name="Proxy Table" sheetId="3" r:id="rId1"/>
    <sheet name="Time Distribution" sheetId="4" r:id="rId2"/>
    <sheet name="defect log" sheetId="5" r:id="rId3"/>
    <sheet name="Pearson Correlation" sheetId="6" r:id="rId4"/>
    <sheet name="Size Estima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7" l="1"/>
  <c r="C13" i="7"/>
  <c r="E8" i="7" l="1"/>
  <c r="D8" i="7"/>
  <c r="C8" i="7"/>
  <c r="B8" i="7"/>
  <c r="C24" i="6"/>
  <c r="C21" i="6"/>
  <c r="C18" i="6"/>
  <c r="C15" i="6"/>
  <c r="N3" i="4"/>
  <c r="N4" i="4"/>
  <c r="N5" i="4"/>
  <c r="N6" i="4"/>
  <c r="N7" i="4"/>
  <c r="N8" i="4"/>
  <c r="N9" i="4"/>
  <c r="N10" i="4"/>
  <c r="N11" i="4"/>
  <c r="N2" i="4"/>
  <c r="K3" i="4"/>
  <c r="K4" i="4"/>
  <c r="K5" i="4"/>
  <c r="K6" i="4"/>
  <c r="K7" i="4"/>
  <c r="K8" i="4"/>
  <c r="K9" i="4"/>
  <c r="K10" i="4"/>
  <c r="K11" i="4"/>
  <c r="K2" i="4"/>
  <c r="E11" i="4"/>
  <c r="F10" i="4"/>
  <c r="F9" i="4"/>
  <c r="F8" i="4"/>
  <c r="F7" i="4"/>
  <c r="F6" i="4"/>
  <c r="F5" i="4"/>
  <c r="F4" i="4"/>
  <c r="F3" i="4"/>
  <c r="F2" i="4"/>
  <c r="B28" i="3"/>
  <c r="D28" i="3" s="1"/>
  <c r="D20" i="3"/>
  <c r="E16" i="3"/>
  <c r="C16" i="3"/>
  <c r="N6" i="3"/>
  <c r="F8" i="3"/>
  <c r="E8" i="3"/>
  <c r="B20" i="3" l="1"/>
  <c r="C28" i="3"/>
  <c r="E20" i="3"/>
  <c r="F20" i="3"/>
  <c r="C20" i="3"/>
  <c r="N5" i="3" l="1"/>
  <c r="N4" i="3"/>
  <c r="N3" i="3"/>
  <c r="B27" i="3" l="1"/>
  <c r="C27" i="3" s="1"/>
  <c r="D19" i="3"/>
  <c r="E15" i="3"/>
  <c r="C15" i="3"/>
  <c r="E14" i="3"/>
  <c r="C14" i="3"/>
  <c r="F7" i="3"/>
  <c r="E7" i="3"/>
  <c r="B11" i="4"/>
  <c r="H6" i="4" s="1"/>
  <c r="H10" i="4" l="1"/>
  <c r="H9" i="4"/>
  <c r="H5" i="4"/>
  <c r="D27" i="3"/>
  <c r="F19" i="3"/>
  <c r="C19" i="3"/>
  <c r="B19" i="3"/>
  <c r="E19" i="3"/>
  <c r="H4" i="4"/>
  <c r="H3" i="4"/>
  <c r="H2" i="4"/>
  <c r="H8" i="4"/>
  <c r="H7" i="4"/>
  <c r="C11" i="4"/>
  <c r="I4" i="4" l="1"/>
  <c r="I5" i="4"/>
  <c r="I6" i="4"/>
  <c r="I8" i="4"/>
  <c r="I7" i="4"/>
  <c r="I9" i="4"/>
  <c r="I3" i="4"/>
  <c r="I10" i="4"/>
  <c r="I2" i="4"/>
  <c r="D11" i="4"/>
  <c r="J6" i="4" l="1"/>
  <c r="J7" i="4"/>
  <c r="J8" i="4"/>
  <c r="J9" i="4"/>
  <c r="J10" i="4"/>
  <c r="J3" i="4"/>
  <c r="J2" i="4"/>
  <c r="J4" i="4"/>
  <c r="J5" i="4"/>
  <c r="F11" i="4"/>
  <c r="J6" i="3"/>
  <c r="F4" i="3"/>
  <c r="E4" i="3"/>
  <c r="B26" i="3"/>
  <c r="C26" i="3" s="1"/>
  <c r="B25" i="3"/>
  <c r="D25" i="3" s="1"/>
  <c r="E6" i="3"/>
  <c r="E5" i="3"/>
  <c r="F6" i="3"/>
  <c r="F5" i="3"/>
  <c r="E13" i="3"/>
  <c r="C13" i="3"/>
  <c r="L5" i="4" l="1"/>
  <c r="L6" i="4"/>
  <c r="Q6" i="4" s="1"/>
  <c r="L4" i="4"/>
  <c r="Q4" i="4" s="1"/>
  <c r="L2" i="4"/>
  <c r="L10" i="4"/>
  <c r="L9" i="4"/>
  <c r="Q9" i="4" s="1"/>
  <c r="L8" i="4"/>
  <c r="Q8" i="4" s="1"/>
  <c r="L7" i="4"/>
  <c r="Q7" i="4" s="1"/>
  <c r="L3" i="4"/>
  <c r="Q3" i="4" s="1"/>
  <c r="E18" i="3"/>
  <c r="C25" i="3"/>
  <c r="C18" i="3"/>
  <c r="E17" i="3"/>
  <c r="B18" i="3"/>
  <c r="B17" i="3"/>
  <c r="F17" i="3"/>
  <c r="K6" i="3" s="1"/>
  <c r="K7" i="3" s="1"/>
  <c r="F18" i="3"/>
  <c r="C17" i="3"/>
  <c r="J7" i="3"/>
  <c r="Q10" i="4"/>
  <c r="Q5" i="4"/>
  <c r="H11" i="4"/>
  <c r="I11" i="4"/>
  <c r="D26" i="3"/>
  <c r="J11" i="4" l="1"/>
  <c r="Q2" i="4"/>
  <c r="R2" i="4" s="1"/>
  <c r="R3" i="4" s="1"/>
  <c r="R4" i="4" s="1"/>
  <c r="R5" i="4" s="1"/>
  <c r="R6" i="4" s="1"/>
  <c r="R7" i="4" s="1"/>
  <c r="R8" i="4" s="1"/>
  <c r="R9" i="4" s="1"/>
  <c r="R10" i="4" s="1"/>
  <c r="L11" i="4" l="1"/>
</calcChain>
</file>

<file path=xl/sharedStrings.xml><?xml version="1.0" encoding="utf-8"?>
<sst xmlns="http://schemas.openxmlformats.org/spreadsheetml/2006/main" count="143" uniqueCount="102">
  <si>
    <t>Program 1</t>
  </si>
  <si>
    <t>Program 2</t>
  </si>
  <si>
    <t>Program 3</t>
  </si>
  <si>
    <t>Very Small (VS)</t>
  </si>
  <si>
    <t>Small (S)</t>
  </si>
  <si>
    <t>Medium (M)</t>
  </si>
  <si>
    <t>Large (L)</t>
  </si>
  <si>
    <t>Very Large (VL)</t>
  </si>
  <si>
    <t>Avg</t>
  </si>
  <si>
    <t>S.D.</t>
  </si>
  <si>
    <t>Size</t>
  </si>
  <si>
    <t>LOC</t>
  </si>
  <si>
    <t>LOC/Minutes</t>
  </si>
  <si>
    <t>LOC/Hr</t>
  </si>
  <si>
    <t>1 / Productivity</t>
  </si>
  <si>
    <t>Method 2</t>
  </si>
  <si>
    <t>Method 3</t>
  </si>
  <si>
    <t>Program 4</t>
  </si>
  <si>
    <t>Function</t>
  </si>
  <si>
    <t>Proxy Table</t>
  </si>
  <si>
    <t>Sorting (3 Programs)</t>
  </si>
  <si>
    <t>Avg (3 programs)</t>
  </si>
  <si>
    <t>Sorting (4 Programs)</t>
  </si>
  <si>
    <t>Avg (4 programs)</t>
  </si>
  <si>
    <t>Time</t>
  </si>
  <si>
    <t>Productivity (3 programs)</t>
  </si>
  <si>
    <t>Productivity (4 programs)</t>
  </si>
  <si>
    <t>Minutes/LOC</t>
  </si>
  <si>
    <t>Method 1</t>
  </si>
  <si>
    <t>Time In Phase</t>
  </si>
  <si>
    <t>Program 5</t>
  </si>
  <si>
    <t>Total</t>
  </si>
  <si>
    <t>Receive problem /Requirements</t>
  </si>
  <si>
    <t>Analyze</t>
  </si>
  <si>
    <t>Plan</t>
  </si>
  <si>
    <t>Coding</t>
  </si>
  <si>
    <t>Test</t>
  </si>
  <si>
    <t>Debug</t>
  </si>
  <si>
    <t>Cumulative</t>
  </si>
  <si>
    <t>Estimate time in phase</t>
  </si>
  <si>
    <t>Cumulative Estimate time in phase</t>
  </si>
  <si>
    <t>Schedule</t>
  </si>
  <si>
    <t>design test</t>
  </si>
  <si>
    <t>create test</t>
  </si>
  <si>
    <t>Sorting (5 Programs)</t>
  </si>
  <si>
    <t>Productivity (5 programs)</t>
  </si>
  <si>
    <t>16.59.8</t>
  </si>
  <si>
    <t>No.</t>
  </si>
  <si>
    <t>Inject</t>
  </si>
  <si>
    <t>Remove</t>
  </si>
  <si>
    <t>Fixed time</t>
  </si>
  <si>
    <t>Fix Ref</t>
  </si>
  <si>
    <t>Description</t>
  </si>
  <si>
    <t>debug</t>
  </si>
  <si>
    <t>test</t>
  </si>
  <si>
    <t>syntax error, cannot convert int to list</t>
  </si>
  <si>
    <t>Correlation value</t>
  </si>
  <si>
    <t>r(3 programs)</t>
  </si>
  <si>
    <t>r(4 programs)</t>
  </si>
  <si>
    <t>r(5 programs)</t>
  </si>
  <si>
    <t>Program 6</t>
  </si>
  <si>
    <t>r(6 programs)</t>
  </si>
  <si>
    <t>Sorting (6 Programs)</t>
  </si>
  <si>
    <t>Avg (5 programs)</t>
  </si>
  <si>
    <t>Avg (6 programs)</t>
  </si>
  <si>
    <t>Productivity (6 programs)</t>
  </si>
  <si>
    <t>16.4.2</t>
  </si>
  <si>
    <t>16.4.9</t>
  </si>
  <si>
    <t>16.51.3</t>
  </si>
  <si>
    <t>16.52.6</t>
  </si>
  <si>
    <t>16.54.1</t>
  </si>
  <si>
    <t>16.55.9</t>
  </si>
  <si>
    <t>16.59.9</t>
  </si>
  <si>
    <t>chang int to floating point</t>
  </si>
  <si>
    <t>Time Elapse</t>
  </si>
  <si>
    <t>x</t>
  </si>
  <si>
    <t>y</t>
  </si>
  <si>
    <t>r_xy (3 programs)</t>
  </si>
  <si>
    <t>r_xy (4 programs)</t>
  </si>
  <si>
    <t>r_xy (5 programs)</t>
  </si>
  <si>
    <t>r_xy (6 programs)</t>
  </si>
  <si>
    <t>Module</t>
  </si>
  <si>
    <t>Base</t>
  </si>
  <si>
    <t>Added</t>
  </si>
  <si>
    <t>Modified</t>
  </si>
  <si>
    <t>Deleted</t>
  </si>
  <si>
    <t>Sum1-100</t>
  </si>
  <si>
    <t>Sumevennumber</t>
  </si>
  <si>
    <t>Method</t>
  </si>
  <si>
    <t>Proxy Size</t>
  </si>
  <si>
    <t>Average</t>
  </si>
  <si>
    <t>S</t>
  </si>
  <si>
    <t>Square</t>
  </si>
  <si>
    <t>M</t>
  </si>
  <si>
    <t>Overall</t>
  </si>
  <si>
    <t>VS</t>
  </si>
  <si>
    <t>L</t>
  </si>
  <si>
    <t>VL</t>
  </si>
  <si>
    <t>Second smallest number</t>
  </si>
  <si>
    <t>calculate-basic stat</t>
  </si>
  <si>
    <t>Pearson Correlation</t>
  </si>
  <si>
    <t>linear-regression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</si>
</sst>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:ss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Tahoma"/>
      <family val="2"/>
    </font>
    <font>
      <sz val="11"/>
      <color theme="1"/>
      <name val="Tahoma"/>
      <family val="2"/>
    </font>
    <font>
      <sz val="14"/>
      <color theme="1"/>
      <name val="Calibri"/>
      <family val="2"/>
      <scheme val="minor"/>
    </font>
    <font>
      <sz val="11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BDD7EE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5" borderId="2" applyNumberFormat="0" applyAlignment="0" applyProtection="0"/>
    <xf numFmtId="0" fontId="3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5" borderId="3" xfId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/>
    <xf numFmtId="0" fontId="5" fillId="0" borderId="0" xfId="0" applyFont="1"/>
    <xf numFmtId="0" fontId="5" fillId="10" borderId="5" xfId="0" applyFont="1" applyFill="1" applyBorder="1" applyAlignment="1">
      <alignment horizontal="center"/>
    </xf>
    <xf numFmtId="0" fontId="5" fillId="10" borderId="1" xfId="0" applyFont="1" applyFill="1" applyBorder="1"/>
    <xf numFmtId="0" fontId="7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0" borderId="0" xfId="0" applyFont="1"/>
    <xf numFmtId="0" fontId="6" fillId="0" borderId="0" xfId="0" applyFont="1"/>
    <xf numFmtId="0" fontId="9" fillId="10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11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2" borderId="7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3">
    <cellStyle name="Input" xfId="1" builtinId="20"/>
    <cellStyle name="Normal" xfId="0" builtinId="0"/>
    <cellStyle name="Normal 2" xfId="2" xr:uid="{C85FE163-5E19-41B6-A1B8-BAF0A3FD4B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'Pearson Correlation'!$B$2:$B$7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38</c:v>
                </c:pt>
                <c:pt idx="4">
                  <c:v>76</c:v>
                </c:pt>
                <c:pt idx="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8-4229-8510-87A13B674C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83944015"/>
        <c:axId val="1283944975"/>
      </c:scatterChart>
      <c:valAx>
        <c:axId val="128394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44975"/>
        <c:crosses val="autoZero"/>
        <c:crossBetween val="midCat"/>
      </c:valAx>
      <c:valAx>
        <c:axId val="12839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4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5</xdr:row>
      <xdr:rowOff>87630</xdr:rowOff>
    </xdr:from>
    <xdr:to>
      <xdr:col>14</xdr:col>
      <xdr:colOff>121920</xdr:colOff>
      <xdr:row>19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D23A0B-7434-F862-6F6C-60AC8652C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F3F8-98FA-47F0-8958-3F6CF337AC29}">
  <dimension ref="A2:N28"/>
  <sheetViews>
    <sheetView topLeftCell="A7" zoomScale="112" zoomScaleNormal="110" workbookViewId="0">
      <selection activeCell="B16" sqref="B16:F16"/>
    </sheetView>
  </sheetViews>
  <sheetFormatPr defaultRowHeight="14.4" x14ac:dyDescent="0.3"/>
  <cols>
    <col min="1" max="1" width="22.109375" bestFit="1" customWidth="1"/>
    <col min="2" max="2" width="13.21875" bestFit="1" customWidth="1"/>
    <col min="3" max="3" width="11" bestFit="1" customWidth="1"/>
    <col min="4" max="4" width="13.44140625" bestFit="1" customWidth="1"/>
    <col min="5" max="5" width="11" bestFit="1" customWidth="1"/>
    <col min="6" max="6" width="13.21875" bestFit="1" customWidth="1"/>
    <col min="9" max="12" width="8.88671875" customWidth="1"/>
    <col min="13" max="13" width="20.21875" customWidth="1"/>
  </cols>
  <sheetData>
    <row r="2" spans="1:14" x14ac:dyDescent="0.3">
      <c r="B2" s="3" t="s">
        <v>11</v>
      </c>
      <c r="C2" s="3" t="s">
        <v>18</v>
      </c>
      <c r="D2" s="3" t="s">
        <v>24</v>
      </c>
      <c r="E2" s="9" t="s">
        <v>8</v>
      </c>
      <c r="F2" s="9" t="s">
        <v>9</v>
      </c>
      <c r="I2" s="3" t="s">
        <v>28</v>
      </c>
      <c r="J2" s="3" t="s">
        <v>15</v>
      </c>
      <c r="K2" s="3" t="s">
        <v>16</v>
      </c>
      <c r="M2" s="18" t="s">
        <v>56</v>
      </c>
      <c r="N2" s="18"/>
    </row>
    <row r="3" spans="1:14" x14ac:dyDescent="0.3">
      <c r="A3" s="4" t="s">
        <v>0</v>
      </c>
      <c r="B3" s="2">
        <v>6</v>
      </c>
      <c r="C3" s="2">
        <v>1</v>
      </c>
      <c r="D3" s="10">
        <v>0</v>
      </c>
      <c r="E3" s="11">
        <v>6</v>
      </c>
      <c r="F3" s="11"/>
      <c r="I3" s="7"/>
      <c r="J3" s="7"/>
      <c r="K3" s="7"/>
      <c r="M3" s="5" t="s">
        <v>57</v>
      </c>
      <c r="N3" s="5">
        <f>CORREL(B3:B5,D3:D5)</f>
        <v>0.82199493652678635</v>
      </c>
    </row>
    <row r="4" spans="1:14" x14ac:dyDescent="0.3">
      <c r="A4" s="4" t="s">
        <v>1</v>
      </c>
      <c r="B4" s="2">
        <v>10</v>
      </c>
      <c r="C4" s="2">
        <v>1</v>
      </c>
      <c r="D4" s="10">
        <v>0</v>
      </c>
      <c r="E4" s="11">
        <f>AVERAGE(B3:B4)</f>
        <v>8</v>
      </c>
      <c r="F4" s="11">
        <f>_xlfn.STDEV.S(B3,B4)</f>
        <v>2.8284271247461903</v>
      </c>
      <c r="I4" s="7"/>
      <c r="J4" s="7"/>
      <c r="K4" s="7"/>
      <c r="M4" s="5" t="s">
        <v>58</v>
      </c>
      <c r="N4" s="5">
        <f>CORREL(B3:B6,D3:D6)</f>
        <v>0.9882912945938741</v>
      </c>
    </row>
    <row r="5" spans="1:14" x14ac:dyDescent="0.3">
      <c r="A5" s="4" t="s">
        <v>2</v>
      </c>
      <c r="B5" s="2">
        <v>13</v>
      </c>
      <c r="C5" s="2">
        <v>1</v>
      </c>
      <c r="D5" s="2">
        <v>13.56</v>
      </c>
      <c r="E5" s="2">
        <f>AVERAGE(B3:B5)</f>
        <v>9.6666666666666661</v>
      </c>
      <c r="F5" s="2">
        <f>_xlfn.STDEV.S(B3:B5)</f>
        <v>3.5118845842842474</v>
      </c>
      <c r="I5" s="7"/>
      <c r="J5" s="7"/>
      <c r="K5" s="7"/>
      <c r="M5" s="5" t="s">
        <v>59</v>
      </c>
      <c r="N5" s="5">
        <f>CORREL(B3:B7,D3:D7)</f>
        <v>0.5511208815373082</v>
      </c>
    </row>
    <row r="6" spans="1:14" x14ac:dyDescent="0.3">
      <c r="A6" s="4" t="s">
        <v>17</v>
      </c>
      <c r="B6" s="2">
        <v>38</v>
      </c>
      <c r="C6" s="2">
        <v>1</v>
      </c>
      <c r="D6" s="2">
        <v>212.22</v>
      </c>
      <c r="E6" s="2">
        <f>AVERAGE(B3:B6)</f>
        <v>16.75</v>
      </c>
      <c r="F6" s="2">
        <f>_xlfn.STDEV.S(B3:B6)</f>
        <v>14.453949863849212</v>
      </c>
      <c r="H6" s="1" t="s">
        <v>10</v>
      </c>
      <c r="I6" s="8"/>
      <c r="J6" s="5">
        <f>3*F13</f>
        <v>39</v>
      </c>
      <c r="K6" s="2">
        <f>3*F17</f>
        <v>50.071307505705477</v>
      </c>
      <c r="M6" s="5" t="s">
        <v>61</v>
      </c>
      <c r="N6" s="5">
        <f>CORREL(B3:B8,D3:D8)</f>
        <v>0.41790342445235734</v>
      </c>
    </row>
    <row r="7" spans="1:14" x14ac:dyDescent="0.3">
      <c r="A7" s="4" t="s">
        <v>30</v>
      </c>
      <c r="B7" s="2">
        <v>76</v>
      </c>
      <c r="C7" s="2">
        <v>6</v>
      </c>
      <c r="D7" s="2">
        <v>86.55</v>
      </c>
      <c r="E7" s="2">
        <f>AVERAGE(B3:B7)</f>
        <v>28.6</v>
      </c>
      <c r="F7" s="2">
        <f>_xlfn.STDEV.S(B3:B7)</f>
        <v>29.305289624912426</v>
      </c>
      <c r="H7" s="1" t="s">
        <v>24</v>
      </c>
      <c r="I7" s="5">
        <v>60</v>
      </c>
      <c r="J7" s="5">
        <f>J6*D25</f>
        <v>40.68</v>
      </c>
      <c r="K7" s="5">
        <f>K6*D25</f>
        <v>52.228225367489706</v>
      </c>
      <c r="M7" s="5"/>
      <c r="N7" s="5"/>
    </row>
    <row r="8" spans="1:14" x14ac:dyDescent="0.3">
      <c r="A8" s="4" t="s">
        <v>60</v>
      </c>
      <c r="B8" s="2">
        <v>64</v>
      </c>
      <c r="C8" s="2">
        <v>5</v>
      </c>
      <c r="D8" s="2">
        <v>37.1</v>
      </c>
      <c r="E8" s="2">
        <f>AVERAGE(B3:B8)</f>
        <v>34.5</v>
      </c>
      <c r="F8" s="2">
        <f>_xlfn.STDEV.S(B3:B8)</f>
        <v>29.931588664820314</v>
      </c>
      <c r="H8" s="1"/>
      <c r="I8" s="19"/>
      <c r="J8" s="19"/>
      <c r="K8" s="19"/>
      <c r="M8" s="19"/>
      <c r="N8" s="19"/>
    </row>
    <row r="11" spans="1:14" x14ac:dyDescent="0.3">
      <c r="A11" t="s">
        <v>19</v>
      </c>
    </row>
    <row r="12" spans="1:14" x14ac:dyDescent="0.3">
      <c r="A12" s="5"/>
      <c r="B12" s="3" t="s">
        <v>3</v>
      </c>
      <c r="C12" s="3" t="s">
        <v>4</v>
      </c>
      <c r="D12" s="3" t="s">
        <v>5</v>
      </c>
      <c r="E12" s="3" t="s">
        <v>6</v>
      </c>
      <c r="F12" s="3" t="s">
        <v>7</v>
      </c>
    </row>
    <row r="13" spans="1:14" x14ac:dyDescent="0.3">
      <c r="A13" s="5" t="s">
        <v>20</v>
      </c>
      <c r="B13" s="2">
        <v>6</v>
      </c>
      <c r="C13" s="2">
        <f xml:space="preserve"> (D13+B13)/2</f>
        <v>8</v>
      </c>
      <c r="D13" s="2">
        <v>10</v>
      </c>
      <c r="E13" s="2">
        <f>(F13+D13)/2</f>
        <v>11.5</v>
      </c>
      <c r="F13" s="2">
        <v>13</v>
      </c>
    </row>
    <row r="14" spans="1:14" x14ac:dyDescent="0.3">
      <c r="A14" s="5" t="s">
        <v>22</v>
      </c>
      <c r="B14" s="2">
        <v>6</v>
      </c>
      <c r="C14" s="2">
        <f>(B14+D14)/2</f>
        <v>8.75</v>
      </c>
      <c r="D14" s="2">
        <v>11.5</v>
      </c>
      <c r="E14" s="2">
        <f>(F14+D14)/2</f>
        <v>24.75</v>
      </c>
      <c r="F14" s="2">
        <v>38</v>
      </c>
    </row>
    <row r="15" spans="1:14" x14ac:dyDescent="0.3">
      <c r="A15" s="5" t="s">
        <v>44</v>
      </c>
      <c r="B15" s="2">
        <v>6</v>
      </c>
      <c r="C15" s="2">
        <f>(B15+D15)/2</f>
        <v>9.5</v>
      </c>
      <c r="D15" s="2">
        <v>13</v>
      </c>
      <c r="E15" s="2">
        <f>(F15+D15)/2</f>
        <v>44.5</v>
      </c>
      <c r="F15" s="2">
        <v>76</v>
      </c>
    </row>
    <row r="16" spans="1:14" x14ac:dyDescent="0.3">
      <c r="A16" s="5" t="s">
        <v>62</v>
      </c>
      <c r="B16" s="2">
        <v>6</v>
      </c>
      <c r="C16" s="2">
        <f>(D16+B16)/2</f>
        <v>15.75</v>
      </c>
      <c r="D16" s="2">
        <v>25.5</v>
      </c>
      <c r="E16" s="2">
        <f>(D16+F16)/2</f>
        <v>50.75</v>
      </c>
      <c r="F16" s="2">
        <v>76</v>
      </c>
    </row>
    <row r="17" spans="1:6" x14ac:dyDescent="0.3">
      <c r="A17" s="5" t="s">
        <v>21</v>
      </c>
      <c r="B17" s="2">
        <f>E5-(2*F5)</f>
        <v>2.6428974980981712</v>
      </c>
      <c r="C17" s="2">
        <f>E5-F5</f>
        <v>6.1547820823824182</v>
      </c>
      <c r="D17" s="2">
        <v>9.67</v>
      </c>
      <c r="E17" s="2">
        <f>E5+F5</f>
        <v>13.178551250950914</v>
      </c>
      <c r="F17" s="2">
        <f>E5+(2*F5)</f>
        <v>16.69043583523516</v>
      </c>
    </row>
    <row r="18" spans="1:6" x14ac:dyDescent="0.3">
      <c r="A18" s="5" t="s">
        <v>23</v>
      </c>
      <c r="B18" s="2">
        <f>E6-(2*F6)</f>
        <v>-12.157899727698425</v>
      </c>
      <c r="C18" s="2">
        <f>E6-F6</f>
        <v>2.2960501361507877</v>
      </c>
      <c r="D18" s="2">
        <v>16.75</v>
      </c>
      <c r="E18" s="2">
        <f>E6+F6</f>
        <v>31.203949863849211</v>
      </c>
      <c r="F18" s="2">
        <f>E6+(2*F6)</f>
        <v>45.657899727698421</v>
      </c>
    </row>
    <row r="19" spans="1:6" x14ac:dyDescent="0.3">
      <c r="A19" s="5" t="s">
        <v>63</v>
      </c>
      <c r="B19" s="2">
        <f>E7-(2*F7)</f>
        <v>-30.01057924982485</v>
      </c>
      <c r="C19" s="2">
        <f>E7-F7</f>
        <v>-0.70528962491242453</v>
      </c>
      <c r="D19" s="2">
        <f>AVERAGE(B3:B7)</f>
        <v>28.6</v>
      </c>
      <c r="E19" s="2">
        <f>E7+F7</f>
        <v>57.905289624912427</v>
      </c>
      <c r="F19" s="2">
        <f>E7+(2*F7)</f>
        <v>87.21057924982486</v>
      </c>
    </row>
    <row r="20" spans="1:6" x14ac:dyDescent="0.3">
      <c r="A20" s="5" t="s">
        <v>64</v>
      </c>
      <c r="B20" s="2">
        <f>E8-(2*F8)</f>
        <v>-25.363177329640628</v>
      </c>
      <c r="C20" s="2">
        <f>E8-F8</f>
        <v>4.568411335179686</v>
      </c>
      <c r="D20" s="2">
        <f>AVERAGE(B3:B8)</f>
        <v>34.5</v>
      </c>
      <c r="E20" s="2">
        <f>E8+F8</f>
        <v>64.43158866482031</v>
      </c>
      <c r="F20" s="2">
        <f>E8+(2*F8)</f>
        <v>94.363177329640621</v>
      </c>
    </row>
    <row r="23" spans="1:6" x14ac:dyDescent="0.3">
      <c r="B23" s="3"/>
      <c r="C23" s="3"/>
      <c r="D23" s="3" t="s">
        <v>27</v>
      </c>
    </row>
    <row r="24" spans="1:6" x14ac:dyDescent="0.3">
      <c r="B24" s="3" t="s">
        <v>12</v>
      </c>
      <c r="C24" s="3" t="s">
        <v>13</v>
      </c>
      <c r="D24" s="3" t="s">
        <v>14</v>
      </c>
    </row>
    <row r="25" spans="1:6" x14ac:dyDescent="0.3">
      <c r="A25" s="4" t="s">
        <v>25</v>
      </c>
      <c r="B25" s="2">
        <f>B5/D5</f>
        <v>0.95870206489675514</v>
      </c>
      <c r="C25" s="2">
        <f>B25*60</f>
        <v>57.522123893805308</v>
      </c>
      <c r="D25" s="2">
        <f>1/B25</f>
        <v>1.043076923076923</v>
      </c>
    </row>
    <row r="26" spans="1:6" x14ac:dyDescent="0.3">
      <c r="A26" s="4" t="s">
        <v>26</v>
      </c>
      <c r="B26" s="2">
        <f>(B5+B6)/(D5+D6)</f>
        <v>0.22588360350783948</v>
      </c>
      <c r="C26" s="2">
        <f>B26*60</f>
        <v>13.55301621047037</v>
      </c>
      <c r="D26" s="2">
        <f>1/B26</f>
        <v>4.4270588235294124</v>
      </c>
    </row>
    <row r="27" spans="1:6" x14ac:dyDescent="0.3">
      <c r="A27" s="4" t="s">
        <v>45</v>
      </c>
      <c r="B27" s="5">
        <f>(SUM(B5:B7)/(D5+D6+D7))</f>
        <v>0.40662120193385204</v>
      </c>
      <c r="C27" s="5">
        <f>B27*60</f>
        <v>24.397272116031122</v>
      </c>
      <c r="D27" s="2">
        <f>1/B27</f>
        <v>2.4592913385826769</v>
      </c>
    </row>
    <row r="28" spans="1:6" x14ac:dyDescent="0.3">
      <c r="A28" s="4" t="s">
        <v>65</v>
      </c>
      <c r="B28" s="5">
        <f>(SUM(B5:B8))/(D5+D6+D7+D8)</f>
        <v>0.54660447013708036</v>
      </c>
      <c r="C28" s="5">
        <f>B28*60</f>
        <v>32.796268208224824</v>
      </c>
      <c r="D28" s="2">
        <f>1/B28</f>
        <v>1.8294764397905761</v>
      </c>
    </row>
  </sheetData>
  <mergeCells count="1"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43D7-0216-4820-9D88-E8E1010CBE01}">
  <dimension ref="A1:T11"/>
  <sheetViews>
    <sheetView topLeftCell="D1" zoomScale="120" zoomScaleNormal="120" workbookViewId="0">
      <selection activeCell="J14" sqref="J14"/>
    </sheetView>
  </sheetViews>
  <sheetFormatPr defaultRowHeight="14.4" x14ac:dyDescent="0.3"/>
  <cols>
    <col min="1" max="1" width="30.33203125" customWidth="1"/>
    <col min="2" max="2" width="13.5546875" customWidth="1"/>
    <col min="3" max="3" width="11.5546875" customWidth="1"/>
    <col min="4" max="5" width="10.88671875" customWidth="1"/>
    <col min="8" max="8" width="11.77734375" customWidth="1"/>
    <col min="9" max="9" width="10.44140625" customWidth="1"/>
    <col min="10" max="11" width="11.109375" customWidth="1"/>
    <col min="12" max="12" width="14.44140625" customWidth="1"/>
    <col min="15" max="15" width="12.21875" customWidth="1"/>
    <col min="16" max="16" width="18.88671875" customWidth="1"/>
    <col min="17" max="17" width="13.44140625" customWidth="1"/>
  </cols>
  <sheetData>
    <row r="1" spans="1:20" ht="72" x14ac:dyDescent="0.3">
      <c r="A1" s="12" t="s">
        <v>29</v>
      </c>
      <c r="B1" s="12" t="s">
        <v>2</v>
      </c>
      <c r="C1" s="12" t="s">
        <v>17</v>
      </c>
      <c r="D1" s="12" t="s">
        <v>30</v>
      </c>
      <c r="E1" s="12" t="s">
        <v>60</v>
      </c>
      <c r="F1" s="12" t="s">
        <v>31</v>
      </c>
      <c r="H1" s="12" t="s">
        <v>2</v>
      </c>
      <c r="I1" s="12" t="s">
        <v>17</v>
      </c>
      <c r="J1" s="12" t="s">
        <v>30</v>
      </c>
      <c r="K1" s="13" t="s">
        <v>60</v>
      </c>
      <c r="L1" s="13" t="s">
        <v>38</v>
      </c>
      <c r="N1">
        <v>60</v>
      </c>
      <c r="O1" s="12" t="s">
        <v>29</v>
      </c>
      <c r="Q1" s="14" t="s">
        <v>39</v>
      </c>
      <c r="R1" s="14" t="s">
        <v>40</v>
      </c>
      <c r="T1" s="6" t="s">
        <v>41</v>
      </c>
    </row>
    <row r="2" spans="1:20" x14ac:dyDescent="0.3">
      <c r="A2" s="5" t="s">
        <v>32</v>
      </c>
      <c r="B2" s="5">
        <v>0.04</v>
      </c>
      <c r="C2" s="5">
        <v>4.4400000000000004</v>
      </c>
      <c r="D2" s="5">
        <v>0.52</v>
      </c>
      <c r="E2" s="5">
        <v>0.45</v>
      </c>
      <c r="F2" s="5">
        <f>SUM(B2:E2)</f>
        <v>5.45</v>
      </c>
      <c r="H2" s="5">
        <f>B2/B$11</f>
        <v>3.0395136778115501E-3</v>
      </c>
      <c r="I2" s="5">
        <f>C2/C$11</f>
        <v>2.1080619124489608E-2</v>
      </c>
      <c r="J2" s="5">
        <f>D2/D$11</f>
        <v>6.0925600468658475E-3</v>
      </c>
      <c r="K2" s="5">
        <f>E2/E$11</f>
        <v>1.2396694214876035E-2</v>
      </c>
      <c r="L2" s="5">
        <f>F2/F$11</f>
        <v>1.5777436817879169E-2</v>
      </c>
      <c r="N2" s="5">
        <f>N$1*L2</f>
        <v>0.94664620907275021</v>
      </c>
      <c r="O2" s="5" t="s">
        <v>32</v>
      </c>
      <c r="Q2" s="2">
        <f>ROUND(N2,1)</f>
        <v>0.9</v>
      </c>
      <c r="R2" s="15">
        <f>Q2</f>
        <v>0.9</v>
      </c>
      <c r="S2">
        <v>16</v>
      </c>
      <c r="T2" s="16">
        <v>16.09</v>
      </c>
    </row>
    <row r="3" spans="1:20" x14ac:dyDescent="0.3">
      <c r="A3" s="5" t="s">
        <v>33</v>
      </c>
      <c r="B3" s="5">
        <v>6.1</v>
      </c>
      <c r="C3" s="5">
        <v>8.57</v>
      </c>
      <c r="D3" s="5">
        <v>4.05</v>
      </c>
      <c r="E3" s="5">
        <v>0.27</v>
      </c>
      <c r="F3" s="5">
        <f>SUM(B3:E3)</f>
        <v>18.989999999999998</v>
      </c>
      <c r="H3" s="5">
        <f t="shared" ref="H3:H9" si="0">B3/B$11</f>
        <v>0.46352583586626139</v>
      </c>
      <c r="I3" s="5">
        <f t="shared" ref="I3:I10" si="1">C3/C$11</f>
        <v>4.0689393220017099E-2</v>
      </c>
      <c r="J3" s="5">
        <f t="shared" ref="J3:J10" si="2">D3/D$11</f>
        <v>4.7451669595782078E-2</v>
      </c>
      <c r="K3" s="5">
        <f t="shared" ref="K3:K11" si="3">E3/E$11</f>
        <v>7.4380165289256207E-3</v>
      </c>
      <c r="L3" s="5">
        <f>F3/F$11</f>
        <v>5.4974958747068876E-2</v>
      </c>
      <c r="N3" s="5">
        <f t="shared" ref="N3:N11" si="4">N$1*L3</f>
        <v>3.2984975248241324</v>
      </c>
      <c r="O3" s="5" t="s">
        <v>33</v>
      </c>
      <c r="Q3" s="2">
        <f t="shared" ref="Q3:Q10" si="5">ROUND(N3,1)</f>
        <v>3.3</v>
      </c>
      <c r="R3" s="15">
        <f>Q3+R2</f>
        <v>4.2</v>
      </c>
      <c r="T3" s="16" t="s">
        <v>66</v>
      </c>
    </row>
    <row r="4" spans="1:20" x14ac:dyDescent="0.3">
      <c r="A4" s="5" t="s">
        <v>34</v>
      </c>
      <c r="B4" s="5">
        <v>0.49</v>
      </c>
      <c r="C4" s="5">
        <v>1.52</v>
      </c>
      <c r="D4" s="5">
        <v>0.17</v>
      </c>
      <c r="E4" s="5">
        <v>2.0499999999999998</v>
      </c>
      <c r="F4" s="5">
        <f>SUM(B4:E4)</f>
        <v>4.2299999999999995</v>
      </c>
      <c r="H4" s="5">
        <f t="shared" si="0"/>
        <v>3.7234042553191488E-2</v>
      </c>
      <c r="I4" s="5">
        <f t="shared" si="1"/>
        <v>7.2167885291045493E-3</v>
      </c>
      <c r="J4" s="5">
        <f t="shared" si="2"/>
        <v>1.9917984768599885E-3</v>
      </c>
      <c r="K4" s="5">
        <f t="shared" si="3"/>
        <v>5.647382920110193E-2</v>
      </c>
      <c r="L4" s="5">
        <f>F4/F$11</f>
        <v>1.2245606924702545E-2</v>
      </c>
      <c r="N4" s="5">
        <f t="shared" si="4"/>
        <v>0.73473641548215263</v>
      </c>
      <c r="O4" s="5" t="s">
        <v>34</v>
      </c>
      <c r="Q4" s="2">
        <f t="shared" si="5"/>
        <v>0.7</v>
      </c>
      <c r="R4" s="15">
        <f t="shared" ref="R4:R10" si="6">Q4+R3</f>
        <v>4.9000000000000004</v>
      </c>
      <c r="T4" s="16" t="s">
        <v>67</v>
      </c>
    </row>
    <row r="5" spans="1:20" x14ac:dyDescent="0.3">
      <c r="A5" s="5" t="s">
        <v>35</v>
      </c>
      <c r="B5" s="5">
        <v>3.28</v>
      </c>
      <c r="C5" s="5">
        <v>173.07</v>
      </c>
      <c r="D5" s="5">
        <v>65.59</v>
      </c>
      <c r="E5" s="5">
        <v>25.06</v>
      </c>
      <c r="F5" s="5">
        <f>SUM(B5:E5)</f>
        <v>267</v>
      </c>
      <c r="H5" s="5">
        <f t="shared" si="0"/>
        <v>0.24924012158054709</v>
      </c>
      <c r="I5" s="5">
        <f t="shared" si="1"/>
        <v>0.82171683600797651</v>
      </c>
      <c r="J5" s="5">
        <f t="shared" si="2"/>
        <v>0.76848271821909797</v>
      </c>
      <c r="K5" s="5">
        <f t="shared" si="3"/>
        <v>0.69035812672176311</v>
      </c>
      <c r="L5" s="5">
        <f>F5/F$11</f>
        <v>0.77294965694930962</v>
      </c>
      <c r="N5" s="5">
        <f t="shared" si="4"/>
        <v>46.376979416958577</v>
      </c>
      <c r="O5" s="5" t="s">
        <v>35</v>
      </c>
      <c r="Q5" s="2">
        <f t="shared" si="5"/>
        <v>46.4</v>
      </c>
      <c r="R5" s="15">
        <f t="shared" si="6"/>
        <v>51.3</v>
      </c>
      <c r="T5" s="16" t="s">
        <v>68</v>
      </c>
    </row>
    <row r="6" spans="1:20" x14ac:dyDescent="0.3">
      <c r="A6" s="5" t="s">
        <v>42</v>
      </c>
      <c r="B6" s="5">
        <v>0.1</v>
      </c>
      <c r="C6" s="5">
        <v>4.2</v>
      </c>
      <c r="D6" s="5">
        <v>3.05</v>
      </c>
      <c r="E6" s="5">
        <v>0.04</v>
      </c>
      <c r="F6" s="5">
        <f>SUM(B6:E6)</f>
        <v>7.39</v>
      </c>
      <c r="H6" s="5">
        <f t="shared" si="0"/>
        <v>7.5987841945288756E-3</v>
      </c>
      <c r="I6" s="5">
        <f t="shared" si="1"/>
        <v>1.994112619884152E-2</v>
      </c>
      <c r="J6" s="5">
        <f t="shared" si="2"/>
        <v>3.5735207967193906E-2</v>
      </c>
      <c r="K6" s="5">
        <f t="shared" si="3"/>
        <v>1.1019283746556475E-3</v>
      </c>
      <c r="L6" s="5">
        <f>F6/F$11</f>
        <v>2.1393625336537072E-2</v>
      </c>
      <c r="N6" s="5">
        <f t="shared" si="4"/>
        <v>1.2836175201922244</v>
      </c>
      <c r="O6" s="5" t="s">
        <v>42</v>
      </c>
      <c r="Q6" s="2">
        <f t="shared" si="5"/>
        <v>1.3</v>
      </c>
      <c r="R6" s="15">
        <f t="shared" si="6"/>
        <v>52.599999999999994</v>
      </c>
      <c r="T6" s="16" t="s">
        <v>69</v>
      </c>
    </row>
    <row r="7" spans="1:20" x14ac:dyDescent="0.3">
      <c r="A7" s="5" t="s">
        <v>43</v>
      </c>
      <c r="B7" s="5">
        <v>2.08</v>
      </c>
      <c r="C7" s="5">
        <v>2.02</v>
      </c>
      <c r="D7" s="5">
        <v>4.3099999999999996</v>
      </c>
      <c r="E7" s="5">
        <v>0.12</v>
      </c>
      <c r="F7" s="5">
        <f>SUM(B7:E7)</f>
        <v>8.5299999999999994</v>
      </c>
      <c r="H7" s="5">
        <f t="shared" si="0"/>
        <v>0.1580547112462006</v>
      </c>
      <c r="I7" s="5">
        <f t="shared" si="1"/>
        <v>9.5907321242047292E-3</v>
      </c>
      <c r="J7" s="5">
        <f t="shared" si="2"/>
        <v>5.0497949619214999E-2</v>
      </c>
      <c r="K7" s="5">
        <f t="shared" si="3"/>
        <v>3.3057851239669425E-3</v>
      </c>
      <c r="L7" s="5">
        <f>F7/F$11</f>
        <v>2.469385982688244E-2</v>
      </c>
      <c r="N7" s="5">
        <f t="shared" si="4"/>
        <v>1.4816315896129464</v>
      </c>
      <c r="O7" s="5" t="s">
        <v>43</v>
      </c>
      <c r="Q7" s="2">
        <f t="shared" si="5"/>
        <v>1.5</v>
      </c>
      <c r="R7" s="15">
        <f t="shared" si="6"/>
        <v>54.099999999999994</v>
      </c>
      <c r="T7" s="16" t="s">
        <v>70</v>
      </c>
    </row>
    <row r="8" spans="1:20" x14ac:dyDescent="0.3">
      <c r="A8" s="5" t="s">
        <v>36</v>
      </c>
      <c r="B8" s="5">
        <v>1.07</v>
      </c>
      <c r="C8" s="5">
        <v>1.1399999999999999</v>
      </c>
      <c r="D8" s="5">
        <v>0.09</v>
      </c>
      <c r="E8" s="5">
        <v>8.31</v>
      </c>
      <c r="F8" s="5">
        <f>SUM(B8:E8)</f>
        <v>10.61</v>
      </c>
      <c r="H8" s="5">
        <f t="shared" si="0"/>
        <v>8.1306990881458971E-2</v>
      </c>
      <c r="I8" s="5">
        <f t="shared" si="1"/>
        <v>5.4125913968284117E-3</v>
      </c>
      <c r="J8" s="5">
        <f t="shared" si="2"/>
        <v>1.054481546572935E-3</v>
      </c>
      <c r="K8" s="5">
        <f t="shared" si="3"/>
        <v>0.22892561983471077</v>
      </c>
      <c r="L8" s="5">
        <f>F8/F$11</f>
        <v>3.0715340300495039E-2</v>
      </c>
      <c r="N8" s="5">
        <f t="shared" si="4"/>
        <v>1.8429204180297023</v>
      </c>
      <c r="O8" s="5" t="s">
        <v>36</v>
      </c>
      <c r="Q8" s="2">
        <f t="shared" si="5"/>
        <v>1.8</v>
      </c>
      <c r="R8" s="15">
        <f t="shared" si="6"/>
        <v>55.899999999999991</v>
      </c>
      <c r="T8" s="16" t="s">
        <v>71</v>
      </c>
    </row>
    <row r="9" spans="1:20" x14ac:dyDescent="0.3">
      <c r="A9" s="5" t="s">
        <v>37</v>
      </c>
      <c r="B9" s="5">
        <v>0</v>
      </c>
      <c r="C9" s="5">
        <v>15.32</v>
      </c>
      <c r="D9" s="5">
        <v>7.38</v>
      </c>
      <c r="E9" s="5">
        <v>0</v>
      </c>
      <c r="F9" s="5">
        <f>SUM(B9:E9)</f>
        <v>22.7</v>
      </c>
      <c r="H9" s="5">
        <f t="shared" si="0"/>
        <v>0</v>
      </c>
      <c r="I9" s="5">
        <f t="shared" si="1"/>
        <v>7.2737631753869533E-2</v>
      </c>
      <c r="J9" s="5">
        <f t="shared" si="2"/>
        <v>8.6467486818980671E-2</v>
      </c>
      <c r="K9" s="5">
        <f t="shared" si="3"/>
        <v>0</v>
      </c>
      <c r="L9" s="5">
        <f>F9/F$11</f>
        <v>6.5715195553368272E-2</v>
      </c>
      <c r="N9" s="5">
        <f t="shared" si="4"/>
        <v>3.9429117332020964</v>
      </c>
      <c r="O9" s="5" t="s">
        <v>37</v>
      </c>
      <c r="Q9" s="2">
        <f t="shared" si="5"/>
        <v>3.9</v>
      </c>
      <c r="R9" s="15">
        <f t="shared" si="6"/>
        <v>59.79999999999999</v>
      </c>
      <c r="T9" s="16" t="s">
        <v>46</v>
      </c>
    </row>
    <row r="10" spans="1:20" x14ac:dyDescent="0.3">
      <c r="A10" s="5" t="s">
        <v>36</v>
      </c>
      <c r="B10" s="5">
        <v>0</v>
      </c>
      <c r="C10" s="5">
        <v>0.34</v>
      </c>
      <c r="D10" s="5">
        <v>0.19</v>
      </c>
      <c r="E10" s="5">
        <v>0</v>
      </c>
      <c r="F10" s="5">
        <f>SUM(B10:E10)</f>
        <v>0.53</v>
      </c>
      <c r="H10" s="5">
        <f t="shared" ref="H10" si="7">B10/B$11</f>
        <v>0</v>
      </c>
      <c r="I10" s="5">
        <f t="shared" si="1"/>
        <v>1.6142816446681229E-3</v>
      </c>
      <c r="J10" s="5">
        <f t="shared" si="2"/>
        <v>2.2261277094317517E-3</v>
      </c>
      <c r="K10" s="5">
        <f t="shared" si="3"/>
        <v>0</v>
      </c>
      <c r="L10" s="5">
        <f>F10/F$11</f>
        <v>1.5343195437570567E-3</v>
      </c>
      <c r="N10" s="5">
        <f t="shared" si="4"/>
        <v>9.2059172625423402E-2</v>
      </c>
      <c r="O10" s="5" t="s">
        <v>36</v>
      </c>
      <c r="Q10" s="2">
        <f t="shared" si="5"/>
        <v>0.1</v>
      </c>
      <c r="R10" s="15">
        <f t="shared" si="6"/>
        <v>59.899999999999991</v>
      </c>
      <c r="T10" s="16" t="s">
        <v>72</v>
      </c>
    </row>
    <row r="11" spans="1:20" x14ac:dyDescent="0.3">
      <c r="A11" s="12" t="s">
        <v>31</v>
      </c>
      <c r="B11" s="12">
        <f>SUM(B2:B10)</f>
        <v>13.16</v>
      </c>
      <c r="C11" s="12">
        <f>SUM(C2:C10)</f>
        <v>210.61999999999998</v>
      </c>
      <c r="D11" s="12">
        <f>SUM(D2:D10)</f>
        <v>85.35</v>
      </c>
      <c r="E11" s="12">
        <f>SUM(E2:E10)</f>
        <v>36.299999999999997</v>
      </c>
      <c r="F11" s="12">
        <f>SUM(F2:F10)</f>
        <v>345.42999999999995</v>
      </c>
      <c r="H11" s="12">
        <f>SUM(H2:H10)</f>
        <v>1</v>
      </c>
      <c r="I11" s="12">
        <f>SUM(I2:I10)</f>
        <v>0.99999999999999989</v>
      </c>
      <c r="J11" s="12">
        <f>SUM(J2:J10)</f>
        <v>1</v>
      </c>
      <c r="K11" s="20">
        <f t="shared" si="3"/>
        <v>1</v>
      </c>
      <c r="L11" s="12">
        <f>SUM(L2:L10)</f>
        <v>1.0000000000000002</v>
      </c>
      <c r="N11" s="5">
        <f t="shared" si="4"/>
        <v>60.000000000000014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593C-A47B-40D2-87B8-77241CD8973D}">
  <dimension ref="A1:F9"/>
  <sheetViews>
    <sheetView zoomScale="120" zoomScaleNormal="120" workbookViewId="0">
      <selection activeCell="F3" sqref="F3"/>
    </sheetView>
  </sheetViews>
  <sheetFormatPr defaultRowHeight="14.4" x14ac:dyDescent="0.3"/>
  <cols>
    <col min="2" max="2" width="17.77734375" bestFit="1" customWidth="1"/>
    <col min="4" max="4" width="17" customWidth="1"/>
    <col min="6" max="6" width="57.5546875" customWidth="1"/>
  </cols>
  <sheetData>
    <row r="1" spans="1:6" x14ac:dyDescent="0.3">
      <c r="A1" s="12" t="s">
        <v>47</v>
      </c>
      <c r="B1" s="12" t="s">
        <v>48</v>
      </c>
      <c r="C1" s="12" t="s">
        <v>49</v>
      </c>
      <c r="D1" s="12" t="s">
        <v>50</v>
      </c>
      <c r="E1" s="12" t="s">
        <v>51</v>
      </c>
      <c r="F1" s="12" t="s">
        <v>52</v>
      </c>
    </row>
    <row r="2" spans="1:6" x14ac:dyDescent="0.3">
      <c r="A2" s="5">
        <v>5</v>
      </c>
      <c r="B2" s="17" t="s">
        <v>54</v>
      </c>
      <c r="C2" s="5" t="s">
        <v>53</v>
      </c>
      <c r="D2" s="17"/>
      <c r="E2" s="5"/>
      <c r="F2" s="5" t="s">
        <v>55</v>
      </c>
    </row>
    <row r="3" spans="1:6" x14ac:dyDescent="0.3">
      <c r="A3" s="5">
        <v>6</v>
      </c>
      <c r="B3" s="5" t="s">
        <v>54</v>
      </c>
      <c r="C3" s="5" t="s">
        <v>53</v>
      </c>
      <c r="D3" s="5"/>
      <c r="E3" s="5"/>
      <c r="F3" s="5" t="s">
        <v>73</v>
      </c>
    </row>
    <row r="4" spans="1:6" x14ac:dyDescent="0.3">
      <c r="A4" s="5"/>
      <c r="B4" s="5"/>
      <c r="C4" s="5"/>
      <c r="D4" s="5"/>
      <c r="E4" s="5"/>
      <c r="F4" s="5"/>
    </row>
    <row r="5" spans="1:6" x14ac:dyDescent="0.3">
      <c r="A5" s="5"/>
      <c r="B5" s="5"/>
      <c r="C5" s="5"/>
      <c r="D5" s="5"/>
      <c r="E5" s="5"/>
      <c r="F5" s="5"/>
    </row>
    <row r="6" spans="1:6" x14ac:dyDescent="0.3">
      <c r="A6" s="5"/>
      <c r="B6" s="5"/>
      <c r="C6" s="5"/>
      <c r="D6" s="5"/>
      <c r="E6" s="5"/>
      <c r="F6" s="5"/>
    </row>
    <row r="7" spans="1:6" x14ac:dyDescent="0.3">
      <c r="A7" s="5"/>
      <c r="B7" s="5"/>
      <c r="C7" s="5"/>
      <c r="D7" s="5"/>
      <c r="E7" s="5"/>
      <c r="F7" s="5"/>
    </row>
    <row r="8" spans="1:6" x14ac:dyDescent="0.3">
      <c r="A8" s="5"/>
      <c r="B8" s="5"/>
      <c r="C8" s="5"/>
      <c r="D8" s="5"/>
      <c r="E8" s="5"/>
      <c r="F8" s="5"/>
    </row>
    <row r="9" spans="1:6" x14ac:dyDescent="0.3">
      <c r="A9" s="5"/>
      <c r="B9" s="5"/>
      <c r="C9" s="5"/>
      <c r="D9" s="5"/>
      <c r="E9" s="5"/>
      <c r="F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6596-9E21-4AA3-B975-D675DC186001}">
  <dimension ref="A1:C24"/>
  <sheetViews>
    <sheetView topLeftCell="A11" zoomScaleNormal="100" workbookViewId="0">
      <selection activeCell="E17" sqref="E17"/>
    </sheetView>
  </sheetViews>
  <sheetFormatPr defaultRowHeight="14.4" x14ac:dyDescent="0.3"/>
  <cols>
    <col min="1" max="1" width="19.77734375" customWidth="1"/>
    <col min="2" max="2" width="25.5546875" customWidth="1"/>
    <col min="3" max="3" width="29.33203125" customWidth="1"/>
  </cols>
  <sheetData>
    <row r="1" spans="1:3" ht="17.399999999999999" x14ac:dyDescent="0.3">
      <c r="A1" s="21"/>
      <c r="B1" s="22" t="s">
        <v>11</v>
      </c>
      <c r="C1" s="22" t="s">
        <v>74</v>
      </c>
    </row>
    <row r="2" spans="1:3" ht="18" x14ac:dyDescent="0.35">
      <c r="A2" s="23" t="s">
        <v>0</v>
      </c>
      <c r="B2" s="24">
        <v>6</v>
      </c>
      <c r="C2" s="25">
        <v>0</v>
      </c>
    </row>
    <row r="3" spans="1:3" ht="18" x14ac:dyDescent="0.35">
      <c r="A3" s="23" t="s">
        <v>1</v>
      </c>
      <c r="B3" s="24">
        <v>10</v>
      </c>
      <c r="C3" s="25">
        <v>0</v>
      </c>
    </row>
    <row r="4" spans="1:3" ht="18" x14ac:dyDescent="0.35">
      <c r="A4" s="23" t="s">
        <v>2</v>
      </c>
      <c r="B4" s="24">
        <v>13</v>
      </c>
      <c r="C4" s="24">
        <v>13.56</v>
      </c>
    </row>
    <row r="5" spans="1:3" ht="18" x14ac:dyDescent="0.35">
      <c r="A5" s="23" t="s">
        <v>17</v>
      </c>
      <c r="B5" s="24">
        <v>38</v>
      </c>
      <c r="C5" s="24">
        <v>212.22</v>
      </c>
    </row>
    <row r="6" spans="1:3" ht="18" x14ac:dyDescent="0.35">
      <c r="A6" s="23" t="s">
        <v>30</v>
      </c>
      <c r="B6" s="24">
        <v>76</v>
      </c>
      <c r="C6" s="24">
        <v>86.55</v>
      </c>
    </row>
    <row r="7" spans="1:3" ht="18" x14ac:dyDescent="0.35">
      <c r="A7" s="23" t="s">
        <v>60</v>
      </c>
      <c r="B7" s="24">
        <v>64</v>
      </c>
      <c r="C7" s="24">
        <v>37.1</v>
      </c>
    </row>
    <row r="13" spans="1:3" x14ac:dyDescent="0.3">
      <c r="B13" s="26" t="s">
        <v>10</v>
      </c>
      <c r="C13" s="26" t="s">
        <v>74</v>
      </c>
    </row>
    <row r="14" spans="1:3" x14ac:dyDescent="0.3">
      <c r="B14" s="26" t="s">
        <v>75</v>
      </c>
      <c r="C14" s="26" t="s">
        <v>76</v>
      </c>
    </row>
    <row r="15" spans="1:3" x14ac:dyDescent="0.3">
      <c r="B15" s="26" t="s">
        <v>77</v>
      </c>
      <c r="C15" s="26">
        <f>CORREL(B2:B4,C2:C4)</f>
        <v>0.82199493652678635</v>
      </c>
    </row>
    <row r="16" spans="1:3" x14ac:dyDescent="0.3">
      <c r="B16" s="26"/>
      <c r="C16" s="26"/>
    </row>
    <row r="17" spans="2:3" x14ac:dyDescent="0.3">
      <c r="B17" s="26"/>
      <c r="C17" s="26"/>
    </row>
    <row r="18" spans="2:3" x14ac:dyDescent="0.3">
      <c r="B18" s="26" t="s">
        <v>78</v>
      </c>
      <c r="C18" s="26">
        <f>CORREL(B2:B5,C2:C5)</f>
        <v>0.9882912945938741</v>
      </c>
    </row>
    <row r="19" spans="2:3" x14ac:dyDescent="0.3">
      <c r="B19" s="26"/>
      <c r="C19" s="26"/>
    </row>
    <row r="20" spans="2:3" x14ac:dyDescent="0.3">
      <c r="B20" s="26"/>
      <c r="C20" s="26"/>
    </row>
    <row r="21" spans="2:3" x14ac:dyDescent="0.3">
      <c r="B21" s="26" t="s">
        <v>79</v>
      </c>
      <c r="C21" s="26">
        <f>CORREL(B2:B6,C2:C6)</f>
        <v>0.5511208815373082</v>
      </c>
    </row>
    <row r="22" spans="2:3" x14ac:dyDescent="0.3">
      <c r="B22" s="26"/>
      <c r="C22" s="26"/>
    </row>
    <row r="23" spans="2:3" x14ac:dyDescent="0.3">
      <c r="B23" s="27"/>
      <c r="C23" s="27"/>
    </row>
    <row r="24" spans="2:3" x14ac:dyDescent="0.3">
      <c r="B24" s="26" t="s">
        <v>80</v>
      </c>
      <c r="C24" s="27">
        <f>CORREL(B2:B7,C2:C7)</f>
        <v>0.41790342445235734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07D9-A1E8-4A8A-9092-CB33989BC5C8}">
  <dimension ref="A1:E25"/>
  <sheetViews>
    <sheetView tabSelected="1" topLeftCell="A7" zoomScale="110" zoomScaleNormal="110" workbookViewId="0">
      <selection activeCell="C19" sqref="C19"/>
    </sheetView>
  </sheetViews>
  <sheetFormatPr defaultRowHeight="14.4" x14ac:dyDescent="0.3"/>
  <cols>
    <col min="1" max="1" width="24.21875" customWidth="1"/>
  </cols>
  <sheetData>
    <row r="1" spans="1:5" x14ac:dyDescent="0.3">
      <c r="A1" s="28" t="s">
        <v>81</v>
      </c>
      <c r="B1" s="28" t="s">
        <v>82</v>
      </c>
      <c r="C1" s="28" t="s">
        <v>83</v>
      </c>
      <c r="D1" s="28" t="s">
        <v>84</v>
      </c>
      <c r="E1" s="28" t="s">
        <v>85</v>
      </c>
    </row>
    <row r="2" spans="1:5" x14ac:dyDescent="0.3">
      <c r="A2" s="36" t="s">
        <v>86</v>
      </c>
      <c r="B2" s="2">
        <v>6</v>
      </c>
      <c r="C2" s="30">
        <v>0</v>
      </c>
      <c r="D2" s="29">
        <v>0</v>
      </c>
      <c r="E2" s="29">
        <v>0</v>
      </c>
    </row>
    <row r="3" spans="1:5" x14ac:dyDescent="0.3">
      <c r="A3" s="36" t="s">
        <v>87</v>
      </c>
      <c r="B3" s="2">
        <v>10</v>
      </c>
      <c r="C3" s="30">
        <v>0</v>
      </c>
      <c r="D3" s="29">
        <v>0</v>
      </c>
      <c r="E3" s="29">
        <v>0</v>
      </c>
    </row>
    <row r="4" spans="1:5" x14ac:dyDescent="0.3">
      <c r="A4" s="36" t="s">
        <v>98</v>
      </c>
      <c r="B4" s="2">
        <v>13</v>
      </c>
      <c r="C4" s="30">
        <v>0</v>
      </c>
      <c r="D4" s="29">
        <v>0</v>
      </c>
      <c r="E4" s="29">
        <v>0</v>
      </c>
    </row>
    <row r="5" spans="1:5" x14ac:dyDescent="0.3">
      <c r="A5" s="36" t="s">
        <v>99</v>
      </c>
      <c r="B5" s="2">
        <v>38</v>
      </c>
      <c r="C5" s="30">
        <v>0</v>
      </c>
      <c r="D5" s="29">
        <v>0</v>
      </c>
      <c r="E5" s="29">
        <v>0</v>
      </c>
    </row>
    <row r="6" spans="1:5" x14ac:dyDescent="0.3">
      <c r="A6" s="36" t="s">
        <v>100</v>
      </c>
      <c r="B6" s="2">
        <v>76</v>
      </c>
      <c r="C6" s="30">
        <v>0</v>
      </c>
      <c r="D6" s="29">
        <v>0</v>
      </c>
      <c r="E6" s="29">
        <v>0</v>
      </c>
    </row>
    <row r="7" spans="1:5" x14ac:dyDescent="0.3">
      <c r="A7" s="36" t="s">
        <v>101</v>
      </c>
      <c r="B7" s="2">
        <v>64</v>
      </c>
      <c r="C7" s="31">
        <v>10</v>
      </c>
      <c r="D7" s="31">
        <v>1</v>
      </c>
      <c r="E7" s="31">
        <v>2</v>
      </c>
    </row>
    <row r="8" spans="1:5" x14ac:dyDescent="0.3">
      <c r="A8" s="39" t="s">
        <v>31</v>
      </c>
      <c r="B8" s="32">
        <f>SUM(B2:B7)</f>
        <v>207</v>
      </c>
      <c r="C8" s="32">
        <f t="shared" ref="C8:E8" si="0">SUM(C2:C7)</f>
        <v>10</v>
      </c>
      <c r="D8" s="32">
        <f t="shared" si="0"/>
        <v>1</v>
      </c>
      <c r="E8" s="35">
        <f>SUM(E2:E7)</f>
        <v>2</v>
      </c>
    </row>
    <row r="9" spans="1:5" x14ac:dyDescent="0.3">
      <c r="A9" s="40"/>
      <c r="B9" s="40"/>
      <c r="C9" s="40"/>
      <c r="D9" s="40"/>
      <c r="E9" s="40"/>
    </row>
    <row r="10" spans="1:5" x14ac:dyDescent="0.3">
      <c r="A10" s="41" t="s">
        <v>88</v>
      </c>
      <c r="B10" s="33" t="s">
        <v>89</v>
      </c>
      <c r="C10" s="34"/>
      <c r="D10" s="40"/>
      <c r="E10" s="40"/>
    </row>
    <row r="11" spans="1:5" x14ac:dyDescent="0.3">
      <c r="A11" s="41" t="s">
        <v>90</v>
      </c>
      <c r="B11" s="38" t="s">
        <v>93</v>
      </c>
      <c r="C11" s="37">
        <v>25.5</v>
      </c>
      <c r="D11" s="40"/>
      <c r="E11" s="40"/>
    </row>
    <row r="12" spans="1:5" x14ac:dyDescent="0.3">
      <c r="A12" s="41" t="s">
        <v>92</v>
      </c>
      <c r="B12" s="38" t="s">
        <v>91</v>
      </c>
      <c r="C12" s="37">
        <v>15.75</v>
      </c>
      <c r="D12" s="40"/>
      <c r="E12" s="40"/>
    </row>
    <row r="13" spans="1:5" x14ac:dyDescent="0.3">
      <c r="A13" s="41" t="s">
        <v>31</v>
      </c>
      <c r="B13" s="36"/>
      <c r="C13" s="36">
        <f>SUM(C11:C12)</f>
        <v>41.25</v>
      </c>
      <c r="D13" s="40"/>
      <c r="E13" s="40"/>
    </row>
    <row r="14" spans="1:5" x14ac:dyDescent="0.3">
      <c r="A14" s="40"/>
      <c r="B14" s="40"/>
      <c r="C14" s="40"/>
      <c r="D14" s="40"/>
      <c r="E14" s="40"/>
    </row>
    <row r="15" spans="1:5" x14ac:dyDescent="0.3">
      <c r="A15" s="41" t="s">
        <v>94</v>
      </c>
      <c r="B15" s="42" t="s">
        <v>83</v>
      </c>
      <c r="C15" s="36">
        <v>74</v>
      </c>
      <c r="D15" s="40"/>
      <c r="E15" s="40"/>
    </row>
    <row r="16" spans="1:5" x14ac:dyDescent="0.3">
      <c r="A16" s="36"/>
      <c r="B16" s="42" t="s">
        <v>84</v>
      </c>
      <c r="C16" s="36">
        <v>1</v>
      </c>
      <c r="D16" s="40"/>
      <c r="E16" s="40"/>
    </row>
    <row r="17" spans="1:5" x14ac:dyDescent="0.3">
      <c r="A17" s="36"/>
      <c r="B17" s="42" t="s">
        <v>85</v>
      </c>
      <c r="C17" s="36">
        <v>2</v>
      </c>
      <c r="D17" s="40"/>
      <c r="E17" s="40"/>
    </row>
    <row r="18" spans="1:5" x14ac:dyDescent="0.3">
      <c r="A18" s="41" t="s">
        <v>31</v>
      </c>
      <c r="B18" s="36"/>
      <c r="C18" s="36">
        <f>SUM(C15:C17)</f>
        <v>77</v>
      </c>
      <c r="D18" s="40"/>
      <c r="E18" s="40"/>
    </row>
    <row r="19" spans="1:5" x14ac:dyDescent="0.3">
      <c r="A19" s="40"/>
      <c r="B19" s="40"/>
      <c r="C19" s="40"/>
      <c r="D19" s="40"/>
      <c r="E19" s="40"/>
    </row>
    <row r="20" spans="1:5" x14ac:dyDescent="0.3">
      <c r="A20" s="43" t="s">
        <v>19</v>
      </c>
      <c r="B20" s="44"/>
      <c r="C20" s="45"/>
      <c r="D20" s="45"/>
      <c r="E20" s="45"/>
    </row>
    <row r="21" spans="1:5" x14ac:dyDescent="0.3">
      <c r="A21" s="41" t="s">
        <v>95</v>
      </c>
      <c r="B21" s="36">
        <v>6</v>
      </c>
      <c r="C21" s="45"/>
      <c r="D21" s="45"/>
      <c r="E21" s="45"/>
    </row>
    <row r="22" spans="1:5" x14ac:dyDescent="0.3">
      <c r="A22" s="41" t="s">
        <v>91</v>
      </c>
      <c r="B22" s="36">
        <v>15.75</v>
      </c>
      <c r="C22" s="45"/>
      <c r="D22" s="45"/>
      <c r="E22" s="45"/>
    </row>
    <row r="23" spans="1:5" x14ac:dyDescent="0.3">
      <c r="A23" s="41" t="s">
        <v>93</v>
      </c>
      <c r="B23" s="36">
        <v>25.5</v>
      </c>
      <c r="C23" s="45"/>
      <c r="D23" s="45"/>
      <c r="E23" s="45"/>
    </row>
    <row r="24" spans="1:5" x14ac:dyDescent="0.3">
      <c r="A24" s="41" t="s">
        <v>96</v>
      </c>
      <c r="B24" s="36">
        <v>50.75</v>
      </c>
      <c r="C24" s="45"/>
      <c r="D24" s="45"/>
      <c r="E24" s="45"/>
    </row>
    <row r="25" spans="1:5" x14ac:dyDescent="0.3">
      <c r="A25" s="41" t="s">
        <v>97</v>
      </c>
      <c r="B25" s="36">
        <v>76</v>
      </c>
      <c r="C25" s="45"/>
      <c r="D25" s="45"/>
      <c r="E25" s="45"/>
    </row>
  </sheetData>
  <mergeCells count="2">
    <mergeCell ref="A20:B20"/>
    <mergeCell ref="B10:C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C9D569772B334283AA442E91E96F84" ma:contentTypeVersion="6" ma:contentTypeDescription="Create a new document." ma:contentTypeScope="" ma:versionID="05f9e5244276d3bc6f16fd8319100b82">
  <xsd:schema xmlns:xsd="http://www.w3.org/2001/XMLSchema" xmlns:xs="http://www.w3.org/2001/XMLSchema" xmlns:p="http://schemas.microsoft.com/office/2006/metadata/properties" xmlns:ns2="6f6cded3-0312-4c46-a8bd-0a0a349a8790" targetNamespace="http://schemas.microsoft.com/office/2006/metadata/properties" ma:root="true" ma:fieldsID="414099a598d5de265e5463466911a5a7" ns2:_="">
    <xsd:import namespace="6f6cded3-0312-4c46-a8bd-0a0a349a87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cded3-0312-4c46-a8bd-0a0a349a87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BC6A9-0A5A-4C4A-8A23-2AD18558B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cded3-0312-4c46-a8bd-0a0a349a87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60E04E-CA94-444A-AFC2-D24B13EDA3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13DF5B0-8EE0-40D0-B581-0778D2ED74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Proxy Table</vt:lpstr>
      <vt:lpstr>Time Distribution</vt:lpstr>
      <vt:lpstr>defect log</vt:lpstr>
      <vt:lpstr>Pearson Correlation</vt:lpstr>
      <vt:lpstr>Size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Suradet</dc:creator>
  <cp:lastModifiedBy>LEGION 5</cp:lastModifiedBy>
  <dcterms:created xsi:type="dcterms:W3CDTF">2023-07-05T01:02:13Z</dcterms:created>
  <dcterms:modified xsi:type="dcterms:W3CDTF">2023-07-29T10:58:03Z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0x01010047C9D569772B334283AA442E91E96F84</vt:lpwstr>
  </property>
</Properties>
</file>