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-Plane 11\Aircraft\Yak-40 3.2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8" i="1" l="1"/>
  <c r="H31" i="1" l="1"/>
  <c r="H26" i="1"/>
  <c r="F27" i="1" l="1"/>
  <c r="H25" i="1"/>
  <c r="G12" i="1"/>
  <c r="G14" i="1"/>
  <c r="G15" i="1"/>
  <c r="H24" i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l="1"/>
  <c r="O13" i="1"/>
  <c r="P14" i="1"/>
  <c r="O17" i="1"/>
  <c r="G32" i="1"/>
  <c r="H12" i="1"/>
  <c r="G27" i="1"/>
  <c r="O9" i="1" s="1"/>
  <c r="P9" i="1" s="1"/>
  <c r="O15" i="1"/>
  <c r="P15" i="1" s="1"/>
  <c r="O16" i="1"/>
  <c r="P16" i="1" s="1"/>
  <c r="P13" i="1"/>
  <c r="H14" i="1"/>
  <c r="H15" i="1"/>
  <c r="H27" i="1" l="1"/>
  <c r="I27" i="1" s="1"/>
  <c r="H32" i="1"/>
  <c r="I32" i="1" s="1"/>
  <c r="N11" i="1" l="1"/>
  <c r="N12" i="1" s="1"/>
  <c r="O11" i="1"/>
  <c r="O12" i="1" s="1"/>
</calcChain>
</file>

<file path=xl/sharedStrings.xml><?xml version="1.0" encoding="utf-8"?>
<sst xmlns="http://schemas.openxmlformats.org/spreadsheetml/2006/main" count="58" uniqueCount="49">
  <si>
    <t xml:space="preserve">Наименование </t>
  </si>
  <si>
    <t>Масса пустого самолета</t>
  </si>
  <si>
    <t xml:space="preserve">снаряжение без экипажа </t>
  </si>
  <si>
    <t xml:space="preserve">пассажиры: </t>
  </si>
  <si>
    <t xml:space="preserve">2-го ряда </t>
  </si>
  <si>
    <t xml:space="preserve">3-го ряда </t>
  </si>
  <si>
    <t xml:space="preserve">4-го ряда </t>
  </si>
  <si>
    <t xml:space="preserve">5-го ряда </t>
  </si>
  <si>
    <t xml:space="preserve">6-го ряда </t>
  </si>
  <si>
    <t xml:space="preserve">7-го ряда </t>
  </si>
  <si>
    <t xml:space="preserve">8-го ряда </t>
  </si>
  <si>
    <t xml:space="preserve">9-го ряда </t>
  </si>
  <si>
    <t xml:space="preserve">10-го ряда </t>
  </si>
  <si>
    <t xml:space="preserve"> багаж </t>
  </si>
  <si>
    <t>кол-во</t>
  </si>
  <si>
    <t>масса</t>
  </si>
  <si>
    <t>экипаж</t>
  </si>
  <si>
    <t>Взлетный вес:</t>
  </si>
  <si>
    <t>Топливо</t>
  </si>
  <si>
    <t>1-го ряда</t>
  </si>
  <si>
    <t>мест-4</t>
  </si>
  <si>
    <t>мест-2</t>
  </si>
  <si>
    <t>ИТОГО:</t>
  </si>
  <si>
    <t>mX</t>
  </si>
  <si>
    <t>%САХ</t>
  </si>
  <si>
    <t>Расчет параметров полета Як-40</t>
  </si>
  <si>
    <t>Левый бак</t>
  </si>
  <si>
    <t>Правый бак</t>
  </si>
  <si>
    <t>Коммерческая нагрузка</t>
  </si>
  <si>
    <t>Меню загрузки X-Plane</t>
  </si>
  <si>
    <t>центровочный груз</t>
  </si>
  <si>
    <t>Центр тяжести</t>
  </si>
  <si>
    <t>см</t>
  </si>
  <si>
    <t>топливо</t>
  </si>
  <si>
    <t>взл</t>
  </si>
  <si>
    <t>Масса и центровка на взлете</t>
  </si>
  <si>
    <t>Масса и центровка на посадке</t>
  </si>
  <si>
    <t>остаток топлива</t>
  </si>
  <si>
    <t>пос</t>
  </si>
  <si>
    <t>Время полета, ч.</t>
  </si>
  <si>
    <t>Угол установки стабилизатора</t>
  </si>
  <si>
    <t>Максимально передние центровки</t>
  </si>
  <si>
    <t>Максимальная взлетная масса в зависимости от H и t* аэродрома</t>
  </si>
  <si>
    <t>Взлетные скорости</t>
  </si>
  <si>
    <t>Скорости на посадке</t>
  </si>
  <si>
    <t>in</t>
  </si>
  <si>
    <t>Резерв, ч</t>
  </si>
  <si>
    <t>кг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</si>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</sst>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4"/>
      <color theme="9" tint="-0.249977111117893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4" tint="-0.499984740745262"/>
      <name val="Times New Roman"/>
      <family val="1"/>
      <charset val="204"/>
    </font>
    <font>
      <sz val="11"/>
      <color theme="9" tint="-0.24997711111789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6" fillId="0" borderId="8" xfId="0" applyFont="1" applyBorder="1" applyProtection="1">
      <protection locked="0"/>
    </xf>
    <xf numFmtId="0" fontId="6" fillId="0" borderId="14" xfId="0" applyFont="1" applyBorder="1" applyProtection="1">
      <protection locked="0"/>
    </xf>
    <xf numFmtId="0" fontId="6" fillId="0" borderId="15" xfId="0" applyFont="1" applyBorder="1" applyProtection="1">
      <protection locked="0"/>
    </xf>
    <xf numFmtId="0" fontId="2" fillId="0" borderId="8" xfId="0" applyFont="1" applyBorder="1" applyProtection="1"/>
    <xf numFmtId="0" fontId="2" fillId="0" borderId="14" xfId="0" applyFont="1" applyBorder="1" applyProtection="1"/>
    <xf numFmtId="0" fontId="8" fillId="0" borderId="13" xfId="0" applyNumberFormat="1" applyFont="1" applyBorder="1" applyProtection="1"/>
    <xf numFmtId="0" fontId="8" fillId="0" borderId="12" xfId="0" applyFont="1" applyBorder="1" applyProtection="1"/>
    <xf numFmtId="0" fontId="3" fillId="0" borderId="8" xfId="0" applyFont="1" applyBorder="1" applyProtection="1"/>
    <xf numFmtId="0" fontId="3" fillId="0" borderId="12" xfId="0" applyFont="1" applyBorder="1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3" fillId="0" borderId="10" xfId="0" applyFont="1" applyBorder="1" applyProtection="1"/>
    <xf numFmtId="0" fontId="2" fillId="0" borderId="4" xfId="0" applyFont="1" applyBorder="1" applyProtection="1"/>
    <xf numFmtId="0" fontId="3" fillId="0" borderId="13" xfId="0" applyFont="1" applyBorder="1" applyAlignment="1" applyProtection="1">
      <alignment horizontal="center"/>
    </xf>
    <xf numFmtId="0" fontId="3" fillId="0" borderId="3" xfId="0" applyFont="1" applyBorder="1" applyProtection="1"/>
    <xf numFmtId="0" fontId="3" fillId="0" borderId="4" xfId="0" applyFont="1" applyBorder="1" applyProtection="1"/>
    <xf numFmtId="0" fontId="3" fillId="0" borderId="2" xfId="0" applyFont="1" applyBorder="1" applyProtection="1"/>
    <xf numFmtId="0" fontId="3" fillId="0" borderId="0" xfId="0" applyFont="1" applyProtection="1"/>
    <xf numFmtId="0" fontId="3" fillId="0" borderId="0" xfId="0" applyFont="1" applyBorder="1" applyProtection="1"/>
    <xf numFmtId="0" fontId="3" fillId="0" borderId="14" xfId="0" applyFont="1" applyBorder="1" applyProtection="1"/>
    <xf numFmtId="0" fontId="7" fillId="0" borderId="10" xfId="0" applyFont="1" applyBorder="1" applyProtection="1"/>
    <xf numFmtId="0" fontId="7" fillId="0" borderId="4" xfId="0" applyFont="1" applyBorder="1" applyProtection="1"/>
    <xf numFmtId="0" fontId="7" fillId="0" borderId="3" xfId="0" applyFont="1" applyBorder="1" applyProtection="1"/>
    <xf numFmtId="0" fontId="7" fillId="0" borderId="1" xfId="0" applyFont="1" applyBorder="1" applyProtection="1"/>
    <xf numFmtId="164" fontId="2" fillId="0" borderId="13" xfId="0" applyNumberFormat="1" applyFont="1" applyBorder="1" applyProtection="1"/>
    <xf numFmtId="164" fontId="2" fillId="0" borderId="8" xfId="0" applyNumberFormat="1" applyFont="1" applyBorder="1" applyProtection="1"/>
    <xf numFmtId="0" fontId="2" fillId="0" borderId="0" xfId="0" applyFont="1" applyBorder="1" applyProtection="1"/>
    <xf numFmtId="0" fontId="3" fillId="0" borderId="7" xfId="0" applyFont="1" applyBorder="1" applyProtection="1"/>
    <xf numFmtId="0" fontId="2" fillId="0" borderId="10" xfId="0" applyFont="1" applyBorder="1" applyProtection="1"/>
    <xf numFmtId="0" fontId="3" fillId="0" borderId="7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2" fillId="0" borderId="2" xfId="0" applyFont="1" applyBorder="1" applyProtection="1"/>
    <xf numFmtId="0" fontId="3" fillId="0" borderId="11" xfId="0" applyFont="1" applyBorder="1" applyProtection="1"/>
    <xf numFmtId="0" fontId="3" fillId="0" borderId="9" xfId="0" applyFont="1" applyBorder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1" xfId="0" applyFont="1" applyBorder="1" applyProtection="1"/>
    <xf numFmtId="0" fontId="3" fillId="0" borderId="15" xfId="0" applyFont="1" applyBorder="1" applyProtection="1"/>
    <xf numFmtId="0" fontId="6" fillId="0" borderId="7" xfId="0" applyFont="1" applyBorder="1" applyProtection="1">
      <protection locked="0"/>
    </xf>
    <xf numFmtId="0" fontId="2" fillId="0" borderId="5" xfId="0" applyFont="1" applyBorder="1" applyProtection="1"/>
    <xf numFmtId="0" fontId="2" fillId="0" borderId="1" xfId="0" applyFont="1" applyBorder="1" applyProtection="1"/>
    <xf numFmtId="164" fontId="3" fillId="0" borderId="6" xfId="0" applyNumberFormat="1" applyFont="1" applyBorder="1" applyProtection="1"/>
    <xf numFmtId="0" fontId="6" fillId="0" borderId="10" xfId="0" applyFont="1" applyBorder="1" applyProtection="1">
      <protection locked="0"/>
    </xf>
    <xf numFmtId="0" fontId="7" fillId="0" borderId="13" xfId="0" applyFont="1" applyBorder="1" applyProtection="1"/>
    <xf numFmtId="0" fontId="6" fillId="0" borderId="13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</xf>
    <xf numFmtId="9" fontId="3" fillId="0" borderId="13" xfId="1" applyNumberFormat="1" applyFont="1" applyBorder="1" applyProtection="1"/>
    <xf numFmtId="1" fontId="2" fillId="0" borderId="10" xfId="0" applyNumberFormat="1" applyFont="1" applyBorder="1" applyProtection="1"/>
    <xf numFmtId="1" fontId="2" fillId="0" borderId="11" xfId="0" applyNumberFormat="1" applyFont="1" applyBorder="1" applyProtection="1"/>
    <xf numFmtId="1" fontId="2" fillId="0" borderId="2" xfId="0" applyNumberFormat="1" applyFont="1" applyBorder="1" applyProtection="1"/>
    <xf numFmtId="1" fontId="2" fillId="0" borderId="8" xfId="0" applyNumberFormat="1" applyFont="1" applyBorder="1" applyProtection="1"/>
    <xf numFmtId="1" fontId="2" fillId="0" borderId="13" xfId="0" applyNumberFormat="1" applyFont="1" applyBorder="1" applyProtection="1"/>
    <xf numFmtId="1" fontId="2" fillId="0" borderId="12" xfId="0" applyNumberFormat="1" applyFont="1" applyBorder="1" applyProtection="1"/>
    <xf numFmtId="1" fontId="2" fillId="0" borderId="4" xfId="0" applyNumberFormat="1" applyFont="1" applyBorder="1" applyProtection="1"/>
    <xf numFmtId="164" fontId="3" fillId="0" borderId="16" xfId="0" applyNumberFormat="1" applyFont="1" applyBorder="1" applyProtection="1"/>
    <xf numFmtId="0" fontId="2" fillId="0" borderId="9" xfId="0" applyFont="1" applyBorder="1" applyProtection="1"/>
    <xf numFmtId="0" fontId="2" fillId="0" borderId="3" xfId="0" applyFont="1" applyBorder="1" applyProtection="1"/>
    <xf numFmtId="164" fontId="3" fillId="0" borderId="17" xfId="0" applyNumberFormat="1" applyFont="1" applyBorder="1" applyProtection="1"/>
    <xf numFmtId="0" fontId="3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3" fillId="0" borderId="0" xfId="0" applyNumberFormat="1" applyFont="1" applyBorder="1" applyProtection="1"/>
    <xf numFmtId="0" fontId="9" fillId="0" borderId="0" xfId="0" applyFont="1" applyProtection="1"/>
    <xf numFmtId="0" fontId="4" fillId="0" borderId="11" xfId="0" applyFont="1" applyBorder="1" applyProtection="1"/>
    <xf numFmtId="0" fontId="2" fillId="0" borderId="6" xfId="0" applyFont="1" applyBorder="1" applyProtection="1"/>
    <xf numFmtId="0" fontId="2" fillId="0" borderId="15" xfId="0" applyFont="1" applyBorder="1" applyProtection="1"/>
    <xf numFmtId="9" fontId="2" fillId="0" borderId="0" xfId="1" applyFont="1" applyProtection="1"/>
    <xf numFmtId="0" fontId="3" fillId="0" borderId="5" xfId="0" applyFont="1" applyBorder="1" applyAlignment="1" applyProtection="1">
      <alignment horizontal="center"/>
    </xf>
    <xf numFmtId="164" fontId="3" fillId="0" borderId="16" xfId="0" applyNumberFormat="1" applyFont="1" applyBorder="1" applyAlignment="1" applyProtection="1">
      <alignment horizontal="right"/>
    </xf>
    <xf numFmtId="164" fontId="3" fillId="0" borderId="5" xfId="0" applyNumberFormat="1" applyFont="1" applyBorder="1" applyProtection="1"/>
    <xf numFmtId="0" fontId="2" fillId="0" borderId="15" xfId="0" applyFont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8" xfId="0" applyFont="1" applyBorder="1" applyAlignment="1" applyProtection="1">
      <alignment horizontal="center"/>
    </xf>
    <xf numFmtId="0" fontId="2" fillId="0" borderId="12" xfId="0" applyFont="1" applyBorder="1" applyProtection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638176</xdr:colOff>
      <xdr:row>19</xdr:row>
      <xdr:rowOff>95250</xdr:rowOff>
    </xdr:from>
    <xdr:to>
      <xdr:col>16</xdr:col>
      <xdr:colOff>600075</xdr:colOff>
      <xdr:row>33</xdr:row>
      <xdr:rowOff>6363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1" y="4524375"/>
          <a:ext cx="4410074" cy="323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447674</xdr:colOff>
      <xdr:row>34</xdr:row>
      <xdr:rowOff>142881</xdr:rowOff>
    </xdr:from>
    <xdr:to>
      <xdr:col>17</xdr:col>
      <xdr:colOff>142874</xdr:colOff>
      <xdr:row>49</xdr:row>
      <xdr:rowOff>183675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537690" y="7159390"/>
          <a:ext cx="2898294" cy="475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34</xdr:row>
      <xdr:rowOff>161926</xdr:rowOff>
    </xdr:from>
    <xdr:to>
      <xdr:col>9</xdr:col>
      <xdr:colOff>38100</xdr:colOff>
      <xdr:row>48</xdr:row>
      <xdr:rowOff>158529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105776"/>
          <a:ext cx="5095875" cy="2663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419101</xdr:colOff>
      <xdr:row>51</xdr:row>
      <xdr:rowOff>161925</xdr:rowOff>
    </xdr:from>
    <xdr:to>
      <xdr:col>9</xdr:col>
      <xdr:colOff>124406</xdr:colOff>
      <xdr:row>67</xdr:row>
      <xdr:rowOff>76200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11344275"/>
          <a:ext cx="464878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428625</xdr:colOff>
      <xdr:row>52</xdr:row>
      <xdr:rowOff>0</xdr:rowOff>
    </xdr:from>
    <xdr:to>
      <xdr:col>16</xdr:col>
      <xdr:colOff>571086</xdr:colOff>
      <xdr:row>67</xdr:row>
      <xdr:rowOff>142875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372850"/>
          <a:ext cx="4590636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579145</xdr:colOff>
      <xdr:row>84</xdr:row>
      <xdr:rowOff>142875</xdr:rowOff>
    </xdr:from>
    <xdr:to>
      <xdr:col>16</xdr:col>
      <xdr:colOff>533399</xdr:colOff>
      <xdr:row>115</xdr:row>
      <xdr:rowOff>12665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583652" y="15826418"/>
          <a:ext cx="5775290" cy="9345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85725</xdr:rowOff>
    </xdr:from>
    <xdr:to>
      <xdr:col>10</xdr:col>
      <xdr:colOff>552450</xdr:colOff>
      <xdr:row>160</xdr:row>
      <xdr:rowOff>104775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51075"/>
          <a:ext cx="5591175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16</xdr:col>
      <xdr:colOff>551484</xdr:colOff>
      <xdr:row>82</xdr:row>
      <xdr:rowOff>123825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11350"/>
          <a:ext cx="9333534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115</xdr:row>
      <xdr:rowOff>14287</xdr:rowOff>
    </xdr:from>
    <xdr:to>
      <xdr:col>16</xdr:col>
      <xdr:colOff>528638</xdr:colOff>
      <xdr:row>134</xdr:row>
      <xdr:rowOff>119062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655344" y="20628768"/>
          <a:ext cx="3724275" cy="9244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7"/>
  <sheetViews>
    <sheetView tabSelected="1" topLeftCell="A7" workbookViewId="0">
      <selection activeCell="F12" sqref="F12"/>
    </sheetView>
  </sheetViews>
  <sheetFormatPr defaultRowHeight="15" x14ac:dyDescent="0.25"/>
  <cols>
    <col min="1" max="4" width="9.140625" style="10"/>
    <col min="5" max="5" width="11.85546875" style="10" customWidth="1"/>
    <col min="6" max="6" width="11.5703125" style="10" customWidth="1"/>
    <col min="7" max="7" width="11.42578125" style="10" customWidth="1"/>
    <col min="8" max="8" width="9.140625" style="10"/>
    <col min="9" max="9" width="11.85546875" style="10" customWidth="1"/>
    <col min="10" max="10" width="10.5703125" style="10" customWidth="1"/>
    <col min="11" max="14" width="9.140625" style="10"/>
    <col min="15" max="15" width="10.42578125" style="10" bestFit="1" customWidth="1"/>
    <col min="16" max="16384" width="9.140625" style="10"/>
  </cols>
  <sheetData>
    <row r="3" spans="2:18" ht="26.25" x14ac:dyDescent="0.4">
      <c r="C3" s="11" t="s">
        <v>25</v>
      </c>
    </row>
    <row r="4" spans="2:18" x14ac:dyDescent="0.25">
      <c r="B4" s="12"/>
      <c r="H4" s="12"/>
      <c r="I4" s="12"/>
      <c r="J4" s="12"/>
    </row>
    <row r="6" spans="2:18" ht="26.25" x14ac:dyDescent="0.4">
      <c r="C6" s="65" t="s">
        <v>35</v>
      </c>
      <c r="D6" s="57"/>
      <c r="E6" s="57"/>
      <c r="F6" s="57"/>
      <c r="G6" s="57"/>
      <c r="H6" s="57"/>
      <c r="I6" s="41"/>
      <c r="K6" s="65" t="s">
        <v>29</v>
      </c>
      <c r="L6" s="57"/>
      <c r="M6" s="57"/>
      <c r="N6" s="57"/>
      <c r="O6" s="41"/>
      <c r="P6" s="73"/>
    </row>
    <row r="7" spans="2:18" x14ac:dyDescent="0.25">
      <c r="C7" s="33"/>
      <c r="D7" s="28"/>
      <c r="E7" s="28"/>
      <c r="F7" s="28"/>
      <c r="G7" s="28"/>
      <c r="H7" s="28"/>
      <c r="I7" s="66"/>
      <c r="K7" s="33"/>
      <c r="L7" s="28"/>
      <c r="M7" s="28"/>
      <c r="N7" s="28"/>
      <c r="O7" s="66"/>
      <c r="P7" s="4"/>
    </row>
    <row r="8" spans="2:18" x14ac:dyDescent="0.25">
      <c r="C8" s="58"/>
      <c r="D8" s="42"/>
      <c r="E8" s="42"/>
      <c r="F8" s="42"/>
      <c r="G8" s="42"/>
      <c r="H8" s="42"/>
      <c r="I8" s="67"/>
      <c r="K8" s="58"/>
      <c r="L8" s="42"/>
      <c r="M8" s="42"/>
      <c r="N8" s="42"/>
      <c r="O8" s="72" t="s">
        <v>47</v>
      </c>
      <c r="P8" s="74" t="s">
        <v>48</v>
      </c>
    </row>
    <row r="9" spans="2:18" ht="19.5" thickBot="1" x14ac:dyDescent="0.35">
      <c r="C9" s="13" t="s">
        <v>0</v>
      </c>
      <c r="D9" s="14"/>
      <c r="E9" s="14"/>
      <c r="F9" s="31" t="s">
        <v>14</v>
      </c>
      <c r="G9" s="15" t="s">
        <v>15</v>
      </c>
      <c r="H9" s="32" t="s">
        <v>23</v>
      </c>
      <c r="I9" s="69" t="s">
        <v>24</v>
      </c>
      <c r="K9" s="13" t="s">
        <v>17</v>
      </c>
      <c r="L9" s="17"/>
      <c r="M9" s="17"/>
      <c r="N9" s="17"/>
      <c r="O9" s="21">
        <f>G27</f>
        <v>17200</v>
      </c>
      <c r="P9" s="52">
        <f>O9*2.20462</f>
        <v>37919.464</v>
      </c>
    </row>
    <row r="10" spans="2:18" ht="19.5" thickBot="1" x14ac:dyDescent="0.35">
      <c r="C10" s="16" t="s">
        <v>1</v>
      </c>
      <c r="D10" s="17"/>
      <c r="E10" s="17"/>
      <c r="F10" s="21"/>
      <c r="G10" s="21">
        <v>10025</v>
      </c>
      <c r="H10" s="49">
        <v>178</v>
      </c>
      <c r="I10" s="70">
        <v>34.6</v>
      </c>
      <c r="K10" s="34" t="s">
        <v>31</v>
      </c>
      <c r="L10" s="28"/>
      <c r="M10" s="28"/>
      <c r="N10" s="61" t="s">
        <v>34</v>
      </c>
      <c r="O10" s="62" t="s">
        <v>38</v>
      </c>
      <c r="P10" s="52"/>
    </row>
    <row r="11" spans="2:18" ht="19.5" thickBot="1" x14ac:dyDescent="0.35">
      <c r="C11" s="13" t="s">
        <v>2</v>
      </c>
      <c r="D11" s="17"/>
      <c r="E11" s="17"/>
      <c r="F11" s="47"/>
      <c r="G11" s="45">
        <v>185</v>
      </c>
      <c r="H11" s="49">
        <v>102</v>
      </c>
      <c r="I11" s="56">
        <v>34.799999999999997</v>
      </c>
      <c r="K11" s="18" t="s">
        <v>32</v>
      </c>
      <c r="L11" s="28"/>
      <c r="M11" s="28"/>
      <c r="N11" s="63">
        <f>H27/G27*100</f>
        <v>-49.172674418604643</v>
      </c>
      <c r="O11" s="43">
        <f>H32/G32*100</f>
        <v>-51.998051948051938</v>
      </c>
      <c r="P11" s="52"/>
    </row>
    <row r="12" spans="2:18" ht="18.75" x14ac:dyDescent="0.3">
      <c r="C12" s="18" t="s">
        <v>16</v>
      </c>
      <c r="D12" s="19"/>
      <c r="E12" s="19"/>
      <c r="F12" s="46">
        <v>2</v>
      </c>
      <c r="G12" s="9">
        <f>F12*80</f>
        <v>160</v>
      </c>
      <c r="H12" s="49">
        <f>G12*-7.685</f>
        <v>-1229.5999999999999</v>
      </c>
      <c r="I12" s="27"/>
      <c r="K12" s="16" t="s">
        <v>45</v>
      </c>
      <c r="L12" s="42"/>
      <c r="M12" s="42"/>
      <c r="N12" s="38">
        <f>N11*0.3937</f>
        <v>-19.359281918604648</v>
      </c>
      <c r="O12" s="39">
        <f>O11*0.3937</f>
        <v>-20.471633051948047</v>
      </c>
      <c r="P12" s="52"/>
    </row>
    <row r="13" spans="2:18" ht="18.75" x14ac:dyDescent="0.3">
      <c r="C13" s="13" t="s">
        <v>3</v>
      </c>
      <c r="D13" s="17"/>
      <c r="E13" s="17"/>
      <c r="F13" s="20"/>
      <c r="G13" s="20"/>
      <c r="H13" s="28"/>
      <c r="I13" s="26"/>
      <c r="K13" s="22" t="s">
        <v>28</v>
      </c>
      <c r="L13" s="17"/>
      <c r="M13" s="17"/>
      <c r="N13" s="17"/>
      <c r="O13" s="21">
        <f>SUM(G12:G25)</f>
        <v>3690</v>
      </c>
      <c r="P13" s="52">
        <f>O13*2.20462</f>
        <v>8135.0477999999994</v>
      </c>
      <c r="R13" s="28"/>
    </row>
    <row r="14" spans="2:18" ht="18.75" x14ac:dyDescent="0.3">
      <c r="C14" s="18" t="s">
        <v>19</v>
      </c>
      <c r="D14" s="19"/>
      <c r="E14" s="19" t="s">
        <v>20</v>
      </c>
      <c r="F14" s="40">
        <v>4</v>
      </c>
      <c r="G14" s="29">
        <f t="shared" ref="G14:G23" si="0">F14*80</f>
        <v>320</v>
      </c>
      <c r="H14" s="50">
        <f>G14*-5.615</f>
        <v>-1796.8000000000002</v>
      </c>
      <c r="I14" s="27"/>
      <c r="K14" s="34" t="s">
        <v>18</v>
      </c>
      <c r="L14" s="35"/>
      <c r="M14" s="35"/>
      <c r="N14" s="35"/>
      <c r="O14" s="36">
        <f>G26</f>
        <v>3300</v>
      </c>
      <c r="P14" s="52">
        <f>O14*2.20462</f>
        <v>7275.2459999999992</v>
      </c>
    </row>
    <row r="15" spans="2:18" ht="18.75" x14ac:dyDescent="0.3">
      <c r="C15" s="18" t="s">
        <v>4</v>
      </c>
      <c r="D15" s="19"/>
      <c r="E15" s="19" t="s">
        <v>20</v>
      </c>
      <c r="F15" s="1">
        <v>4</v>
      </c>
      <c r="G15" s="8">
        <f t="shared" si="0"/>
        <v>320</v>
      </c>
      <c r="H15" s="51">
        <f>G15*-4.865</f>
        <v>-1556.8000000000002</v>
      </c>
      <c r="I15" s="27"/>
      <c r="K15" s="18" t="s">
        <v>26</v>
      </c>
      <c r="L15" s="20"/>
      <c r="M15" s="20"/>
      <c r="N15" s="20"/>
      <c r="O15" s="37">
        <f>O14/2</f>
        <v>1650</v>
      </c>
      <c r="P15" s="52">
        <f>O15*2.20462</f>
        <v>3637.6229999999996</v>
      </c>
    </row>
    <row r="16" spans="2:18" ht="18.75" x14ac:dyDescent="0.3">
      <c r="C16" s="18" t="s">
        <v>5</v>
      </c>
      <c r="D16" s="19"/>
      <c r="E16" s="19" t="s">
        <v>20</v>
      </c>
      <c r="F16" s="1">
        <v>4</v>
      </c>
      <c r="G16" s="8">
        <f t="shared" si="0"/>
        <v>320</v>
      </c>
      <c r="H16" s="52">
        <f>G16*-4.11</f>
        <v>-1315.2</v>
      </c>
      <c r="I16" s="27"/>
      <c r="K16" s="16" t="s">
        <v>27</v>
      </c>
      <c r="L16" s="38"/>
      <c r="M16" s="38"/>
      <c r="N16" s="38"/>
      <c r="O16" s="39">
        <f>O14/2</f>
        <v>1650</v>
      </c>
      <c r="P16" s="52">
        <f>O16*2.20462</f>
        <v>3637.6229999999996</v>
      </c>
    </row>
    <row r="17" spans="3:18" ht="18.75" x14ac:dyDescent="0.3">
      <c r="C17" s="18" t="s">
        <v>6</v>
      </c>
      <c r="D17" s="19"/>
      <c r="E17" s="19" t="s">
        <v>20</v>
      </c>
      <c r="F17" s="1">
        <v>4</v>
      </c>
      <c r="G17" s="8">
        <f t="shared" si="0"/>
        <v>320</v>
      </c>
      <c r="H17" s="52">
        <f>G17*-3.355</f>
        <v>-1073.5999999999999</v>
      </c>
      <c r="I17" s="27"/>
      <c r="K17" s="34" t="s">
        <v>39</v>
      </c>
      <c r="L17" s="35"/>
      <c r="M17" s="35"/>
      <c r="N17" s="35"/>
      <c r="O17" s="71">
        <f>(O14-G31)/1200</f>
        <v>1.5</v>
      </c>
      <c r="P17" s="4"/>
    </row>
    <row r="18" spans="3:18" ht="18.75" x14ac:dyDescent="0.3">
      <c r="C18" s="18" t="s">
        <v>7</v>
      </c>
      <c r="D18" s="19"/>
      <c r="E18" s="19" t="s">
        <v>20</v>
      </c>
      <c r="F18" s="1">
        <v>4</v>
      </c>
      <c r="G18" s="8">
        <f t="shared" si="0"/>
        <v>320</v>
      </c>
      <c r="H18" s="52">
        <f>G18*-2.6</f>
        <v>-832</v>
      </c>
      <c r="I18" s="27"/>
      <c r="K18" s="16" t="s">
        <v>46</v>
      </c>
      <c r="L18" s="42"/>
      <c r="M18" s="42"/>
      <c r="N18" s="42"/>
      <c r="O18" s="39">
        <f>G31/1200</f>
        <v>1.25</v>
      </c>
      <c r="P18" s="75"/>
    </row>
    <row r="19" spans="3:18" ht="18.75" x14ac:dyDescent="0.3">
      <c r="C19" s="18" t="s">
        <v>8</v>
      </c>
      <c r="D19" s="19"/>
      <c r="E19" s="19" t="s">
        <v>20</v>
      </c>
      <c r="F19" s="1">
        <v>4</v>
      </c>
      <c r="G19" s="8">
        <f t="shared" si="0"/>
        <v>320</v>
      </c>
      <c r="H19" s="52">
        <f>G19*-1.845</f>
        <v>-590.4</v>
      </c>
      <c r="I19" s="27"/>
      <c r="K19" s="19" t="s">
        <v>42</v>
      </c>
      <c r="L19" s="19"/>
      <c r="M19" s="19"/>
      <c r="N19" s="19"/>
      <c r="O19" s="19"/>
      <c r="P19" s="19"/>
      <c r="Q19" s="19"/>
    </row>
    <row r="20" spans="3:18" ht="18.75" x14ac:dyDescent="0.3">
      <c r="C20" s="18" t="s">
        <v>9</v>
      </c>
      <c r="D20" s="19"/>
      <c r="E20" s="19" t="s">
        <v>20</v>
      </c>
      <c r="F20" s="1">
        <v>4</v>
      </c>
      <c r="G20" s="8">
        <f t="shared" si="0"/>
        <v>320</v>
      </c>
      <c r="H20" s="52">
        <f>G20*-1.09</f>
        <v>-348.8</v>
      </c>
      <c r="I20" s="27"/>
    </row>
    <row r="21" spans="3:18" ht="18.75" x14ac:dyDescent="0.3">
      <c r="C21" s="18" t="s">
        <v>10</v>
      </c>
      <c r="D21" s="19"/>
      <c r="E21" s="19" t="s">
        <v>20</v>
      </c>
      <c r="F21" s="1">
        <v>4</v>
      </c>
      <c r="G21" s="8">
        <f t="shared" si="0"/>
        <v>320</v>
      </c>
      <c r="H21" s="52">
        <f>G21*-0.335</f>
        <v>-107.2</v>
      </c>
      <c r="I21" s="27"/>
      <c r="R21" s="64"/>
    </row>
    <row r="22" spans="3:18" ht="18.75" x14ac:dyDescent="0.3">
      <c r="C22" s="18" t="s">
        <v>11</v>
      </c>
      <c r="D22" s="19"/>
      <c r="E22" s="19" t="s">
        <v>21</v>
      </c>
      <c r="F22" s="1">
        <v>2</v>
      </c>
      <c r="G22" s="8">
        <f t="shared" si="0"/>
        <v>160</v>
      </c>
      <c r="H22" s="52">
        <f>G22*0.42</f>
        <v>67.2</v>
      </c>
      <c r="I22" s="27"/>
    </row>
    <row r="23" spans="3:18" ht="18.75" x14ac:dyDescent="0.3">
      <c r="C23" s="18" t="s">
        <v>12</v>
      </c>
      <c r="D23" s="20"/>
      <c r="E23" s="19" t="s">
        <v>21</v>
      </c>
      <c r="F23" s="1">
        <v>2</v>
      </c>
      <c r="G23" s="9">
        <f t="shared" si="0"/>
        <v>160</v>
      </c>
      <c r="H23" s="52">
        <f>G23*1.175</f>
        <v>188</v>
      </c>
      <c r="I23" s="27"/>
    </row>
    <row r="24" spans="3:18" ht="18.75" x14ac:dyDescent="0.3">
      <c r="C24" s="13" t="s">
        <v>13</v>
      </c>
      <c r="D24" s="17"/>
      <c r="E24" s="17"/>
      <c r="F24" s="48"/>
      <c r="G24" s="2">
        <v>650</v>
      </c>
      <c r="H24" s="52">
        <f>G24*1.05</f>
        <v>682.5</v>
      </c>
      <c r="I24" s="27"/>
    </row>
    <row r="25" spans="3:18" ht="18.75" x14ac:dyDescent="0.3">
      <c r="C25" s="13" t="s">
        <v>30</v>
      </c>
      <c r="D25" s="14"/>
      <c r="E25" s="14"/>
      <c r="F25" s="5"/>
      <c r="G25" s="44">
        <v>0</v>
      </c>
      <c r="H25" s="53">
        <f>G25*-5.615</f>
        <v>0</v>
      </c>
      <c r="I25" s="4"/>
    </row>
    <row r="26" spans="3:18" ht="19.5" thickBot="1" x14ac:dyDescent="0.35">
      <c r="C26" s="22" t="s">
        <v>33</v>
      </c>
      <c r="D26" s="23"/>
      <c r="E26" s="23"/>
      <c r="F26" s="45"/>
      <c r="G26" s="3">
        <v>3300</v>
      </c>
      <c r="H26" s="54">
        <f>G26*-0.25</f>
        <v>-825</v>
      </c>
      <c r="I26" s="27"/>
    </row>
    <row r="27" spans="3:18" ht="19.5" thickBot="1" x14ac:dyDescent="0.35">
      <c r="C27" s="24" t="s">
        <v>22</v>
      </c>
      <c r="D27" s="25"/>
      <c r="E27" s="25"/>
      <c r="F27" s="7">
        <f>SUM(F14:F23)</f>
        <v>36</v>
      </c>
      <c r="G27" s="6">
        <f>SUM(G10:G26)</f>
        <v>17200</v>
      </c>
      <c r="H27" s="55">
        <f>SUM(H10:H26)</f>
        <v>-8457.6999999999989</v>
      </c>
      <c r="I27" s="56">
        <f>(H27/G27+1.04)/0.0297</f>
        <v>18.460378983634801</v>
      </c>
    </row>
    <row r="29" spans="3:18" ht="26.25" x14ac:dyDescent="0.4">
      <c r="C29" s="11" t="s">
        <v>36</v>
      </c>
    </row>
    <row r="31" spans="3:18" ht="19.5" thickBot="1" x14ac:dyDescent="0.35">
      <c r="C31" s="34" t="s">
        <v>37</v>
      </c>
      <c r="D31" s="57"/>
      <c r="E31" s="57"/>
      <c r="F31" s="57"/>
      <c r="G31" s="46">
        <v>1500</v>
      </c>
      <c r="H31" s="53">
        <f>G31*-0.25</f>
        <v>-375</v>
      </c>
      <c r="I31" s="41"/>
    </row>
    <row r="32" spans="3:18" ht="19.5" thickBot="1" x14ac:dyDescent="0.35">
      <c r="C32" s="30" t="s">
        <v>22</v>
      </c>
      <c r="D32" s="14"/>
      <c r="E32" s="14"/>
      <c r="F32" s="5"/>
      <c r="G32" s="60">
        <f>SUM(G10:G25,G31)</f>
        <v>15400</v>
      </c>
      <c r="H32" s="53">
        <f>SUM(H10:H25,H31)</f>
        <v>-8007.6999999999989</v>
      </c>
      <c r="I32" s="59">
        <f>(H32/G32+1.04)/0.0297</f>
        <v>17.509073418164331</v>
      </c>
    </row>
    <row r="33" spans="3:19" x14ac:dyDescent="0.25">
      <c r="S33" s="68"/>
    </row>
    <row r="34" spans="3:19" ht="18.75" x14ac:dyDescent="0.3">
      <c r="C34" s="19" t="s">
        <v>41</v>
      </c>
      <c r="D34" s="19"/>
      <c r="E34" s="19"/>
      <c r="F34" s="19"/>
      <c r="G34" s="19"/>
      <c r="H34" s="19"/>
      <c r="I34" s="19"/>
      <c r="J34" s="19"/>
      <c r="K34" s="19" t="s">
        <v>40</v>
      </c>
      <c r="L34" s="19"/>
      <c r="M34" s="19"/>
    </row>
    <row r="51" spans="4:5" ht="18.75" x14ac:dyDescent="0.3">
      <c r="D51" s="19" t="s">
        <v>43</v>
      </c>
      <c r="E51" s="19"/>
    </row>
    <row r="137" spans="4:5" ht="18.75" x14ac:dyDescent="0.3">
      <c r="D137" s="19" t="s">
        <v>44</v>
      </c>
      <c r="E137" s="19"/>
    </row>
  </sheetData>
  <sheetProtection sheet="1" selectLockedCells="1"/>
  <dataConsolidate/>
  <dataValidations count="4">
    <dataValidation type="whole" showErrorMessage="1" sqref="F14:F21">
      <formula1>0</formula1>
      <formula2>4</formula2>
    </dataValidation>
    <dataValidation type="whole" allowBlank="1" showInputMessage="1" showErrorMessage="1" sqref="F22:F23">
      <formula1>0</formula1>
      <formula2>2</formula2>
    </dataValidation>
    <dataValidation type="whole" allowBlank="1" showInputMessage="1" showErrorMessage="1" sqref="F12">
      <formula1>2</formula1>
      <formula2>3</formula2>
    </dataValidation>
    <dataValidation type="whole" allowBlank="1" showInputMessage="1" showErrorMessage="1" sqref="G26">
      <formula1>0</formula1>
      <formula2>4400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Arelav</dc:creator>
  <cp:lastModifiedBy>Валерий Рулев</cp:lastModifiedBy>
  <dcterms:created xsi:type="dcterms:W3CDTF">2019-07-25T20:23:43Z</dcterms:created>
  <dcterms:modified xsi:type="dcterms:W3CDTF">2020-05-25T21:52:37Z</dcterms:modified>
</cp:coreProperties>
</file>