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45" windowWidth="15240" windowHeight="15165" tabRatio="330" activeTab="2"/>
  </bookViews>
  <sheets>
    <sheet name="N Well" sheetId="1" r:id="rId1"/>
    <sheet name="N+" sheetId="4" r:id="rId2"/>
    <sheet name="P+" sheetId="5" r:id="rId3"/>
  </sheets>
  <calcPr calcId="145621"/>
</workbook>
</file>

<file path=xl/calcChain.xml><?xml version="1.0" encoding="utf-8"?>
<calcChain xmlns="http://schemas.openxmlformats.org/spreadsheetml/2006/main">
  <c r="M15" i="5" l="1"/>
  <c r="M17" i="4"/>
  <c r="M15" i="4"/>
  <c r="M18" i="1"/>
  <c r="M20" i="1"/>
  <c r="M15" i="1"/>
  <c r="L17" i="4" l="1"/>
  <c r="L15" i="4"/>
  <c r="L20" i="1"/>
  <c r="L18" i="1"/>
  <c r="B8" i="5"/>
  <c r="G14" i="5" l="1"/>
  <c r="B6" i="5"/>
  <c r="E16" i="5" s="1"/>
  <c r="G14" i="4"/>
  <c r="B7" i="4"/>
  <c r="B9" i="4" s="1"/>
  <c r="B6" i="4"/>
  <c r="E18" i="4" s="1"/>
  <c r="B7" i="1"/>
  <c r="B9" i="1" s="1"/>
  <c r="L15" i="1"/>
  <c r="G14" i="1"/>
  <c r="B6" i="1"/>
  <c r="E17" i="1" s="1"/>
  <c r="E15" i="5" l="1"/>
  <c r="E17" i="5"/>
  <c r="E14" i="5"/>
  <c r="F14" i="5" s="1"/>
  <c r="E14" i="4"/>
  <c r="F14" i="4" s="1"/>
  <c r="E15" i="4"/>
  <c r="E17" i="4"/>
  <c r="E19" i="4"/>
  <c r="E16" i="4"/>
  <c r="E15" i="1"/>
  <c r="E18" i="1"/>
  <c r="E19" i="1"/>
  <c r="E20" i="1"/>
  <c r="E21" i="1"/>
  <c r="E22" i="1"/>
  <c r="E14" i="1"/>
  <c r="E16" i="1"/>
  <c r="H14" i="4" l="1"/>
  <c r="I14" i="4"/>
  <c r="F14" i="1"/>
  <c r="H14" i="1" s="1"/>
  <c r="K14" i="1" s="1"/>
  <c r="I14" i="1"/>
  <c r="I14" i="5"/>
  <c r="H14" i="5"/>
  <c r="F15" i="1"/>
  <c r="G15" i="1" l="1"/>
  <c r="H15" i="1" s="1"/>
  <c r="K15" i="1" s="1"/>
  <c r="F15" i="5"/>
  <c r="G15" i="5" s="1"/>
  <c r="K14" i="5"/>
  <c r="F16" i="1"/>
  <c r="G16" i="1" s="1"/>
  <c r="H16" i="1" s="1"/>
  <c r="K16" i="1" s="1"/>
  <c r="F16" i="5" l="1"/>
  <c r="G16" i="5" s="1"/>
  <c r="F17" i="1"/>
  <c r="G17" i="1" s="1"/>
  <c r="H17" i="1" s="1"/>
  <c r="K17" i="1" s="1"/>
  <c r="F17" i="5" l="1"/>
  <c r="G17" i="5" s="1"/>
  <c r="F18" i="1"/>
  <c r="G18" i="1" s="1"/>
  <c r="H18" i="1" s="1"/>
  <c r="K18" i="1" s="1"/>
  <c r="F15" i="4" l="1"/>
  <c r="G15" i="4" s="1"/>
  <c r="K14" i="4"/>
  <c r="F19" i="1"/>
  <c r="G19" i="1" l="1"/>
  <c r="B7" i="5" s="1"/>
  <c r="F16" i="4"/>
  <c r="G16" i="4" s="1"/>
  <c r="H15" i="4"/>
  <c r="K15" i="4" s="1"/>
  <c r="F20" i="1"/>
  <c r="G20" i="1" s="1"/>
  <c r="H20" i="1" s="1"/>
  <c r="K20" i="1" s="1"/>
  <c r="H17" i="5" l="1"/>
  <c r="K17" i="5" s="1"/>
  <c r="B9" i="5"/>
  <c r="H16" i="5"/>
  <c r="K16" i="5" s="1"/>
  <c r="H15" i="5"/>
  <c r="K15" i="5" s="1"/>
  <c r="H19" i="1"/>
  <c r="K19" i="1" s="1"/>
  <c r="F17" i="4"/>
  <c r="G17" i="4" s="1"/>
  <c r="H16" i="4"/>
  <c r="K16" i="4" s="1"/>
  <c r="F21" i="1"/>
  <c r="G21" i="1" s="1"/>
  <c r="H21" i="1" s="1"/>
  <c r="K21" i="1" s="1"/>
  <c r="F18" i="4" l="1"/>
  <c r="G18" i="4" s="1"/>
  <c r="H17" i="4"/>
  <c r="K17" i="4" s="1"/>
  <c r="F22" i="1"/>
  <c r="G22" i="1" s="1"/>
  <c r="H22" i="1" s="1"/>
  <c r="K22" i="1" s="1"/>
  <c r="F19" i="4" l="1"/>
  <c r="G19" i="4" s="1"/>
  <c r="H18" i="4"/>
  <c r="K18" i="4" s="1"/>
  <c r="H19" i="4" l="1"/>
  <c r="K19" i="4" s="1"/>
</calcChain>
</file>

<file path=xl/sharedStrings.xml><?xml version="1.0" encoding="utf-8"?>
<sst xmlns="http://schemas.openxmlformats.org/spreadsheetml/2006/main" count="121" uniqueCount="45">
  <si>
    <r>
      <t>N</t>
    </r>
    <r>
      <rPr>
        <vertAlign val="superscript"/>
        <sz val="11"/>
        <color rgb="FF000000"/>
        <rFont val="Calibri"/>
        <family val="2"/>
        <charset val="1"/>
      </rPr>
      <t>-</t>
    </r>
    <r>
      <rPr>
        <sz val="11"/>
        <color rgb="FF000000"/>
        <rFont val="Calibri"/>
        <family val="2"/>
        <charset val="1"/>
      </rPr>
      <t xml:space="preserve"> well Calculations</t>
    </r>
  </si>
  <si>
    <t>Constants</t>
  </si>
  <si>
    <t>Value</t>
  </si>
  <si>
    <t>Units</t>
  </si>
  <si>
    <r>
      <t>D</t>
    </r>
    <r>
      <rPr>
        <vertAlign val="subscript"/>
        <sz val="11"/>
        <color rgb="FF000000"/>
        <rFont val="Calibri"/>
        <family val="2"/>
        <charset val="1"/>
      </rPr>
      <t>o</t>
    </r>
  </si>
  <si>
    <r>
      <t>cm</t>
    </r>
    <r>
      <rPr>
        <vertAlign val="super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/s</t>
    </r>
  </si>
  <si>
    <r>
      <t>E</t>
    </r>
    <r>
      <rPr>
        <vertAlign val="subscript"/>
        <sz val="11"/>
        <color rgb="FF000000"/>
        <rFont val="Calibri"/>
        <family val="2"/>
        <charset val="1"/>
      </rPr>
      <t>A</t>
    </r>
  </si>
  <si>
    <t>eV</t>
  </si>
  <si>
    <t>ρ</t>
  </si>
  <si>
    <t>Ω·cm</t>
  </si>
  <si>
    <t>k</t>
  </si>
  <si>
    <t>eV/°K</t>
  </si>
  <si>
    <r>
      <t>N</t>
    </r>
    <r>
      <rPr>
        <vertAlign val="subscript"/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Calibri"/>
        <family val="2"/>
        <charset val="1"/>
      </rPr>
      <t>(fig 4.8)</t>
    </r>
  </si>
  <si>
    <r>
      <t>cm</t>
    </r>
    <r>
      <rPr>
        <vertAlign val="superscript"/>
        <sz val="11"/>
        <color rgb="FF000000"/>
        <rFont val="Calibri"/>
        <family val="2"/>
        <charset val="1"/>
      </rPr>
      <t>-3</t>
    </r>
  </si>
  <si>
    <t>Calculated</t>
  </si>
  <si>
    <t>Measured</t>
  </si>
  <si>
    <t>Step</t>
  </si>
  <si>
    <t>Time [min]</t>
  </si>
  <si>
    <r>
      <t>D [cm</t>
    </r>
    <r>
      <rPr>
        <vertAlign val="super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/s]</t>
    </r>
  </si>
  <si>
    <r>
      <t>Σ(Dt) [cm</t>
    </r>
    <r>
      <rPr>
        <vertAlign val="super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]</t>
    </r>
  </si>
  <si>
    <r>
      <t>N</t>
    </r>
    <r>
      <rPr>
        <vertAlign val="subscript"/>
        <sz val="11"/>
        <color rgb="FF000000"/>
        <rFont val="Calibri"/>
        <family val="2"/>
        <charset val="1"/>
      </rPr>
      <t>o</t>
    </r>
    <r>
      <rPr>
        <sz val="11"/>
        <color rgb="FF000000"/>
        <rFont val="Calibri"/>
        <family val="2"/>
        <charset val="1"/>
      </rPr>
      <t xml:space="preserve"> [cm</t>
    </r>
    <r>
      <rPr>
        <vertAlign val="superscript"/>
        <sz val="11"/>
        <color rgb="FF000000"/>
        <rFont val="Calibri"/>
        <family val="2"/>
        <charset val="1"/>
      </rPr>
      <t>-3</t>
    </r>
    <r>
      <rPr>
        <sz val="11"/>
        <color rgb="FF000000"/>
        <rFont val="Calibri"/>
        <family val="2"/>
        <charset val="1"/>
      </rPr>
      <t>]</t>
    </r>
  </si>
  <si>
    <r>
      <t>x</t>
    </r>
    <r>
      <rPr>
        <vertAlign val="subscript"/>
        <sz val="11"/>
        <color rgb="FF000000"/>
        <rFont val="Calibri"/>
        <family val="2"/>
        <charset val="1"/>
      </rPr>
      <t>j</t>
    </r>
    <r>
      <rPr>
        <sz val="11"/>
        <color rgb="FF000000"/>
        <rFont val="Calibri"/>
        <family val="2"/>
        <charset val="1"/>
      </rPr>
      <t xml:space="preserve"> [cm]</t>
    </r>
  </si>
  <si>
    <r>
      <t>Q [cm</t>
    </r>
    <r>
      <rPr>
        <vertAlign val="superscript"/>
        <sz val="11"/>
        <color rgb="FF000000"/>
        <rFont val="Calibri"/>
        <family val="2"/>
        <charset val="1"/>
      </rPr>
      <t>-2</t>
    </r>
    <r>
      <rPr>
        <sz val="11"/>
        <color rgb="FF000000"/>
        <rFont val="Calibri"/>
        <family val="2"/>
        <charset val="1"/>
      </rPr>
      <t>]</t>
    </r>
  </si>
  <si>
    <r>
      <t>R</t>
    </r>
    <r>
      <rPr>
        <vertAlign val="subscript"/>
        <sz val="11"/>
        <color rgb="FF000000"/>
        <rFont val="Calibri"/>
        <family val="2"/>
        <charset val="1"/>
      </rPr>
      <t>s</t>
    </r>
    <r>
      <rPr>
        <sz val="11"/>
        <color rgb="FF000000"/>
        <rFont val="Calibri"/>
        <family val="2"/>
        <charset val="1"/>
      </rPr>
      <t xml:space="preserve"> · x</t>
    </r>
    <r>
      <rPr>
        <vertAlign val="subscript"/>
        <sz val="11"/>
        <color rgb="FF000000"/>
        <rFont val="Calibri"/>
        <family val="2"/>
        <charset val="1"/>
      </rPr>
      <t>j</t>
    </r>
    <r>
      <rPr>
        <sz val="11"/>
        <color rgb="FF000000"/>
        <rFont val="Calibri"/>
        <family val="2"/>
        <charset val="1"/>
      </rPr>
      <t xml:space="preserve"> [Ω·µm]</t>
    </r>
  </si>
  <si>
    <r>
      <t>R</t>
    </r>
    <r>
      <rPr>
        <vertAlign val="subscript"/>
        <sz val="11"/>
        <color rgb="FF000000"/>
        <rFont val="Calibri"/>
        <family val="2"/>
        <charset val="1"/>
      </rPr>
      <t>s</t>
    </r>
    <r>
      <rPr>
        <sz val="11"/>
        <color rgb="FF000000"/>
        <rFont val="Calibri"/>
        <family val="2"/>
        <charset val="1"/>
      </rPr>
      <t xml:space="preserve"> [Ω/□]</t>
    </r>
  </si>
  <si>
    <r>
      <t>N</t>
    </r>
    <r>
      <rPr>
        <vertAlign val="superscript"/>
        <sz val="11"/>
        <color rgb="FF000000"/>
        <rFont val="Calibri"/>
        <family val="2"/>
        <charset val="1"/>
      </rPr>
      <t>-</t>
    </r>
    <r>
      <rPr>
        <sz val="11"/>
        <color rgb="FF000000"/>
        <rFont val="Calibri"/>
        <family val="2"/>
        <charset val="1"/>
      </rPr>
      <t xml:space="preserve"> Well</t>
    </r>
  </si>
  <si>
    <t>N- dep</t>
  </si>
  <si>
    <t>drive in</t>
  </si>
  <si>
    <t>Oxidation</t>
  </si>
  <si>
    <t>N+ Dep</t>
  </si>
  <si>
    <t>P+ Dep</t>
  </si>
  <si>
    <t>Wet</t>
  </si>
  <si>
    <t>Dry</t>
  </si>
  <si>
    <r>
      <t>N</t>
    </r>
    <r>
      <rPr>
        <vertAlign val="subscript"/>
        <sz val="11"/>
        <color rgb="FF000000"/>
        <rFont val="Calibri"/>
        <family val="2"/>
      </rPr>
      <t>B</t>
    </r>
    <r>
      <rPr>
        <sz val="11"/>
        <color rgb="FF000000"/>
        <rFont val="Calibri"/>
        <family val="2"/>
        <charset val="1"/>
      </rPr>
      <t>/N</t>
    </r>
    <r>
      <rPr>
        <vertAlign val="subscript"/>
        <sz val="11"/>
        <color rgb="FF000000"/>
        <rFont val="Calibri"/>
        <family val="2"/>
      </rPr>
      <t>01</t>
    </r>
  </si>
  <si>
    <t>Ervin Curve (fig 4.16a,b)</t>
  </si>
  <si>
    <r>
      <t>erfc</t>
    </r>
    <r>
      <rPr>
        <vertAlign val="superscript"/>
        <sz val="11"/>
        <color rgb="FF000000"/>
        <rFont val="Calibri"/>
        <family val="2"/>
      </rPr>
      <t>-1</t>
    </r>
    <r>
      <rPr>
        <sz val="11"/>
        <color rgb="FF000000"/>
        <rFont val="Calibri"/>
        <family val="2"/>
        <charset val="1"/>
      </rPr>
      <t>(N</t>
    </r>
    <r>
      <rPr>
        <vertAlign val="subscript"/>
        <sz val="11"/>
        <color rgb="FF000000"/>
        <rFont val="Calibri"/>
        <family val="2"/>
      </rPr>
      <t>B</t>
    </r>
    <r>
      <rPr>
        <sz val="11"/>
        <color rgb="FF000000"/>
        <rFont val="Calibri"/>
        <family val="2"/>
        <charset val="1"/>
      </rPr>
      <t>/N</t>
    </r>
    <r>
      <rPr>
        <vertAlign val="subscript"/>
        <sz val="11"/>
        <color rgb="FF000000"/>
        <rFont val="Calibri"/>
        <family val="2"/>
      </rPr>
      <t>01</t>
    </r>
    <r>
      <rPr>
        <sz val="11"/>
        <color rgb="FF000000"/>
        <rFont val="Calibri"/>
        <family val="2"/>
        <charset val="1"/>
      </rPr>
      <t>)</t>
    </r>
  </si>
  <si>
    <t>Temp [°C]</t>
  </si>
  <si>
    <r>
      <t>N</t>
    </r>
    <r>
      <rPr>
        <vertAlign val="subscript"/>
        <sz val="11"/>
        <color rgb="FF000000"/>
        <rFont val="Calibri"/>
        <family val="2"/>
        <charset val="1"/>
      </rPr>
      <t xml:space="preserve">01 </t>
    </r>
    <r>
      <rPr>
        <sz val="11"/>
        <color rgb="FF000000"/>
        <rFont val="Calibri"/>
        <family val="2"/>
        <charset val="1"/>
      </rPr>
      <t>(fig 4.6) (Phosphorous)</t>
    </r>
  </si>
  <si>
    <t>N+ Source/Drain Calculations</t>
  </si>
  <si>
    <r>
      <t>N</t>
    </r>
    <r>
      <rPr>
        <vertAlign val="superscript"/>
        <sz val="11"/>
        <color rgb="FF000000"/>
        <rFont val="Calibri"/>
        <family val="2"/>
      </rPr>
      <t>+</t>
    </r>
    <r>
      <rPr>
        <sz val="11"/>
        <color rgb="FF000000"/>
        <rFont val="Calibri"/>
        <family val="2"/>
        <charset val="1"/>
      </rPr>
      <t xml:space="preserve"> Source/Drain</t>
    </r>
  </si>
  <si>
    <r>
      <rPr>
        <sz val="11"/>
        <color rgb="FF000000"/>
        <rFont val="Calibri"/>
        <family val="2"/>
      </rPr>
      <t>P</t>
    </r>
    <r>
      <rPr>
        <vertAlign val="superscript"/>
        <sz val="11"/>
        <color rgb="FF000000"/>
        <rFont val="Calibri"/>
        <family val="2"/>
      </rPr>
      <t>+</t>
    </r>
    <r>
      <rPr>
        <sz val="11"/>
        <color rgb="FF000000"/>
        <rFont val="Calibri"/>
        <family val="2"/>
        <charset val="1"/>
      </rPr>
      <t xml:space="preserve"> Source/Drain</t>
    </r>
  </si>
  <si>
    <t>P+ Source/Drain Calculations</t>
  </si>
  <si>
    <r>
      <t>N</t>
    </r>
    <r>
      <rPr>
        <vertAlign val="subscript"/>
        <sz val="11"/>
        <color rgb="FF000000"/>
        <rFont val="Calibri"/>
        <family val="2"/>
        <charset val="1"/>
      </rPr>
      <t xml:space="preserve">01 </t>
    </r>
    <r>
      <rPr>
        <sz val="11"/>
        <color rgb="FF000000"/>
        <rFont val="Calibri"/>
        <family val="2"/>
        <charset val="1"/>
      </rPr>
      <t>(fig 4.6) (Boron)</t>
    </r>
  </si>
  <si>
    <t>Ervin Curve (fig 4.16c,d)</t>
  </si>
  <si>
    <t>Drive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</si>
</sst>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1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/>
    <xf numFmtId="11" fontId="0" fillId="0" borderId="11" xfId="0" applyNumberFormat="1" applyBorder="1"/>
    <xf numFmtId="0" fontId="0" fillId="0" borderId="13" xfId="0" applyBorder="1"/>
    <xf numFmtId="0" fontId="0" fillId="0" borderId="14" xfId="0" applyFont="1" applyBorder="1"/>
    <xf numFmtId="0" fontId="0" fillId="0" borderId="15" xfId="0" applyBorder="1"/>
    <xf numFmtId="11" fontId="0" fillId="0" borderId="15" xfId="0" applyNumberFormat="1" applyBorder="1"/>
    <xf numFmtId="2" fontId="0" fillId="0" borderId="15" xfId="0" applyNumberFormat="1" applyBorder="1"/>
    <xf numFmtId="0" fontId="0" fillId="0" borderId="16" xfId="0" applyBorder="1"/>
    <xf numFmtId="11" fontId="0" fillId="0" borderId="16" xfId="0" applyNumberFormat="1" applyBorder="1"/>
    <xf numFmtId="2" fontId="0" fillId="0" borderId="16" xfId="0" applyNumberFormat="1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1" xfId="0" applyFont="1" applyBorder="1"/>
    <xf numFmtId="0" fontId="0" fillId="0" borderId="22" xfId="0" applyBorder="1"/>
    <xf numFmtId="11" fontId="0" fillId="0" borderId="12" xfId="0" applyNumberFormat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341325</xdr:colOff>
      <xdr:row>1</xdr:row>
      <xdr:rowOff>9855</xdr:rowOff>
    </xdr:from>
    <xdr:to>
      <xdr:col>5</xdr:col>
      <xdr:colOff>638174</xdr:colOff>
      <xdr:row>2</xdr:row>
      <xdr:rowOff>224805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41800" y="238455"/>
          <a:ext cx="1716074" cy="414975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7</xdr:col>
      <xdr:colOff>84150</xdr:colOff>
      <xdr:row>1</xdr:row>
      <xdr:rowOff>9855</xdr:rowOff>
    </xdr:from>
    <xdr:to>
      <xdr:col>10</xdr:col>
      <xdr:colOff>123824</xdr:colOff>
      <xdr:row>2</xdr:row>
      <xdr:rowOff>232005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51650" y="238455"/>
          <a:ext cx="2097074" cy="422175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6</xdr:col>
      <xdr:colOff>27000</xdr:colOff>
      <xdr:row>4</xdr:row>
      <xdr:rowOff>525</xdr:rowOff>
    </xdr:from>
    <xdr:to>
      <xdr:col>7</xdr:col>
      <xdr:colOff>428624</xdr:colOff>
      <xdr:row>6</xdr:row>
      <xdr:rowOff>219405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51550" y="895875"/>
          <a:ext cx="1144574" cy="59988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3</xdr:col>
      <xdr:colOff>312585</xdr:colOff>
      <xdr:row>3</xdr:row>
      <xdr:rowOff>219600</xdr:rowOff>
    </xdr:from>
    <xdr:to>
      <xdr:col>5</xdr:col>
      <xdr:colOff>504824</xdr:colOff>
      <xdr:row>6</xdr:row>
      <xdr:rowOff>214920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13060" y="886350"/>
          <a:ext cx="1611464" cy="60492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8</xdr:col>
      <xdr:colOff>1</xdr:colOff>
      <xdr:row>4</xdr:row>
      <xdr:rowOff>0</xdr:rowOff>
    </xdr:from>
    <xdr:to>
      <xdr:col>10</xdr:col>
      <xdr:colOff>180976</xdr:colOff>
      <xdr:row>7</xdr:row>
      <xdr:rowOff>12134</xdr:rowOff>
    </xdr:to>
    <xdr:pic>
      <xdr:nvPicPr>
        <xdr:cNvPr id="8" name="Picture 7" descr="Junction_Depth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48426" y="895350"/>
          <a:ext cx="1562100" cy="63125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341325</xdr:colOff>
      <xdr:row>1</xdr:row>
      <xdr:rowOff>9855</xdr:rowOff>
    </xdr:from>
    <xdr:to>
      <xdr:col>5</xdr:col>
      <xdr:colOff>504824</xdr:colOff>
      <xdr:row>2</xdr:row>
      <xdr:rowOff>177180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46450" y="238455"/>
          <a:ext cx="1716074" cy="414975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7</xdr:col>
      <xdr:colOff>84150</xdr:colOff>
      <xdr:row>1</xdr:row>
      <xdr:rowOff>9855</xdr:rowOff>
    </xdr:from>
    <xdr:to>
      <xdr:col>10</xdr:col>
      <xdr:colOff>19049</xdr:colOff>
      <xdr:row>2</xdr:row>
      <xdr:rowOff>184380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56300" y="238455"/>
          <a:ext cx="2097074" cy="422175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6</xdr:col>
      <xdr:colOff>27000</xdr:colOff>
      <xdr:row>4</xdr:row>
      <xdr:rowOff>525</xdr:rowOff>
    </xdr:from>
    <xdr:to>
      <xdr:col>7</xdr:col>
      <xdr:colOff>457199</xdr:colOff>
      <xdr:row>6</xdr:row>
      <xdr:rowOff>190830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56200" y="895875"/>
          <a:ext cx="1144574" cy="59988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3</xdr:col>
      <xdr:colOff>312585</xdr:colOff>
      <xdr:row>3</xdr:row>
      <xdr:rowOff>219600</xdr:rowOff>
    </xdr:from>
    <xdr:to>
      <xdr:col>5</xdr:col>
      <xdr:colOff>400049</xdr:colOff>
      <xdr:row>6</xdr:row>
      <xdr:rowOff>176820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7710" y="886350"/>
          <a:ext cx="1611464" cy="60492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11</xdr:col>
      <xdr:colOff>65222</xdr:colOff>
      <xdr:row>7</xdr:row>
      <xdr:rowOff>0</xdr:rowOff>
    </xdr:to>
    <xdr:pic>
      <xdr:nvPicPr>
        <xdr:cNvPr id="7" name="Picture 6" descr="Junction_Depth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838950" y="866775"/>
          <a:ext cx="1532072" cy="6191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341325</xdr:colOff>
      <xdr:row>1</xdr:row>
      <xdr:rowOff>9855</xdr:rowOff>
    </xdr:from>
    <xdr:to>
      <xdr:col>5</xdr:col>
      <xdr:colOff>504824</xdr:colOff>
      <xdr:row>2</xdr:row>
      <xdr:rowOff>167655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46475" y="209880"/>
          <a:ext cx="1487474" cy="36735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7</xdr:col>
      <xdr:colOff>84150</xdr:colOff>
      <xdr:row>1</xdr:row>
      <xdr:rowOff>9855</xdr:rowOff>
    </xdr:from>
    <xdr:to>
      <xdr:col>9</xdr:col>
      <xdr:colOff>809624</xdr:colOff>
      <xdr:row>2</xdr:row>
      <xdr:rowOff>174855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99150" y="209880"/>
          <a:ext cx="1868474" cy="37455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6</xdr:col>
      <xdr:colOff>27000</xdr:colOff>
      <xdr:row>4</xdr:row>
      <xdr:rowOff>525</xdr:rowOff>
    </xdr:from>
    <xdr:to>
      <xdr:col>7</xdr:col>
      <xdr:colOff>457199</xdr:colOff>
      <xdr:row>6</xdr:row>
      <xdr:rowOff>190830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160975" y="867300"/>
          <a:ext cx="1011224" cy="571305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3</xdr:col>
      <xdr:colOff>312585</xdr:colOff>
      <xdr:row>3</xdr:row>
      <xdr:rowOff>219600</xdr:rowOff>
    </xdr:from>
    <xdr:to>
      <xdr:col>5</xdr:col>
      <xdr:colOff>400049</xdr:colOff>
      <xdr:row>6</xdr:row>
      <xdr:rowOff>167295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417735" y="857775"/>
          <a:ext cx="1411439" cy="56682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11</xdr:col>
      <xdr:colOff>65222</xdr:colOff>
      <xdr:row>6</xdr:row>
      <xdr:rowOff>190500</xdr:rowOff>
    </xdr:to>
    <xdr:pic>
      <xdr:nvPicPr>
        <xdr:cNvPr id="16" name="Picture 15" descr="Junction_Depth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838950" y="866775"/>
          <a:ext cx="1532072" cy="6191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zoomScaleNormal="100" workbookViewId="0">
      <selection activeCell="M15" sqref="M15"/>
    </sheetView>
  </sheetViews>
  <sheetFormatPr defaultRowHeight="15" x14ac:dyDescent="0.25"/>
  <cols>
    <col min="1" max="1" width="24.140625" customWidth="1"/>
    <col min="2" max="3" width="9.7109375" bestFit="1" customWidth="1"/>
    <col min="4" max="4" width="10.7109375"/>
    <col min="5" max="5" width="10.5703125" customWidth="1"/>
    <col min="6" max="6" width="10.5703125" bestFit="1" customWidth="1"/>
    <col min="7" max="7" width="11.140625" bestFit="1" customWidth="1"/>
    <col min="8" max="8" width="10.140625" customWidth="1"/>
    <col min="9" max="9" width="8.5703125" bestFit="1" customWidth="1"/>
    <col min="10" max="10" width="12.140625" bestFit="1" customWidth="1"/>
    <col min="11" max="11" width="8.85546875" bestFit="1" customWidth="1"/>
    <col min="12" max="12" width="9.85546875"/>
    <col min="13" max="1025" width="8.7109375"/>
  </cols>
  <sheetData>
    <row r="1" spans="1:13" ht="18" thickBot="1" x14ac:dyDescent="0.3">
      <c r="A1" t="s">
        <v>0</v>
      </c>
    </row>
    <row r="2" spans="1:13" ht="15.75" thickBot="1" x14ac:dyDescent="0.3">
      <c r="A2" s="8" t="s">
        <v>1</v>
      </c>
      <c r="B2" s="7" t="s">
        <v>2</v>
      </c>
      <c r="C2" s="6" t="s">
        <v>3</v>
      </c>
    </row>
    <row r="3" spans="1:13" ht="18.75" x14ac:dyDescent="0.35">
      <c r="A3" s="9" t="s">
        <v>4</v>
      </c>
      <c r="B3" s="13">
        <v>10.5</v>
      </c>
      <c r="C3" s="14" t="s">
        <v>5</v>
      </c>
    </row>
    <row r="4" spans="1:13" ht="18" x14ac:dyDescent="0.35">
      <c r="A4" s="10" t="s">
        <v>6</v>
      </c>
      <c r="B4" s="15">
        <v>3.69</v>
      </c>
      <c r="C4" s="16" t="s">
        <v>7</v>
      </c>
    </row>
    <row r="5" spans="1:13" x14ac:dyDescent="0.25">
      <c r="A5" s="11" t="s">
        <v>8</v>
      </c>
      <c r="B5" s="15">
        <v>10</v>
      </c>
      <c r="C5" s="17" t="s">
        <v>9</v>
      </c>
    </row>
    <row r="6" spans="1:13" x14ac:dyDescent="0.25">
      <c r="A6" s="10" t="s">
        <v>10</v>
      </c>
      <c r="B6" s="18">
        <f>8.617*10^-5</f>
        <v>8.617000000000001E-5</v>
      </c>
      <c r="C6" s="17" t="s">
        <v>11</v>
      </c>
    </row>
    <row r="7" spans="1:13" ht="18.75" x14ac:dyDescent="0.35">
      <c r="A7" s="10" t="s">
        <v>12</v>
      </c>
      <c r="B7" s="18">
        <f>1*10^15</f>
        <v>1000000000000000</v>
      </c>
      <c r="C7" s="17" t="s">
        <v>13</v>
      </c>
    </row>
    <row r="8" spans="1:13" ht="18.75" x14ac:dyDescent="0.35">
      <c r="A8" s="10" t="s">
        <v>37</v>
      </c>
      <c r="B8" s="18">
        <v>3E+20</v>
      </c>
      <c r="C8" s="17" t="s">
        <v>13</v>
      </c>
    </row>
    <row r="9" spans="1:13" s="1" customFormat="1" ht="18" x14ac:dyDescent="0.35">
      <c r="A9" s="10" t="s">
        <v>33</v>
      </c>
      <c r="B9" s="18">
        <f>$B$7/$B$8</f>
        <v>3.3333333333333333E-6</v>
      </c>
      <c r="C9" s="17"/>
    </row>
    <row r="10" spans="1:13" s="1" customFormat="1" ht="19.5" thickBot="1" x14ac:dyDescent="0.4">
      <c r="A10" s="12" t="s">
        <v>35</v>
      </c>
      <c r="B10" s="19">
        <v>3.29</v>
      </c>
      <c r="C10" s="20"/>
    </row>
    <row r="11" spans="1:13" x14ac:dyDescent="0.25">
      <c r="J11" s="28" t="s">
        <v>34</v>
      </c>
      <c r="K11" s="29"/>
      <c r="L11" s="2"/>
    </row>
    <row r="12" spans="1:13" ht="15.75" thickBot="1" x14ac:dyDescent="0.3">
      <c r="J12" s="30" t="s">
        <v>14</v>
      </c>
      <c r="K12" s="30"/>
      <c r="L12" s="31" t="s">
        <v>15</v>
      </c>
      <c r="M12" s="31"/>
    </row>
    <row r="13" spans="1:13" ht="19.5" thickBot="1" x14ac:dyDescent="0.4">
      <c r="B13" s="35" t="s">
        <v>16</v>
      </c>
      <c r="C13" s="36" t="s">
        <v>36</v>
      </c>
      <c r="D13" s="36" t="s">
        <v>17</v>
      </c>
      <c r="E13" s="36" t="s">
        <v>18</v>
      </c>
      <c r="F13" s="37" t="s">
        <v>19</v>
      </c>
      <c r="G13" s="36" t="s">
        <v>20</v>
      </c>
      <c r="H13" s="36" t="s">
        <v>21</v>
      </c>
      <c r="I13" s="36" t="s">
        <v>22</v>
      </c>
      <c r="J13" s="36" t="s">
        <v>23</v>
      </c>
      <c r="K13" s="36" t="s">
        <v>24</v>
      </c>
      <c r="L13" s="36" t="s">
        <v>24</v>
      </c>
      <c r="M13" s="38" t="s">
        <v>21</v>
      </c>
    </row>
    <row r="14" spans="1:13" x14ac:dyDescent="0.25">
      <c r="A14" s="32" t="s">
        <v>25</v>
      </c>
      <c r="B14" s="13" t="s">
        <v>26</v>
      </c>
      <c r="C14" s="21">
        <v>800</v>
      </c>
      <c r="D14" s="21">
        <v>20</v>
      </c>
      <c r="E14" s="22">
        <f t="shared" ref="E14:E22" si="0">$B$3*EXP(-$B$4/($B$6*($C14+273)))</f>
        <v>4.8858775237811567E-17</v>
      </c>
      <c r="F14" s="22">
        <f>$E14*($D14*60)</f>
        <v>5.8630530285373882E-14</v>
      </c>
      <c r="G14" s="22">
        <f>B8</f>
        <v>3E+20</v>
      </c>
      <c r="H14" s="22">
        <f>2*SQRT($F14)*$B$10</f>
        <v>1.5932642252456626E-6</v>
      </c>
      <c r="I14" s="22">
        <f>2*$B$8*SQRT($E14*$D14*60/PI())</f>
        <v>81966846175339.422</v>
      </c>
      <c r="J14" s="22"/>
      <c r="K14" s="23">
        <f>($J14/10^4)/$H14</f>
        <v>0</v>
      </c>
      <c r="L14" s="21"/>
      <c r="M14" s="14"/>
    </row>
    <row r="15" spans="1:13" x14ac:dyDescent="0.25">
      <c r="A15" s="33"/>
      <c r="B15" s="15" t="s">
        <v>27</v>
      </c>
      <c r="C15" s="3">
        <v>1000</v>
      </c>
      <c r="D15" s="3">
        <v>240</v>
      </c>
      <c r="E15" s="4">
        <f t="shared" si="0"/>
        <v>2.5822473181311204E-14</v>
      </c>
      <c r="F15" s="4">
        <f t="shared" ref="F15:F22" si="1">$E15*($D15*60)+$F14</f>
        <v>3.7190224434116672E-10</v>
      </c>
      <c r="G15" s="4">
        <f>$I$14/SQRT(PI()*$F15)</f>
        <v>2.3979984009827154E+18</v>
      </c>
      <c r="H15" s="4">
        <f>2*SQRT($F15*LN($G15/$B$7))</f>
        <v>1.0759717810713612E-4</v>
      </c>
      <c r="I15" s="4"/>
      <c r="J15" s="4">
        <v>300</v>
      </c>
      <c r="K15" s="5">
        <f t="shared" ref="K15:K22" si="2">($J15/10^4)/$H15</f>
        <v>278.81772113139021</v>
      </c>
      <c r="L15" s="3">
        <f>(29.03+30.5)/2</f>
        <v>29.765000000000001</v>
      </c>
      <c r="M15" s="39">
        <f>J15/L15*10^-4</f>
        <v>1.0078951789013943E-3</v>
      </c>
    </row>
    <row r="16" spans="1:13" x14ac:dyDescent="0.25">
      <c r="A16" s="33"/>
      <c r="B16" s="15" t="s">
        <v>28</v>
      </c>
      <c r="C16" s="3">
        <v>1000</v>
      </c>
      <c r="D16" s="3">
        <v>90</v>
      </c>
      <c r="E16" s="4">
        <f t="shared" si="0"/>
        <v>2.5822473181311204E-14</v>
      </c>
      <c r="F16" s="4">
        <f t="shared" si="1"/>
        <v>5.1134359952024716E-10</v>
      </c>
      <c r="G16" s="4">
        <f t="shared" ref="G16:G22" si="3">$I$14/SQRT(PI()*$F16)</f>
        <v>2.0450638724405343E+18</v>
      </c>
      <c r="H16" s="4">
        <f t="shared" ref="H16:H22" si="4">2*SQRT($F16*LN($G16/$B$7))</f>
        <v>1.2486899535934381E-4</v>
      </c>
      <c r="I16" s="4"/>
      <c r="J16" s="3"/>
      <c r="K16" s="5">
        <f>($J16/10^4)/$H16</f>
        <v>0</v>
      </c>
      <c r="L16" s="3"/>
      <c r="M16" s="39"/>
    </row>
    <row r="17" spans="1:13" x14ac:dyDescent="0.25">
      <c r="A17" s="33"/>
      <c r="B17" s="15" t="s">
        <v>29</v>
      </c>
      <c r="C17" s="3">
        <v>900</v>
      </c>
      <c r="D17" s="3">
        <v>60</v>
      </c>
      <c r="E17" s="4">
        <f t="shared" si="0"/>
        <v>1.467379566875483E-15</v>
      </c>
      <c r="F17" s="4">
        <f t="shared" si="1"/>
        <v>5.1662616596099887E-10</v>
      </c>
      <c r="G17" s="4">
        <f t="shared" si="3"/>
        <v>2.0345814921719393E+18</v>
      </c>
      <c r="H17" s="4">
        <f t="shared" si="4"/>
        <v>1.2547002189157498E-4</v>
      </c>
      <c r="I17" s="4"/>
      <c r="J17" s="4"/>
      <c r="K17" s="5">
        <f>($J17/10^4)/$H17</f>
        <v>0</v>
      </c>
      <c r="L17" s="3"/>
      <c r="M17" s="39"/>
    </row>
    <row r="18" spans="1:13" x14ac:dyDescent="0.25">
      <c r="A18" s="33"/>
      <c r="B18" s="15" t="s">
        <v>28</v>
      </c>
      <c r="C18" s="3">
        <v>1050</v>
      </c>
      <c r="D18" s="3">
        <v>90</v>
      </c>
      <c r="E18" s="4">
        <f t="shared" si="0"/>
        <v>9.2070705957693924E-14</v>
      </c>
      <c r="F18" s="4">
        <f t="shared" si="1"/>
        <v>1.013807978132546E-9</v>
      </c>
      <c r="G18" s="4">
        <f t="shared" si="3"/>
        <v>1.4523973120736433E+18</v>
      </c>
      <c r="H18" s="4">
        <f t="shared" si="4"/>
        <v>1.718313856580994E-4</v>
      </c>
      <c r="I18" s="4"/>
      <c r="J18" s="4">
        <v>400</v>
      </c>
      <c r="K18" s="5">
        <f t="shared" si="2"/>
        <v>232.78634369852426</v>
      </c>
      <c r="L18" s="3">
        <f>(34+35.5)/2</f>
        <v>34.75</v>
      </c>
      <c r="M18" s="39">
        <f t="shared" ref="M16:M20" si="5">J18/L18*10^-4</f>
        <v>1.1510791366906475E-3</v>
      </c>
    </row>
    <row r="19" spans="1:13" x14ac:dyDescent="0.25">
      <c r="A19" s="33"/>
      <c r="B19" s="15" t="s">
        <v>30</v>
      </c>
      <c r="C19" s="3">
        <v>1000</v>
      </c>
      <c r="D19" s="3">
        <v>120</v>
      </c>
      <c r="E19" s="4">
        <f t="shared" si="0"/>
        <v>2.5822473181311204E-14</v>
      </c>
      <c r="F19" s="4">
        <f t="shared" si="1"/>
        <v>1.1997297850379867E-9</v>
      </c>
      <c r="G19" s="4">
        <f t="shared" si="3"/>
        <v>1.3351238939527316E+18</v>
      </c>
      <c r="H19" s="4">
        <f t="shared" si="4"/>
        <v>1.8584069056824299E-4</v>
      </c>
      <c r="I19" s="4"/>
      <c r="J19" s="4"/>
      <c r="K19" s="5">
        <f t="shared" si="2"/>
        <v>0</v>
      </c>
      <c r="L19" s="3"/>
      <c r="M19" s="39"/>
    </row>
    <row r="20" spans="1:13" x14ac:dyDescent="0.25">
      <c r="A20" s="33"/>
      <c r="B20" s="15" t="s">
        <v>44</v>
      </c>
      <c r="C20" s="3">
        <v>1000</v>
      </c>
      <c r="D20" s="3">
        <v>120</v>
      </c>
      <c r="E20" s="4">
        <f t="shared" si="0"/>
        <v>2.5822473181311204E-14</v>
      </c>
      <c r="F20" s="4">
        <f t="shared" si="1"/>
        <v>1.3856515919434275E-9</v>
      </c>
      <c r="G20" s="4">
        <f t="shared" si="3"/>
        <v>1.2423279789822653E+18</v>
      </c>
      <c r="H20" s="4">
        <f t="shared" si="4"/>
        <v>1.9872000917281138E-4</v>
      </c>
      <c r="I20" s="4"/>
      <c r="J20" s="4">
        <v>600</v>
      </c>
      <c r="K20" s="5">
        <f t="shared" si="2"/>
        <v>301.93235321271879</v>
      </c>
      <c r="L20" s="3">
        <f>AVERAGE(57,56.1)</f>
        <v>56.55</v>
      </c>
      <c r="M20" s="39">
        <f t="shared" si="5"/>
        <v>1.0610079575596818E-3</v>
      </c>
    </row>
    <row r="21" spans="1:13" x14ac:dyDescent="0.25">
      <c r="A21" s="33"/>
      <c r="B21" s="15" t="s">
        <v>31</v>
      </c>
      <c r="C21" s="3">
        <v>1050</v>
      </c>
      <c r="D21" s="3">
        <v>80</v>
      </c>
      <c r="E21" s="4">
        <f t="shared" si="0"/>
        <v>9.2070705957693924E-14</v>
      </c>
      <c r="F21" s="4">
        <f t="shared" si="1"/>
        <v>1.8275909805403583E-9</v>
      </c>
      <c r="G21" s="4">
        <f t="shared" si="3"/>
        <v>1.0817422333391736E+18</v>
      </c>
      <c r="H21" s="4">
        <f t="shared" si="4"/>
        <v>2.2599248132843571E-4</v>
      </c>
      <c r="I21" s="4"/>
      <c r="J21" s="4"/>
      <c r="K21" s="5">
        <f t="shared" si="2"/>
        <v>0</v>
      </c>
      <c r="L21" s="3"/>
      <c r="M21" s="16"/>
    </row>
    <row r="22" spans="1:13" ht="15.75" thickBot="1" x14ac:dyDescent="0.3">
      <c r="A22" s="34"/>
      <c r="B22" s="19" t="s">
        <v>32</v>
      </c>
      <c r="C22" s="24">
        <v>1000</v>
      </c>
      <c r="D22" s="24">
        <v>120</v>
      </c>
      <c r="E22" s="25">
        <f t="shared" si="0"/>
        <v>2.5822473181311204E-14</v>
      </c>
      <c r="F22" s="25">
        <f t="shared" si="1"/>
        <v>2.0135127874457989E-9</v>
      </c>
      <c r="G22" s="25">
        <f t="shared" si="3"/>
        <v>1.0305904001833585E+18</v>
      </c>
      <c r="H22" s="25">
        <f t="shared" si="4"/>
        <v>2.3638548547762328E-4</v>
      </c>
      <c r="I22" s="25"/>
      <c r="J22" s="25"/>
      <c r="K22" s="26">
        <f t="shared" si="2"/>
        <v>0</v>
      </c>
      <c r="L22" s="24"/>
      <c r="M22" s="27"/>
    </row>
  </sheetData>
  <mergeCells count="4">
    <mergeCell ref="J11:K11"/>
    <mergeCell ref="J12:K12"/>
    <mergeCell ref="A14:A22"/>
    <mergeCell ref="L12:M12"/>
  </mergeCells>
  <pageMargins left="0.7" right="0.7" top="0.75" bottom="0.75" header="0.51180555555555496" footer="0.51180555555555496"/>
  <pageSetup scale="90"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workbookViewId="0">
      <selection activeCell="G17" sqref="G17"/>
    </sheetView>
  </sheetViews>
  <sheetFormatPr defaultRowHeight="15" x14ac:dyDescent="0.25"/>
  <cols>
    <col min="1" max="1" width="27.140625" bestFit="1" customWidth="1"/>
    <col min="2" max="3" width="9.7109375" bestFit="1" customWidth="1"/>
    <col min="4" max="4" width="10.7109375" bestFit="1" customWidth="1"/>
    <col min="6" max="6" width="10.5703125" bestFit="1" customWidth="1"/>
    <col min="7" max="7" width="8.7109375" bestFit="1" customWidth="1"/>
    <col min="8" max="8" width="8.28515625" bestFit="1" customWidth="1"/>
    <col min="9" max="9" width="8.5703125" bestFit="1" customWidth="1"/>
    <col min="10" max="10" width="12.140625" bestFit="1" customWidth="1"/>
    <col min="11" max="11" width="9.85546875" customWidth="1"/>
    <col min="12" max="12" width="9.85546875" bestFit="1" customWidth="1"/>
  </cols>
  <sheetData>
    <row r="1" spans="1:13" ht="15.75" thickBot="1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5.75" thickBot="1" x14ac:dyDescent="0.3">
      <c r="A2" s="8" t="s">
        <v>1</v>
      </c>
      <c r="B2" s="7" t="s">
        <v>2</v>
      </c>
      <c r="C2" s="6" t="s">
        <v>3</v>
      </c>
      <c r="D2" s="1"/>
      <c r="E2" s="1"/>
      <c r="F2" s="1"/>
      <c r="G2" s="1"/>
      <c r="H2" s="1"/>
      <c r="I2" s="1"/>
      <c r="J2" s="1"/>
      <c r="K2" s="1"/>
      <c r="L2" s="1"/>
    </row>
    <row r="3" spans="1:13" ht="18.75" x14ac:dyDescent="0.35">
      <c r="A3" s="9" t="s">
        <v>4</v>
      </c>
      <c r="B3" s="13">
        <v>10.5</v>
      </c>
      <c r="C3" s="14" t="s">
        <v>5</v>
      </c>
      <c r="D3" s="1"/>
      <c r="E3" s="1"/>
      <c r="F3" s="1"/>
      <c r="G3" s="1"/>
      <c r="H3" s="1"/>
      <c r="I3" s="1"/>
      <c r="J3" s="1"/>
      <c r="K3" s="1"/>
      <c r="L3" s="1"/>
    </row>
    <row r="4" spans="1:13" ht="18" x14ac:dyDescent="0.35">
      <c r="A4" s="10" t="s">
        <v>6</v>
      </c>
      <c r="B4" s="15">
        <v>3.69</v>
      </c>
      <c r="C4" s="16" t="s">
        <v>7</v>
      </c>
      <c r="D4" s="1"/>
      <c r="E4" s="1"/>
      <c r="F4" s="1"/>
      <c r="G4" s="1"/>
      <c r="H4" s="1"/>
      <c r="I4" s="1"/>
      <c r="J4" s="1"/>
      <c r="K4" s="1"/>
      <c r="L4" s="1"/>
    </row>
    <row r="5" spans="1:13" x14ac:dyDescent="0.25">
      <c r="A5" s="11" t="s">
        <v>8</v>
      </c>
      <c r="B5" s="15">
        <v>10</v>
      </c>
      <c r="C5" s="17" t="s">
        <v>9</v>
      </c>
      <c r="D5" s="1"/>
      <c r="E5" s="1"/>
      <c r="F5" s="1"/>
      <c r="G5" s="1"/>
      <c r="H5" s="1"/>
      <c r="I5" s="1"/>
      <c r="J5" s="1"/>
      <c r="K5" s="1"/>
      <c r="L5" s="1"/>
    </row>
    <row r="6" spans="1:13" x14ac:dyDescent="0.25">
      <c r="A6" s="10" t="s">
        <v>10</v>
      </c>
      <c r="B6" s="18">
        <f>8.617*10^-5</f>
        <v>8.617000000000001E-5</v>
      </c>
      <c r="C6" s="17" t="s">
        <v>11</v>
      </c>
      <c r="D6" s="1"/>
      <c r="E6" s="1"/>
      <c r="F6" s="1"/>
      <c r="G6" s="1"/>
      <c r="H6" s="1"/>
      <c r="I6" s="1"/>
      <c r="J6" s="1"/>
      <c r="K6" s="1"/>
      <c r="L6" s="1"/>
    </row>
    <row r="7" spans="1:13" ht="18.75" x14ac:dyDescent="0.35">
      <c r="A7" s="10" t="s">
        <v>12</v>
      </c>
      <c r="B7" s="18">
        <f>1*10^15</f>
        <v>1000000000000000</v>
      </c>
      <c r="C7" s="17" t="s">
        <v>13</v>
      </c>
      <c r="D7" s="1"/>
      <c r="E7" s="1"/>
      <c r="F7" s="1"/>
      <c r="G7" s="1"/>
      <c r="H7" s="1"/>
      <c r="I7" s="1"/>
      <c r="J7" s="1"/>
      <c r="K7" s="1"/>
      <c r="L7" s="1"/>
    </row>
    <row r="8" spans="1:13" ht="18.75" x14ac:dyDescent="0.35">
      <c r="A8" s="10" t="s">
        <v>37</v>
      </c>
      <c r="B8" s="18">
        <v>3E+20</v>
      </c>
      <c r="C8" s="17" t="s">
        <v>13</v>
      </c>
      <c r="D8" s="1"/>
      <c r="E8" s="1"/>
      <c r="F8" s="1"/>
      <c r="G8" s="1"/>
      <c r="H8" s="1"/>
      <c r="I8" s="1"/>
      <c r="J8" s="1"/>
      <c r="K8" s="1"/>
      <c r="L8" s="1"/>
    </row>
    <row r="9" spans="1:13" ht="18" x14ac:dyDescent="0.35">
      <c r="A9" s="10" t="s">
        <v>33</v>
      </c>
      <c r="B9" s="18">
        <f>$B$7/$B$8</f>
        <v>3.3333333333333333E-6</v>
      </c>
      <c r="C9" s="17"/>
      <c r="D9" s="1"/>
      <c r="E9" s="1"/>
      <c r="F9" s="1"/>
      <c r="G9" s="1"/>
      <c r="H9" s="1"/>
      <c r="I9" s="1"/>
      <c r="J9" s="1"/>
      <c r="K9" s="1"/>
      <c r="L9" s="1"/>
    </row>
    <row r="10" spans="1:13" ht="19.5" thickBot="1" x14ac:dyDescent="0.4">
      <c r="A10" s="12" t="s">
        <v>35</v>
      </c>
      <c r="B10" s="19">
        <v>3.29</v>
      </c>
      <c r="C10" s="20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28" t="s">
        <v>34</v>
      </c>
      <c r="K11" s="29"/>
      <c r="L11" s="2"/>
    </row>
    <row r="12" spans="1:13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30" t="s">
        <v>14</v>
      </c>
      <c r="K12" s="30"/>
      <c r="L12" s="31" t="s">
        <v>15</v>
      </c>
      <c r="M12" s="31"/>
    </row>
    <row r="13" spans="1:13" ht="19.5" thickBot="1" x14ac:dyDescent="0.4">
      <c r="A13" s="1"/>
      <c r="B13" s="35" t="s">
        <v>16</v>
      </c>
      <c r="C13" s="36" t="s">
        <v>36</v>
      </c>
      <c r="D13" s="36" t="s">
        <v>17</v>
      </c>
      <c r="E13" s="36" t="s">
        <v>18</v>
      </c>
      <c r="F13" s="37" t="s">
        <v>19</v>
      </c>
      <c r="G13" s="36" t="s">
        <v>20</v>
      </c>
      <c r="H13" s="36" t="s">
        <v>21</v>
      </c>
      <c r="I13" s="36" t="s">
        <v>22</v>
      </c>
      <c r="J13" s="36" t="s">
        <v>23</v>
      </c>
      <c r="K13" s="36" t="s">
        <v>24</v>
      </c>
      <c r="L13" s="36" t="s">
        <v>24</v>
      </c>
      <c r="M13" s="38" t="s">
        <v>21</v>
      </c>
    </row>
    <row r="14" spans="1:13" ht="17.25" customHeight="1" x14ac:dyDescent="0.25">
      <c r="A14" s="40" t="s">
        <v>39</v>
      </c>
      <c r="B14" s="13" t="s">
        <v>29</v>
      </c>
      <c r="C14" s="21">
        <v>900</v>
      </c>
      <c r="D14" s="21">
        <v>60</v>
      </c>
      <c r="E14" s="22">
        <f t="shared" ref="E14:E19" si="0">$B$3*EXP(-$B$4/($B$6*($C14+273)))</f>
        <v>1.467379566875483E-15</v>
      </c>
      <c r="F14" s="22">
        <f>$E14*($D14*60)</f>
        <v>5.2825664407517388E-12</v>
      </c>
      <c r="G14" s="22">
        <f>$B$8</f>
        <v>3E+20</v>
      </c>
      <c r="H14" s="22">
        <f>2*SQRT($F14)*$B$10</f>
        <v>1.5123363040189296E-5</v>
      </c>
      <c r="I14" s="22">
        <f>2*$B$8*SQRT($F14/PI())</f>
        <v>778034397764674.25</v>
      </c>
      <c r="J14" s="22"/>
      <c r="K14" s="23">
        <f>($J14/10^4)/$H14</f>
        <v>0</v>
      </c>
      <c r="L14" s="21"/>
      <c r="M14" s="14"/>
    </row>
    <row r="15" spans="1:13" x14ac:dyDescent="0.25">
      <c r="A15" s="41"/>
      <c r="B15" s="15" t="s">
        <v>28</v>
      </c>
      <c r="C15" s="3">
        <v>1050</v>
      </c>
      <c r="D15" s="3">
        <v>90</v>
      </c>
      <c r="E15" s="4">
        <f t="shared" si="0"/>
        <v>9.2070705957693924E-14</v>
      </c>
      <c r="F15" s="4">
        <f t="shared" ref="F15:F19" si="1">$E15*($D15*60)+$F14</f>
        <v>5.0246437861229886E-10</v>
      </c>
      <c r="G15" s="4">
        <f>$I$14/SQRT(PI()*$F15)</f>
        <v>1.9582639203455816E+19</v>
      </c>
      <c r="H15" s="4">
        <f t="shared" ref="H15:H19" si="2">2*SQRT($F15*LN($G15/$B$7))</f>
        <v>1.4093336469238384E-4</v>
      </c>
      <c r="I15" s="4"/>
      <c r="J15" s="4">
        <v>125</v>
      </c>
      <c r="K15" s="5">
        <f t="shared" ref="K15:K19" si="3">($J15/10^4)/$H15</f>
        <v>88.694398429242298</v>
      </c>
      <c r="L15" s="3">
        <f>(26.9 + 29.3)/2</f>
        <v>28.1</v>
      </c>
      <c r="M15" s="39">
        <f>J15/L15*10^-4</f>
        <v>4.4483985765124558E-4</v>
      </c>
    </row>
    <row r="16" spans="1:13" x14ac:dyDescent="0.25">
      <c r="A16" s="41"/>
      <c r="B16" s="15" t="s">
        <v>30</v>
      </c>
      <c r="C16" s="3">
        <v>1000</v>
      </c>
      <c r="D16" s="3">
        <v>120</v>
      </c>
      <c r="E16" s="4">
        <f t="shared" si="0"/>
        <v>2.5822473181311204E-14</v>
      </c>
      <c r="F16" s="4">
        <f t="shared" si="1"/>
        <v>6.8838618551773959E-10</v>
      </c>
      <c r="G16" s="4">
        <f t="shared" ref="G16:G19" si="4">$I$14/SQRT(PI()*$F16)</f>
        <v>1.673045640122412E+19</v>
      </c>
      <c r="H16" s="4">
        <f t="shared" si="2"/>
        <v>1.6364041148451649E-4</v>
      </c>
      <c r="I16" s="4"/>
      <c r="J16" s="4"/>
      <c r="K16" s="5">
        <f t="shared" si="3"/>
        <v>0</v>
      </c>
      <c r="L16" s="3"/>
      <c r="M16" s="39"/>
    </row>
    <row r="17" spans="1:13" x14ac:dyDescent="0.25">
      <c r="A17" s="41"/>
      <c r="B17" s="15" t="s">
        <v>44</v>
      </c>
      <c r="C17" s="3">
        <v>1000</v>
      </c>
      <c r="D17" s="3">
        <v>120</v>
      </c>
      <c r="E17" s="4">
        <f t="shared" si="0"/>
        <v>2.5822473181311204E-14</v>
      </c>
      <c r="F17" s="4">
        <f t="shared" si="1"/>
        <v>8.7430799242318031E-10</v>
      </c>
      <c r="G17" s="4">
        <f t="shared" si="4"/>
        <v>1.4845390893259778E+19</v>
      </c>
      <c r="H17" s="4">
        <f t="shared" si="2"/>
        <v>1.832824823943591E-4</v>
      </c>
      <c r="I17" s="4"/>
      <c r="J17" s="4">
        <v>150</v>
      </c>
      <c r="K17" s="5">
        <f t="shared" si="3"/>
        <v>81.840881921957504</v>
      </c>
      <c r="L17" s="3">
        <f>AVERAGE(2.57,2.78)</f>
        <v>2.6749999999999998</v>
      </c>
      <c r="M17" s="39">
        <f t="shared" ref="M16:M17" si="5">J17/L17*10^-4</f>
        <v>5.6074766355140191E-3</v>
      </c>
    </row>
    <row r="18" spans="1:13" x14ac:dyDescent="0.25">
      <c r="A18" s="41"/>
      <c r="B18" s="15" t="s">
        <v>31</v>
      </c>
      <c r="C18" s="3">
        <v>1050</v>
      </c>
      <c r="D18" s="3">
        <v>80</v>
      </c>
      <c r="E18" s="4">
        <f t="shared" si="0"/>
        <v>9.2070705957693924E-14</v>
      </c>
      <c r="F18" s="4">
        <f t="shared" si="1"/>
        <v>1.3162473810201112E-9</v>
      </c>
      <c r="G18" s="4">
        <f t="shared" si="4"/>
        <v>1.2099156706333235E+19</v>
      </c>
      <c r="H18" s="4">
        <f t="shared" si="2"/>
        <v>2.2247604998907886E-4</v>
      </c>
      <c r="I18" s="4"/>
      <c r="J18" s="4"/>
      <c r="K18" s="5">
        <f t="shared" si="3"/>
        <v>0</v>
      </c>
      <c r="L18" s="3"/>
      <c r="M18" s="16"/>
    </row>
    <row r="19" spans="1:13" ht="15.75" thickBot="1" x14ac:dyDescent="0.3">
      <c r="A19" s="42"/>
      <c r="B19" s="19" t="s">
        <v>32</v>
      </c>
      <c r="C19" s="24">
        <v>1000</v>
      </c>
      <c r="D19" s="24">
        <v>120</v>
      </c>
      <c r="E19" s="25">
        <f t="shared" si="0"/>
        <v>2.5822473181311204E-14</v>
      </c>
      <c r="F19" s="25">
        <f t="shared" si="1"/>
        <v>1.5021691879255519E-9</v>
      </c>
      <c r="G19" s="25">
        <f t="shared" si="4"/>
        <v>1.132568391589886E+19</v>
      </c>
      <c r="H19" s="25">
        <f t="shared" si="2"/>
        <v>2.368332029475419E-4</v>
      </c>
      <c r="I19" s="25"/>
      <c r="J19" s="25"/>
      <c r="K19" s="26">
        <f t="shared" si="3"/>
        <v>0</v>
      </c>
      <c r="L19" s="24"/>
      <c r="M19" s="27"/>
    </row>
  </sheetData>
  <mergeCells count="4">
    <mergeCell ref="J11:K11"/>
    <mergeCell ref="J12:K12"/>
    <mergeCell ref="A14:A19"/>
    <mergeCell ref="L12:M12"/>
  </mergeCells>
  <pageMargins left="0.7" right="0.7" top="0.75" bottom="0.75" header="0.3" footer="0.3"/>
  <pageSetup scale="9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tabSelected="1" workbookViewId="0">
      <selection activeCell="E19" sqref="E19"/>
    </sheetView>
  </sheetViews>
  <sheetFormatPr defaultRowHeight="15" x14ac:dyDescent="0.25"/>
  <cols>
    <col min="1" max="1" width="26.85546875" bestFit="1" customWidth="1"/>
    <col min="2" max="3" width="9.7109375" bestFit="1" customWidth="1"/>
    <col min="4" max="4" width="10.7109375" bestFit="1" customWidth="1"/>
    <col min="6" max="6" width="10.5703125" bestFit="1" customWidth="1"/>
    <col min="7" max="7" width="8.7109375" bestFit="1" customWidth="1"/>
    <col min="8" max="9" width="8.5703125" bestFit="1" customWidth="1"/>
    <col min="10" max="10" width="12.140625" bestFit="1" customWidth="1"/>
    <col min="11" max="11" width="9.85546875" customWidth="1"/>
    <col min="12" max="12" width="9.85546875" bestFit="1" customWidth="1"/>
  </cols>
  <sheetData>
    <row r="1" spans="1:13" ht="15.75" thickBot="1" x14ac:dyDescent="0.3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5.75" thickBot="1" x14ac:dyDescent="0.3">
      <c r="A2" s="8" t="s">
        <v>1</v>
      </c>
      <c r="B2" s="7" t="s">
        <v>2</v>
      </c>
      <c r="C2" s="6" t="s">
        <v>3</v>
      </c>
      <c r="D2" s="1"/>
      <c r="E2" s="1"/>
      <c r="F2" s="1"/>
      <c r="G2" s="1"/>
      <c r="H2" s="1"/>
      <c r="I2" s="1"/>
      <c r="J2" s="1"/>
      <c r="K2" s="1"/>
      <c r="L2" s="1"/>
    </row>
    <row r="3" spans="1:13" ht="18.75" x14ac:dyDescent="0.35">
      <c r="A3" s="9" t="s">
        <v>4</v>
      </c>
      <c r="B3" s="13">
        <v>10.5</v>
      </c>
      <c r="C3" s="14" t="s">
        <v>5</v>
      </c>
      <c r="D3" s="1"/>
      <c r="E3" s="1"/>
      <c r="F3" s="1"/>
      <c r="G3" s="1"/>
      <c r="H3" s="1"/>
      <c r="I3" s="1"/>
      <c r="J3" s="1"/>
      <c r="K3" s="1"/>
      <c r="L3" s="1"/>
    </row>
    <row r="4" spans="1:13" ht="18" x14ac:dyDescent="0.35">
      <c r="A4" s="10" t="s">
        <v>6</v>
      </c>
      <c r="B4" s="15">
        <v>3.69</v>
      </c>
      <c r="C4" s="16" t="s">
        <v>7</v>
      </c>
      <c r="D4" s="1"/>
      <c r="E4" s="1"/>
      <c r="F4" s="1"/>
      <c r="G4" s="1"/>
      <c r="H4" s="1"/>
      <c r="I4" s="1"/>
      <c r="J4" s="1"/>
      <c r="K4" s="1"/>
      <c r="L4" s="1"/>
    </row>
    <row r="5" spans="1:13" x14ac:dyDescent="0.25">
      <c r="A5" s="11" t="s">
        <v>8</v>
      </c>
      <c r="B5" s="15"/>
      <c r="C5" s="17" t="s">
        <v>9</v>
      </c>
      <c r="D5" s="1"/>
      <c r="E5" s="1"/>
      <c r="F5" s="1"/>
      <c r="G5" s="1"/>
      <c r="H5" s="1"/>
      <c r="I5" s="1"/>
      <c r="J5" s="1"/>
      <c r="K5" s="1"/>
      <c r="L5" s="1"/>
    </row>
    <row r="6" spans="1:13" x14ac:dyDescent="0.25">
      <c r="A6" s="10" t="s">
        <v>10</v>
      </c>
      <c r="B6" s="18">
        <f>8.617*10^-5</f>
        <v>8.617000000000001E-5</v>
      </c>
      <c r="C6" s="17" t="s">
        <v>11</v>
      </c>
      <c r="D6" s="1"/>
      <c r="E6" s="1"/>
      <c r="F6" s="1"/>
      <c r="G6" s="1"/>
      <c r="H6" s="1"/>
      <c r="I6" s="1"/>
      <c r="J6" s="1"/>
      <c r="K6" s="1"/>
      <c r="L6" s="1"/>
    </row>
    <row r="7" spans="1:13" ht="18.75" x14ac:dyDescent="0.35">
      <c r="A7" s="10" t="s">
        <v>12</v>
      </c>
      <c r="B7" s="18">
        <f>'N Well'!G19</f>
        <v>1.3351238939527316E+18</v>
      </c>
      <c r="C7" s="17" t="s">
        <v>13</v>
      </c>
      <c r="D7" s="1"/>
      <c r="E7" s="1"/>
      <c r="F7" s="1"/>
      <c r="G7" s="1"/>
      <c r="H7" s="1"/>
      <c r="I7" s="1"/>
      <c r="J7" s="1"/>
      <c r="K7" s="1"/>
      <c r="L7" s="1"/>
    </row>
    <row r="8" spans="1:13" ht="18.75" x14ac:dyDescent="0.35">
      <c r="A8" s="10" t="s">
        <v>42</v>
      </c>
      <c r="B8" s="18">
        <f>2*10^20</f>
        <v>2E+20</v>
      </c>
      <c r="C8" s="17" t="s">
        <v>13</v>
      </c>
      <c r="D8" s="1"/>
      <c r="E8" s="1"/>
      <c r="F8" s="1"/>
      <c r="G8" s="1"/>
      <c r="H8" s="1"/>
      <c r="I8" s="1"/>
      <c r="J8" s="1"/>
      <c r="K8" s="1"/>
      <c r="L8" s="1"/>
    </row>
    <row r="9" spans="1:13" ht="18" x14ac:dyDescent="0.35">
      <c r="A9" s="10" t="s">
        <v>33</v>
      </c>
      <c r="B9" s="18">
        <f>$B$7/$B$8</f>
        <v>6.6756194697636584E-3</v>
      </c>
      <c r="C9" s="17"/>
      <c r="D9" s="1"/>
      <c r="E9" s="1"/>
      <c r="F9" s="1"/>
      <c r="G9" s="1"/>
      <c r="H9" s="1"/>
      <c r="I9" s="1"/>
      <c r="J9" s="1"/>
      <c r="K9" s="1"/>
      <c r="L9" s="1"/>
    </row>
    <row r="10" spans="1:13" ht="19.5" thickBot="1" x14ac:dyDescent="0.4">
      <c r="A10" s="12" t="s">
        <v>35</v>
      </c>
      <c r="B10" s="19">
        <v>1.92</v>
      </c>
      <c r="C10" s="20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28" t="s">
        <v>43</v>
      </c>
      <c r="K11" s="29"/>
      <c r="L11" s="2"/>
    </row>
    <row r="12" spans="1:13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30" t="s">
        <v>14</v>
      </c>
      <c r="K12" s="30"/>
      <c r="L12" s="31" t="s">
        <v>15</v>
      </c>
      <c r="M12" s="31"/>
    </row>
    <row r="13" spans="1:13" ht="19.5" thickBot="1" x14ac:dyDescent="0.4">
      <c r="A13" s="1"/>
      <c r="B13" s="35" t="s">
        <v>16</v>
      </c>
      <c r="C13" s="36" t="s">
        <v>36</v>
      </c>
      <c r="D13" s="36" t="s">
        <v>17</v>
      </c>
      <c r="E13" s="36" t="s">
        <v>18</v>
      </c>
      <c r="F13" s="37" t="s">
        <v>19</v>
      </c>
      <c r="G13" s="36" t="s">
        <v>20</v>
      </c>
      <c r="H13" s="36" t="s">
        <v>21</v>
      </c>
      <c r="I13" s="36" t="s">
        <v>22</v>
      </c>
      <c r="J13" s="36" t="s">
        <v>23</v>
      </c>
      <c r="K13" s="36" t="s">
        <v>24</v>
      </c>
      <c r="L13" s="36" t="s">
        <v>24</v>
      </c>
      <c r="M13" s="38" t="s">
        <v>21</v>
      </c>
    </row>
    <row r="14" spans="1:13" ht="17.25" customHeight="1" x14ac:dyDescent="0.25">
      <c r="A14" s="43" t="s">
        <v>40</v>
      </c>
      <c r="B14" s="13" t="s">
        <v>30</v>
      </c>
      <c r="C14" s="21">
        <v>1000</v>
      </c>
      <c r="D14" s="21">
        <v>120</v>
      </c>
      <c r="E14" s="22">
        <f t="shared" ref="E14:E17" si="0">$B$3*EXP(-$B$4/($B$6*($C14+273)))</f>
        <v>2.5822473181311204E-14</v>
      </c>
      <c r="F14" s="22">
        <f>$E14*($D14*60)</f>
        <v>1.8592180690544067E-10</v>
      </c>
      <c r="G14" s="22">
        <f>$B$8</f>
        <v>2E+20</v>
      </c>
      <c r="H14" s="22">
        <f>2*SQRT($F14)*$B$10</f>
        <v>5.2359608439185886E-5</v>
      </c>
      <c r="I14" s="22">
        <f>2*$B$8*SQRT($F14/PI())</f>
        <v>3077161008336236.5</v>
      </c>
      <c r="J14" s="22"/>
      <c r="K14" s="23">
        <f t="shared" ref="K14:K17" si="1">($J14/10^4)/$H14</f>
        <v>0</v>
      </c>
      <c r="L14" s="21"/>
      <c r="M14" s="14"/>
    </row>
    <row r="15" spans="1:13" x14ac:dyDescent="0.25">
      <c r="A15" s="44"/>
      <c r="B15" s="15" t="s">
        <v>44</v>
      </c>
      <c r="C15" s="3">
        <v>1000</v>
      </c>
      <c r="D15" s="3">
        <v>120</v>
      </c>
      <c r="E15" s="4">
        <f t="shared" si="0"/>
        <v>2.5822473181311204E-14</v>
      </c>
      <c r="F15" s="4">
        <f t="shared" ref="F15:F17" si="2">$E15*($D15*60)+$F14</f>
        <v>3.7184361381088135E-10</v>
      </c>
      <c r="G15" s="4">
        <f>$I$14/SQRT(PI()*$F15)</f>
        <v>9.0031631615710609E+19</v>
      </c>
      <c r="H15" s="4">
        <f t="shared" ref="H15:H17" si="3">2*SQRT($F15*LN($G15/$B$7))</f>
        <v>7.9142514302090236E-5</v>
      </c>
      <c r="I15" s="4"/>
      <c r="J15" s="4">
        <v>20</v>
      </c>
      <c r="K15" s="5">
        <f t="shared" si="1"/>
        <v>25.270867594197444</v>
      </c>
      <c r="L15" s="3">
        <v>34.65</v>
      </c>
      <c r="M15" s="39">
        <f>J15/L15*10^-4</f>
        <v>5.7720057720057727E-5</v>
      </c>
    </row>
    <row r="16" spans="1:13" x14ac:dyDescent="0.25">
      <c r="A16" s="44"/>
      <c r="B16" s="15" t="s">
        <v>31</v>
      </c>
      <c r="C16" s="3">
        <v>1050</v>
      </c>
      <c r="D16" s="3">
        <v>80</v>
      </c>
      <c r="E16" s="4">
        <f t="shared" si="0"/>
        <v>9.2070705957693924E-14</v>
      </c>
      <c r="F16" s="4">
        <f t="shared" si="2"/>
        <v>8.1378300240781211E-10</v>
      </c>
      <c r="G16" s="4">
        <f t="shared" ref="G16:G17" si="4">$I$14/SQRT(PI()*$F16)</f>
        <v>6.0858462612641014E+19</v>
      </c>
      <c r="H16" s="4">
        <f t="shared" si="3"/>
        <v>1.1150364980279341E-4</v>
      </c>
      <c r="I16" s="4"/>
      <c r="J16" s="4"/>
      <c r="K16" s="5">
        <f t="shared" si="1"/>
        <v>0</v>
      </c>
      <c r="L16" s="3"/>
      <c r="M16" s="16"/>
    </row>
    <row r="17" spans="1:13" ht="15.75" thickBot="1" x14ac:dyDescent="0.3">
      <c r="A17" s="45"/>
      <c r="B17" s="19" t="s">
        <v>32</v>
      </c>
      <c r="C17" s="24">
        <v>1000</v>
      </c>
      <c r="D17" s="24">
        <v>120</v>
      </c>
      <c r="E17" s="25">
        <f t="shared" si="0"/>
        <v>2.5822473181311204E-14</v>
      </c>
      <c r="F17" s="25">
        <f t="shared" si="2"/>
        <v>9.9970480931325283E-10</v>
      </c>
      <c r="G17" s="25">
        <f t="shared" si="4"/>
        <v>5.4908476476178203E+19</v>
      </c>
      <c r="H17" s="25">
        <f t="shared" si="3"/>
        <v>1.2191056598139388E-4</v>
      </c>
      <c r="I17" s="25"/>
      <c r="J17" s="25"/>
      <c r="K17" s="26">
        <f t="shared" si="1"/>
        <v>0</v>
      </c>
      <c r="L17" s="24"/>
      <c r="M17" s="27"/>
    </row>
  </sheetData>
  <mergeCells count="4">
    <mergeCell ref="J11:K11"/>
    <mergeCell ref="J12:K12"/>
    <mergeCell ref="A14:A17"/>
    <mergeCell ref="L12:M12"/>
  </mergeCells>
  <pageMargins left="0.7" right="0.7" top="0.75" bottom="0.75" header="0.3" footer="0.3"/>
  <pageSetup scale="9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Well</vt:lpstr>
      <vt:lpstr>N+</vt:lpstr>
      <vt:lpstr>P+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Harkness</cp:lastModifiedBy>
  <cp:revision>0</cp:revision>
  <cp:lastPrinted>2013-10-04T17:16:38Z</cp:lastPrinted>
  <dcterms:created xsi:type="dcterms:W3CDTF">2006-09-16T00:00:00Z</dcterms:created>
  <dcterms:modified xsi:type="dcterms:W3CDTF">2013-12-07T23:12:53Z</dcterms:modified>
</cp:coreProperties>
</file>