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980" yWindow="0" windowWidth="14775" windowHeight="15180"/>
  </bookViews>
  <sheets>
    <sheet name="100 Si" sheetId="1" r:id="rId1"/>
    <sheet name="111 Si" sheetId="4" r:id="rId2"/>
    <sheet name="Print" sheetId="6" r:id="rId3"/>
  </sheets>
  <definedNames>
    <definedName name="_xlnm.Print_Area" localSheetId="0">'100 Si'!$A$1:$J$17</definedName>
    <definedName name="_xlnm.Print_Area" localSheetId="1">'111 Si'!$A$1:$J$5</definedName>
    <definedName name="_xlnm.Print_Area" localSheetId="2">Print!$A$1:$J$29</definedName>
  </definedNames>
  <calcPr calcId="145621"/>
</workbook>
</file>

<file path=xl/calcChain.xml><?xml version="1.0" encoding="utf-8"?>
<calcChain xmlns="http://schemas.openxmlformats.org/spreadsheetml/2006/main">
  <c r="F36" i="1" l="1"/>
  <c r="E36" i="1"/>
  <c r="E31" i="1"/>
  <c r="F31" i="1"/>
  <c r="G31" i="1" s="1"/>
  <c r="E32" i="1"/>
  <c r="F32" i="1"/>
  <c r="E33" i="1"/>
  <c r="F33" i="1"/>
  <c r="G33" i="1" s="1"/>
  <c r="E34" i="1"/>
  <c r="F34" i="1"/>
  <c r="E35" i="1"/>
  <c r="F35" i="1"/>
  <c r="G35" i="1" s="1"/>
  <c r="E26" i="1"/>
  <c r="F26" i="1"/>
  <c r="E27" i="1"/>
  <c r="F27" i="1"/>
  <c r="E28" i="1"/>
  <c r="F28" i="1"/>
  <c r="G28" i="1" s="1"/>
  <c r="H28" i="1" s="1"/>
  <c r="J28" i="1" s="1"/>
  <c r="E29" i="1"/>
  <c r="F29" i="1"/>
  <c r="F25" i="1"/>
  <c r="E25" i="1"/>
  <c r="E19" i="1"/>
  <c r="F19" i="1"/>
  <c r="E20" i="1"/>
  <c r="F20" i="1"/>
  <c r="E21" i="1"/>
  <c r="F21" i="1"/>
  <c r="E22" i="1"/>
  <c r="F22" i="1"/>
  <c r="E23" i="1"/>
  <c r="F23" i="1"/>
  <c r="G23" i="1" s="1"/>
  <c r="H23" i="1" s="1"/>
  <c r="J23" i="1" s="1"/>
  <c r="L8" i="4"/>
  <c r="E8" i="4"/>
  <c r="F8" i="4"/>
  <c r="G8" i="4"/>
  <c r="H8" i="4" s="1"/>
  <c r="J8" i="4" s="1"/>
  <c r="E9" i="4"/>
  <c r="F9" i="4"/>
  <c r="G9" i="4" s="1"/>
  <c r="H9" i="4" s="1"/>
  <c r="J9" i="4" s="1"/>
  <c r="E6" i="4"/>
  <c r="F6" i="4"/>
  <c r="L6" i="4" s="1"/>
  <c r="G6" i="4"/>
  <c r="H6" i="4" s="1"/>
  <c r="J6" i="4" s="1"/>
  <c r="E7" i="4"/>
  <c r="F7" i="4"/>
  <c r="G7" i="4" s="1"/>
  <c r="H7" i="4" s="1"/>
  <c r="J7" i="4" s="1"/>
  <c r="E5" i="4"/>
  <c r="F5" i="4"/>
  <c r="G5" i="4" s="1"/>
  <c r="H5" i="4" s="1"/>
  <c r="J5" i="4" s="1"/>
  <c r="I17" i="1"/>
  <c r="I15" i="1"/>
  <c r="I16" i="1"/>
  <c r="I14" i="1"/>
  <c r="I13" i="1"/>
  <c r="I12" i="1"/>
  <c r="C13" i="1"/>
  <c r="E13" i="1" s="1"/>
  <c r="C14" i="1"/>
  <c r="E14" i="1" s="1"/>
  <c r="C15" i="1"/>
  <c r="E15" i="1" s="1"/>
  <c r="C16" i="1"/>
  <c r="E16" i="1" s="1"/>
  <c r="C17" i="1"/>
  <c r="E17" i="1" s="1"/>
  <c r="C12" i="1"/>
  <c r="F12" i="1" s="1"/>
  <c r="B13" i="1"/>
  <c r="B14" i="1"/>
  <c r="B15" i="1"/>
  <c r="B16" i="1"/>
  <c r="B17" i="1"/>
  <c r="B12" i="1"/>
  <c r="I10" i="1"/>
  <c r="I9" i="1"/>
  <c r="I8" i="1"/>
  <c r="I7" i="1"/>
  <c r="I6" i="1"/>
  <c r="C7" i="1"/>
  <c r="E7" i="1" s="1"/>
  <c r="C8" i="1"/>
  <c r="E8" i="1" s="1"/>
  <c r="C9" i="1"/>
  <c r="E9" i="1" s="1"/>
  <c r="C10" i="1"/>
  <c r="E10" i="1" s="1"/>
  <c r="C6" i="1"/>
  <c r="F6" i="1" s="1"/>
  <c r="B7" i="1"/>
  <c r="B8" i="1"/>
  <c r="B9" i="1"/>
  <c r="B10" i="1"/>
  <c r="B6" i="1"/>
  <c r="G26" i="1" l="1"/>
  <c r="H26" i="1" s="1"/>
  <c r="J26" i="1" s="1"/>
  <c r="G29" i="1"/>
  <c r="H29" i="1" s="1"/>
  <c r="J29" i="1" s="1"/>
  <c r="G36" i="1"/>
  <c r="H36" i="1" s="1"/>
  <c r="J36" i="1" s="1"/>
  <c r="G32" i="1"/>
  <c r="G34" i="1"/>
  <c r="G25" i="1"/>
  <c r="H25" i="1" s="1"/>
  <c r="G27" i="1"/>
  <c r="H27" i="1" s="1"/>
  <c r="L9" i="4"/>
  <c r="L7" i="4"/>
  <c r="L21" i="1"/>
  <c r="L20" i="1"/>
  <c r="G19" i="1"/>
  <c r="H19" i="1" s="1"/>
  <c r="J19" i="1" s="1"/>
  <c r="L23" i="1"/>
  <c r="L22" i="1"/>
  <c r="G21" i="1"/>
  <c r="H21" i="1" s="1"/>
  <c r="J21" i="1" s="1"/>
  <c r="G22" i="1"/>
  <c r="H22" i="1" s="1"/>
  <c r="J22" i="1" s="1"/>
  <c r="G20" i="1"/>
  <c r="H20" i="1" s="1"/>
  <c r="J20" i="1" s="1"/>
  <c r="L19" i="1"/>
  <c r="E6" i="1"/>
  <c r="L6" i="1" s="1"/>
  <c r="F10" i="1"/>
  <c r="L10" i="1" s="1"/>
  <c r="F9" i="1"/>
  <c r="L9" i="1" s="1"/>
  <c r="F8" i="1"/>
  <c r="L8" i="1" s="1"/>
  <c r="F7" i="1"/>
  <c r="L7" i="1" s="1"/>
  <c r="E12" i="1"/>
  <c r="L12" i="1" s="1"/>
  <c r="F17" i="1"/>
  <c r="L17" i="1" s="1"/>
  <c r="F16" i="1"/>
  <c r="L16" i="1" s="1"/>
  <c r="F15" i="1"/>
  <c r="L15" i="1" s="1"/>
  <c r="F14" i="1"/>
  <c r="L14" i="1" s="1"/>
  <c r="F13" i="1"/>
  <c r="L13" i="1" s="1"/>
  <c r="L5" i="4"/>
  <c r="G8" i="1"/>
  <c r="G17" i="1"/>
  <c r="G12" i="1"/>
  <c r="H35" i="1" l="1"/>
  <c r="J35" i="1" s="1"/>
  <c r="J27" i="1"/>
  <c r="H33" i="1"/>
  <c r="J33" i="1" s="1"/>
  <c r="J25" i="1"/>
  <c r="H31" i="1"/>
  <c r="J31" i="1" s="1"/>
  <c r="H34" i="1"/>
  <c r="J34" i="1" s="1"/>
  <c r="H32" i="1"/>
  <c r="J32" i="1" s="1"/>
  <c r="G7" i="1"/>
  <c r="H7" i="1" s="1"/>
  <c r="J7" i="1" s="1"/>
  <c r="G9" i="1"/>
  <c r="H9" i="1" s="1"/>
  <c r="J9" i="1" s="1"/>
  <c r="G10" i="1"/>
  <c r="H10" i="1" s="1"/>
  <c r="J10" i="1" s="1"/>
  <c r="G16" i="1"/>
  <c r="G6" i="1"/>
  <c r="H6" i="1" s="1"/>
  <c r="J6" i="1" s="1"/>
  <c r="G14" i="1"/>
  <c r="H14" i="1" s="1"/>
  <c r="J14" i="1" s="1"/>
  <c r="G13" i="1"/>
  <c r="H13" i="1" s="1"/>
  <c r="J13" i="1" s="1"/>
  <c r="G15" i="1"/>
  <c r="H15" i="1" s="1"/>
  <c r="J15" i="1" s="1"/>
  <c r="H12" i="1"/>
  <c r="J12" i="1" s="1"/>
  <c r="H8" i="1"/>
  <c r="J8" i="1" s="1"/>
  <c r="H17" i="1"/>
  <c r="J17" i="1" s="1"/>
  <c r="H16" i="1"/>
  <c r="J16" i="1" s="1"/>
</calcChain>
</file>

<file path=xl/sharedStrings.xml><?xml version="1.0" encoding="utf-8"?>
<sst xmlns="http://schemas.openxmlformats.org/spreadsheetml/2006/main" count="106" uniqueCount="27">
  <si>
    <t>Wet</t>
  </si>
  <si>
    <t>1st Oxidation</t>
  </si>
  <si>
    <t>2nd Oxidation</t>
  </si>
  <si>
    <t>Type 
(Wet/Dry)</t>
  </si>
  <si>
    <t>Error 
(%)</t>
  </si>
  <si>
    <r>
      <t>T
(</t>
    </r>
    <r>
      <rPr>
        <sz val="11"/>
        <color theme="1"/>
        <rFont val="Calibri"/>
        <family val="2"/>
      </rPr>
      <t>°C)</t>
    </r>
  </si>
  <si>
    <t>t 
(Min)</t>
  </si>
  <si>
    <r>
      <t>Linear 
Coef. 
(B/A) (</t>
    </r>
    <r>
      <rPr>
        <sz val="11"/>
        <color theme="1"/>
        <rFont val="Calibri"/>
        <family val="2"/>
      </rPr>
      <t>µm/hr)</t>
    </r>
  </si>
  <si>
    <r>
      <t>Parabolic Coef. 
(B) (</t>
    </r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/hr)</t>
    </r>
  </si>
  <si>
    <r>
      <t>Calculated 
Thickness 
(X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(</t>
    </r>
    <r>
      <rPr>
        <sz val="11"/>
        <color theme="1"/>
        <rFont val="Calibri"/>
        <family val="2"/>
      </rPr>
      <t>µm)</t>
    </r>
  </si>
  <si>
    <r>
      <t>Measured
Thickness
(X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(</t>
    </r>
    <r>
      <rPr>
        <sz val="11"/>
        <color theme="1"/>
        <rFont val="Calibri"/>
        <family val="2"/>
      </rPr>
      <t>µm)</t>
    </r>
  </si>
  <si>
    <r>
      <t>(A) (</t>
    </r>
    <r>
      <rPr>
        <sz val="11"/>
        <color theme="1"/>
        <rFont val="Calibri"/>
        <family val="2"/>
      </rPr>
      <t>µm)</t>
    </r>
  </si>
  <si>
    <t>N-Well</t>
  </si>
  <si>
    <t>Dry</t>
  </si>
  <si>
    <t>Required Time</t>
  </si>
  <si>
    <t>Neither of these processes seem controllable, because they are both operating in the linear region with small tolerances.</t>
  </si>
  <si>
    <t>3.8a</t>
  </si>
  <si>
    <t>3.8b</t>
  </si>
  <si>
    <t>100 Silicon</t>
  </si>
  <si>
    <t>111 Silicon</t>
  </si>
  <si>
    <t>3.10</t>
  </si>
  <si>
    <t>A wet oxidation process grows faster, but a dry oxidation produces a superior insulator.</t>
  </si>
  <si>
    <t>3rd
Oxidation</t>
  </si>
  <si>
    <t>N+</t>
  </si>
  <si>
    <t>4th Oxidation</t>
  </si>
  <si>
    <t>5th Oxidation</t>
  </si>
  <si>
    <t>Gate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</si>
</sst>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/>
    <xf numFmtId="164" fontId="0" fillId="2" borderId="18" xfId="0" applyNumberFormat="1" applyFill="1" applyBorder="1"/>
    <xf numFmtId="0" fontId="0" fillId="2" borderId="18" xfId="0" applyFill="1" applyBorder="1"/>
    <xf numFmtId="0" fontId="0" fillId="0" borderId="18" xfId="0" applyFill="1" applyBorder="1"/>
    <xf numFmtId="164" fontId="0" fillId="0" borderId="18" xfId="0" applyNumberFormat="1" applyFill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/>
    </xf>
    <xf numFmtId="164" fontId="0" fillId="0" borderId="0" xfId="0" applyNumberFormat="1"/>
    <xf numFmtId="0" fontId="0" fillId="3" borderId="18" xfId="0" applyFill="1" applyBorder="1"/>
    <xf numFmtId="164" fontId="0" fillId="3" borderId="18" xfId="0" applyNumberFormat="1" applyFill="1" applyBorder="1"/>
    <xf numFmtId="0" fontId="0" fillId="3" borderId="19" xfId="0" applyFill="1" applyBorder="1"/>
    <xf numFmtId="164" fontId="0" fillId="3" borderId="19" xfId="0" applyNumberFormat="1" applyFill="1" applyBorder="1"/>
    <xf numFmtId="0" fontId="0" fillId="3" borderId="22" xfId="0" applyFill="1" applyBorder="1"/>
    <xf numFmtId="164" fontId="0" fillId="3" borderId="22" xfId="0" applyNumberFormat="1" applyFill="1" applyBorder="1"/>
    <xf numFmtId="0" fontId="0" fillId="3" borderId="24" xfId="0" applyFill="1" applyBorder="1"/>
    <xf numFmtId="164" fontId="0" fillId="3" borderId="24" xfId="0" applyNumberFormat="1" applyFill="1" applyBorder="1"/>
    <xf numFmtId="9" fontId="0" fillId="0" borderId="1" xfId="0" applyNumberForma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0" borderId="5" xfId="0" applyNumberFormat="1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17" xfId="0" applyBorder="1"/>
    <xf numFmtId="9" fontId="0" fillId="3" borderId="20" xfId="1" applyFont="1" applyFill="1" applyBorder="1"/>
    <xf numFmtId="9" fontId="0" fillId="3" borderId="21" xfId="1" applyFont="1" applyFill="1" applyBorder="1"/>
    <xf numFmtId="9" fontId="0" fillId="3" borderId="23" xfId="1" applyFont="1" applyFill="1" applyBorder="1"/>
    <xf numFmtId="9" fontId="0" fillId="3" borderId="25" xfId="1" applyFont="1" applyFill="1" applyBorder="1"/>
    <xf numFmtId="0" fontId="0" fillId="3" borderId="19" xfId="0" applyFill="1" applyBorder="1" applyAlignment="1">
      <alignment horizontal="left"/>
    </xf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164" fontId="0" fillId="0" borderId="18" xfId="0" applyNumberFormat="1" applyBorder="1"/>
    <xf numFmtId="164" fontId="0" fillId="0" borderId="24" xfId="0" applyNumberFormat="1" applyFill="1" applyBorder="1"/>
    <xf numFmtId="0" fontId="0" fillId="0" borderId="19" xfId="0" applyFill="1" applyBorder="1"/>
    <xf numFmtId="164" fontId="0" fillId="0" borderId="19" xfId="0" applyNumberFormat="1" applyBorder="1"/>
    <xf numFmtId="164" fontId="0" fillId="0" borderId="19" xfId="0" applyNumberFormat="1" applyFill="1" applyBorder="1"/>
    <xf numFmtId="9" fontId="0" fillId="0" borderId="20" xfId="1" applyNumberFormat="1" applyFont="1" applyFill="1" applyBorder="1"/>
    <xf numFmtId="0" fontId="0" fillId="2" borderId="22" xfId="0" applyFill="1" applyBorder="1"/>
    <xf numFmtId="164" fontId="0" fillId="0" borderId="22" xfId="0" applyNumberFormat="1" applyBorder="1"/>
    <xf numFmtId="164" fontId="0" fillId="2" borderId="22" xfId="0" applyNumberFormat="1" applyFill="1" applyBorder="1"/>
    <xf numFmtId="9" fontId="0" fillId="2" borderId="23" xfId="1" applyNumberFormat="1" applyFont="1" applyFill="1" applyBorder="1"/>
    <xf numFmtId="0" fontId="0" fillId="0" borderId="19" xfId="0" applyBorder="1"/>
    <xf numFmtId="9" fontId="0" fillId="0" borderId="21" xfId="1" applyNumberFormat="1" applyFont="1" applyFill="1" applyBorder="1"/>
    <xf numFmtId="0" fontId="0" fillId="0" borderId="22" xfId="0" applyBorder="1"/>
    <xf numFmtId="164" fontId="0" fillId="0" borderId="22" xfId="0" applyNumberFormat="1" applyFill="1" applyBorder="1"/>
    <xf numFmtId="9" fontId="0" fillId="0" borderId="23" xfId="1" applyNumberFormat="1" applyFont="1" applyFill="1" applyBorder="1"/>
    <xf numFmtId="164" fontId="0" fillId="0" borderId="32" xfId="0" applyNumberFormat="1" applyFill="1" applyBorder="1"/>
    <xf numFmtId="9" fontId="0" fillId="0" borderId="33" xfId="1" applyNumberFormat="1" applyFont="1" applyFill="1" applyBorder="1"/>
    <xf numFmtId="0" fontId="0" fillId="0" borderId="27" xfId="0" applyFill="1" applyBorder="1"/>
    <xf numFmtId="0" fontId="0" fillId="2" borderId="30" xfId="0" applyFill="1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2" borderId="28" xfId="0" applyFill="1" applyBorder="1"/>
    <xf numFmtId="9" fontId="0" fillId="2" borderId="21" xfId="1" applyNumberFormat="1" applyFont="1" applyFill="1" applyBorder="1"/>
    <xf numFmtId="0" fontId="0" fillId="2" borderId="27" xfId="0" applyFill="1" applyBorder="1"/>
    <xf numFmtId="0" fontId="0" fillId="2" borderId="19" xfId="0" applyFill="1" applyBorder="1"/>
    <xf numFmtId="164" fontId="0" fillId="2" borderId="19" xfId="0" applyNumberFormat="1" applyFill="1" applyBorder="1"/>
    <xf numFmtId="9" fontId="0" fillId="2" borderId="20" xfId="1" applyNumberFormat="1" applyFont="1" applyFill="1" applyBorder="1"/>
    <xf numFmtId="0" fontId="0" fillId="3" borderId="37" xfId="0" applyFill="1" applyBorder="1"/>
    <xf numFmtId="0" fontId="0" fillId="0" borderId="17" xfId="0" applyBorder="1" applyAlignment="1">
      <alignment horizontal="center" vertical="center"/>
    </xf>
    <xf numFmtId="0" fontId="0" fillId="0" borderId="34" xfId="0" applyFill="1" applyBorder="1"/>
    <xf numFmtId="0" fontId="0" fillId="0" borderId="32" xfId="0" applyFill="1" applyBorder="1"/>
    <xf numFmtId="0" fontId="0" fillId="0" borderId="30" xfId="0" applyFill="1" applyBorder="1"/>
    <xf numFmtId="0" fontId="0" fillId="0" borderId="22" xfId="0" applyFill="1" applyBorder="1"/>
    <xf numFmtId="0" fontId="0" fillId="0" borderId="28" xfId="0" applyFill="1" applyBorder="1"/>
    <xf numFmtId="0" fontId="0" fillId="0" borderId="37" xfId="0" applyFill="1" applyBorder="1"/>
    <xf numFmtId="0" fontId="0" fillId="0" borderId="24" xfId="0" applyFill="1" applyBorder="1"/>
    <xf numFmtId="9" fontId="0" fillId="0" borderId="20" xfId="1" applyFont="1" applyFill="1" applyBorder="1"/>
    <xf numFmtId="9" fontId="0" fillId="0" borderId="23" xfId="1" applyFont="1" applyFill="1" applyBorder="1"/>
    <xf numFmtId="9" fontId="0" fillId="0" borderId="25" xfId="0" applyNumberFormat="1" applyFill="1" applyBorder="1"/>
    <xf numFmtId="9" fontId="0" fillId="0" borderId="23" xfId="0" applyNumberFormat="1" applyBorder="1"/>
    <xf numFmtId="0" fontId="0" fillId="2" borderId="36" xfId="0" applyFill="1" applyBorder="1"/>
    <xf numFmtId="0" fontId="0" fillId="2" borderId="29" xfId="0" applyFill="1" applyBorder="1"/>
    <xf numFmtId="164" fontId="0" fillId="2" borderId="29" xfId="0" applyNumberFormat="1" applyFill="1" applyBorder="1"/>
    <xf numFmtId="9" fontId="0" fillId="2" borderId="31" xfId="1" applyNumberFormat="1" applyFont="1" applyFill="1" applyBorder="1"/>
    <xf numFmtId="0" fontId="0" fillId="2" borderId="37" xfId="0" applyFill="1" applyBorder="1"/>
    <xf numFmtId="0" fontId="0" fillId="2" borderId="24" xfId="0" applyFill="1" applyBorder="1"/>
    <xf numFmtId="164" fontId="0" fillId="2" borderId="24" xfId="0" applyNumberFormat="1" applyFill="1" applyBorder="1"/>
    <xf numFmtId="9" fontId="0" fillId="2" borderId="25" xfId="1" applyNumberFormat="1" applyFont="1" applyFill="1" applyBorder="1"/>
    <xf numFmtId="9" fontId="0" fillId="2" borderId="21" xfId="1" applyFont="1" applyFill="1" applyBorder="1"/>
    <xf numFmtId="9" fontId="0" fillId="2" borderId="31" xfId="0" applyNumberFormat="1" applyFill="1" applyBorder="1"/>
    <xf numFmtId="9" fontId="0" fillId="2" borderId="20" xfId="0" applyNumberFormat="1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9" fontId="0" fillId="0" borderId="0" xfId="1" applyNumberFormat="1" applyFont="1" applyFill="1" applyBorder="1"/>
    <xf numFmtId="0" fontId="0" fillId="0" borderId="18" xfId="0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0" borderId="40" xfId="0" applyBorder="1"/>
    <xf numFmtId="0" fontId="0" fillId="0" borderId="19" xfId="0" applyBorder="1" applyAlignment="1">
      <alignment horizontal="right"/>
    </xf>
    <xf numFmtId="9" fontId="0" fillId="0" borderId="20" xfId="1" applyNumberFormat="1" applyFont="1" applyBorder="1"/>
    <xf numFmtId="0" fontId="0" fillId="2" borderId="41" xfId="0" applyFill="1" applyBorder="1"/>
    <xf numFmtId="0" fontId="0" fillId="0" borderId="41" xfId="0" applyBorder="1"/>
    <xf numFmtId="9" fontId="0" fillId="0" borderId="21" xfId="1" applyNumberFormat="1" applyFont="1" applyBorder="1"/>
    <xf numFmtId="0" fontId="0" fillId="2" borderId="42" xfId="0" applyFill="1" applyBorder="1"/>
    <xf numFmtId="0" fontId="0" fillId="2" borderId="22" xfId="0" applyFill="1" applyBorder="1" applyAlignment="1">
      <alignment horizontal="right"/>
    </xf>
    <xf numFmtId="0" fontId="0" fillId="0" borderId="0" xfId="0" applyBorder="1" applyAlignment="1">
      <alignment horizontal="right"/>
    </xf>
    <xf numFmtId="9" fontId="0" fillId="0" borderId="0" xfId="1" applyNumberFormat="1" applyFont="1" applyBorder="1"/>
    <xf numFmtId="0" fontId="0" fillId="0" borderId="22" xfId="0" applyBorder="1" applyAlignment="1">
      <alignment horizontal="right"/>
    </xf>
    <xf numFmtId="9" fontId="0" fillId="0" borderId="23" xfId="1" applyNumberFormat="1" applyFont="1" applyBorder="1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0" borderId="26" xfId="0" applyBorder="1"/>
    <xf numFmtId="0" fontId="0" fillId="0" borderId="10" xfId="0" applyBorder="1"/>
    <xf numFmtId="0" fontId="0" fillId="0" borderId="26" xfId="0" applyBorder="1" applyAlignment="1">
      <alignment horizontal="right"/>
    </xf>
    <xf numFmtId="0" fontId="0" fillId="0" borderId="0" xfId="0" applyBorder="1" applyAlignment="1">
      <alignment horizontal="center"/>
    </xf>
    <xf numFmtId="164" fontId="0" fillId="0" borderId="26" xfId="0" applyNumberFormat="1" applyBorder="1"/>
    <xf numFmtId="164" fontId="0" fillId="0" borderId="0" xfId="0" applyNumberFormat="1" applyBorder="1" applyAlignment="1">
      <alignment horizontal="center"/>
    </xf>
    <xf numFmtId="9" fontId="0" fillId="0" borderId="17" xfId="0" applyNumberFormat="1" applyBorder="1" applyAlignment="1">
      <alignment horizontal="center" vertical="center" wrapText="1"/>
    </xf>
    <xf numFmtId="9" fontId="0" fillId="0" borderId="26" xfId="1" applyNumberFormat="1" applyFont="1" applyBorder="1"/>
    <xf numFmtId="0" fontId="0" fillId="0" borderId="19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0" borderId="22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0" xfId="0" applyFill="1" applyBorder="1"/>
    <xf numFmtId="0" fontId="0" fillId="0" borderId="41" xfId="0" applyFill="1" applyBorder="1"/>
    <xf numFmtId="0" fontId="0" fillId="0" borderId="3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49" fontId="0" fillId="3" borderId="35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95247</xdr:rowOff>
    </xdr:from>
    <xdr:to>
      <xdr:col>9</xdr:col>
      <xdr:colOff>6795</xdr:colOff>
      <xdr:row>2</xdr:row>
      <xdr:rowOff>175843</xdr:rowOff>
    </xdr:to>
    <xdr:pic>
      <xdr:nvPicPr>
        <xdr:cNvPr id="3" name="Picture 2" descr="Oxide_Thicknes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44865" y="696055"/>
          <a:ext cx="1545449" cy="454269"/>
        </a:xfrm>
        <a:prstGeom prst="rect">
          <a:avLst/>
        </a:prstGeom>
      </xdr:spPr>
    </xdr:pic>
    <xdr:clientData/>
  </xdr:twoCellAnchor>
  <xdr:twoCellAnchor>
    <xdr:from>
      <xdr:col>5</xdr:col>
      <xdr:colOff>36635</xdr:colOff>
      <xdr:row>1</xdr:row>
      <xdr:rowOff>21981</xdr:rowOff>
    </xdr:from>
    <xdr:to>
      <xdr:col>5</xdr:col>
      <xdr:colOff>760535</xdr:colOff>
      <xdr:row>1</xdr:row>
      <xdr:rowOff>288681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40673" y="622789"/>
          <a:ext cx="723900" cy="2667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36635</xdr:colOff>
      <xdr:row>1</xdr:row>
      <xdr:rowOff>21981</xdr:rowOff>
    </xdr:from>
    <xdr:to>
      <xdr:col>4</xdr:col>
      <xdr:colOff>760535</xdr:colOff>
      <xdr:row>1</xdr:row>
      <xdr:rowOff>355356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20058" y="622789"/>
          <a:ext cx="723900" cy="3333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36635</xdr:colOff>
      <xdr:row>2</xdr:row>
      <xdr:rowOff>21982</xdr:rowOff>
    </xdr:from>
    <xdr:to>
      <xdr:col>4</xdr:col>
      <xdr:colOff>790779</xdr:colOff>
      <xdr:row>2</xdr:row>
      <xdr:rowOff>227136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20058" y="996463"/>
          <a:ext cx="754144" cy="205154"/>
        </a:xfrm>
        <a:prstGeom prst="rect">
          <a:avLst/>
        </a:prstGeom>
        <a:noFill/>
      </xdr:spPr>
    </xdr:pic>
    <xdr:clientData/>
  </xdr:twoCellAnchor>
  <xdr:twoCellAnchor>
    <xdr:from>
      <xdr:col>5</xdr:col>
      <xdr:colOff>36635</xdr:colOff>
      <xdr:row>2</xdr:row>
      <xdr:rowOff>21982</xdr:rowOff>
    </xdr:from>
    <xdr:to>
      <xdr:col>5</xdr:col>
      <xdr:colOff>551194</xdr:colOff>
      <xdr:row>2</xdr:row>
      <xdr:rowOff>227136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40673" y="996463"/>
          <a:ext cx="514559" cy="205154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36636</xdr:colOff>
      <xdr:row>3</xdr:row>
      <xdr:rowOff>21981</xdr:rowOff>
    </xdr:from>
    <xdr:to>
      <xdr:col>4</xdr:col>
      <xdr:colOff>693026</xdr:colOff>
      <xdr:row>3</xdr:row>
      <xdr:rowOff>181478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20059" y="1245577"/>
          <a:ext cx="656390" cy="159497"/>
        </a:xfrm>
        <a:prstGeom prst="rect">
          <a:avLst/>
        </a:prstGeom>
        <a:noFill/>
      </xdr:spPr>
    </xdr:pic>
    <xdr:clientData/>
  </xdr:twoCellAnchor>
  <xdr:twoCellAnchor>
    <xdr:from>
      <xdr:col>5</xdr:col>
      <xdr:colOff>36635</xdr:colOff>
      <xdr:row>3</xdr:row>
      <xdr:rowOff>21981</xdr:rowOff>
    </xdr:from>
    <xdr:to>
      <xdr:col>5</xdr:col>
      <xdr:colOff>688731</xdr:colOff>
      <xdr:row>3</xdr:row>
      <xdr:rowOff>181478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40673" y="1245577"/>
          <a:ext cx="652096" cy="15949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95247</xdr:rowOff>
    </xdr:from>
    <xdr:to>
      <xdr:col>9</xdr:col>
      <xdr:colOff>6795</xdr:colOff>
      <xdr:row>2</xdr:row>
      <xdr:rowOff>175843</xdr:rowOff>
    </xdr:to>
    <xdr:pic>
      <xdr:nvPicPr>
        <xdr:cNvPr id="2" name="Picture 1" descr="Oxide_Thicknes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29125" y="695322"/>
          <a:ext cx="1549845" cy="452071"/>
        </a:xfrm>
        <a:prstGeom prst="rect">
          <a:avLst/>
        </a:prstGeom>
      </xdr:spPr>
    </xdr:pic>
    <xdr:clientData/>
  </xdr:twoCellAnchor>
  <xdr:twoCellAnchor>
    <xdr:from>
      <xdr:col>5</xdr:col>
      <xdr:colOff>36635</xdr:colOff>
      <xdr:row>1</xdr:row>
      <xdr:rowOff>21981</xdr:rowOff>
    </xdr:from>
    <xdr:to>
      <xdr:col>5</xdr:col>
      <xdr:colOff>760535</xdr:colOff>
      <xdr:row>1</xdr:row>
      <xdr:rowOff>288681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37010" y="622056"/>
          <a:ext cx="723900" cy="2667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36635</xdr:colOff>
      <xdr:row>1</xdr:row>
      <xdr:rowOff>21981</xdr:rowOff>
    </xdr:from>
    <xdr:to>
      <xdr:col>4</xdr:col>
      <xdr:colOff>760535</xdr:colOff>
      <xdr:row>1</xdr:row>
      <xdr:rowOff>355356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17860" y="622056"/>
          <a:ext cx="723900" cy="3333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36635</xdr:colOff>
      <xdr:row>2</xdr:row>
      <xdr:rowOff>21982</xdr:rowOff>
    </xdr:from>
    <xdr:to>
      <xdr:col>4</xdr:col>
      <xdr:colOff>790779</xdr:colOff>
      <xdr:row>2</xdr:row>
      <xdr:rowOff>227136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17860" y="993532"/>
          <a:ext cx="754144" cy="205154"/>
        </a:xfrm>
        <a:prstGeom prst="rect">
          <a:avLst/>
        </a:prstGeom>
        <a:noFill/>
      </xdr:spPr>
    </xdr:pic>
    <xdr:clientData/>
  </xdr:twoCellAnchor>
  <xdr:twoCellAnchor>
    <xdr:from>
      <xdr:col>5</xdr:col>
      <xdr:colOff>36635</xdr:colOff>
      <xdr:row>2</xdr:row>
      <xdr:rowOff>21982</xdr:rowOff>
    </xdr:from>
    <xdr:to>
      <xdr:col>5</xdr:col>
      <xdr:colOff>551194</xdr:colOff>
      <xdr:row>2</xdr:row>
      <xdr:rowOff>227136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37010" y="993532"/>
          <a:ext cx="514559" cy="205154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36636</xdr:colOff>
      <xdr:row>3</xdr:row>
      <xdr:rowOff>21981</xdr:rowOff>
    </xdr:from>
    <xdr:to>
      <xdr:col>4</xdr:col>
      <xdr:colOff>693026</xdr:colOff>
      <xdr:row>3</xdr:row>
      <xdr:rowOff>181478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17861" y="1241181"/>
          <a:ext cx="656390" cy="159497"/>
        </a:xfrm>
        <a:prstGeom prst="rect">
          <a:avLst/>
        </a:prstGeom>
        <a:noFill/>
      </xdr:spPr>
    </xdr:pic>
    <xdr:clientData/>
  </xdr:twoCellAnchor>
  <xdr:twoCellAnchor>
    <xdr:from>
      <xdr:col>5</xdr:col>
      <xdr:colOff>36635</xdr:colOff>
      <xdr:row>3</xdr:row>
      <xdr:rowOff>21981</xdr:rowOff>
    </xdr:from>
    <xdr:to>
      <xdr:col>5</xdr:col>
      <xdr:colOff>688731</xdr:colOff>
      <xdr:row>3</xdr:row>
      <xdr:rowOff>181478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37010" y="1241181"/>
          <a:ext cx="652096" cy="159497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95247</xdr:rowOff>
    </xdr:from>
    <xdr:to>
      <xdr:col>9</xdr:col>
      <xdr:colOff>6795</xdr:colOff>
      <xdr:row>2</xdr:row>
      <xdr:rowOff>175843</xdr:rowOff>
    </xdr:to>
    <xdr:pic>
      <xdr:nvPicPr>
        <xdr:cNvPr id="2" name="Picture 1" descr="Oxide_Thicknes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29125" y="695322"/>
          <a:ext cx="1549845" cy="452071"/>
        </a:xfrm>
        <a:prstGeom prst="rect">
          <a:avLst/>
        </a:prstGeom>
      </xdr:spPr>
    </xdr:pic>
    <xdr:clientData/>
  </xdr:twoCellAnchor>
  <xdr:twoCellAnchor>
    <xdr:from>
      <xdr:col>5</xdr:col>
      <xdr:colOff>36635</xdr:colOff>
      <xdr:row>1</xdr:row>
      <xdr:rowOff>21981</xdr:rowOff>
    </xdr:from>
    <xdr:to>
      <xdr:col>5</xdr:col>
      <xdr:colOff>760535</xdr:colOff>
      <xdr:row>1</xdr:row>
      <xdr:rowOff>288681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37010" y="622056"/>
          <a:ext cx="723900" cy="2667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36635</xdr:colOff>
      <xdr:row>1</xdr:row>
      <xdr:rowOff>21981</xdr:rowOff>
    </xdr:from>
    <xdr:to>
      <xdr:col>4</xdr:col>
      <xdr:colOff>760535</xdr:colOff>
      <xdr:row>1</xdr:row>
      <xdr:rowOff>355356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17860" y="622056"/>
          <a:ext cx="723900" cy="3333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36635</xdr:colOff>
      <xdr:row>2</xdr:row>
      <xdr:rowOff>21982</xdr:rowOff>
    </xdr:from>
    <xdr:to>
      <xdr:col>4</xdr:col>
      <xdr:colOff>790779</xdr:colOff>
      <xdr:row>2</xdr:row>
      <xdr:rowOff>227136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17860" y="993532"/>
          <a:ext cx="754144" cy="205154"/>
        </a:xfrm>
        <a:prstGeom prst="rect">
          <a:avLst/>
        </a:prstGeom>
        <a:noFill/>
      </xdr:spPr>
    </xdr:pic>
    <xdr:clientData/>
  </xdr:twoCellAnchor>
  <xdr:twoCellAnchor>
    <xdr:from>
      <xdr:col>5</xdr:col>
      <xdr:colOff>36635</xdr:colOff>
      <xdr:row>2</xdr:row>
      <xdr:rowOff>21982</xdr:rowOff>
    </xdr:from>
    <xdr:to>
      <xdr:col>5</xdr:col>
      <xdr:colOff>551194</xdr:colOff>
      <xdr:row>2</xdr:row>
      <xdr:rowOff>227136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37010" y="993532"/>
          <a:ext cx="514559" cy="205154"/>
        </a:xfrm>
        <a:prstGeom prst="rect">
          <a:avLst/>
        </a:prstGeom>
        <a:noFill/>
      </xdr:spPr>
    </xdr:pic>
    <xdr:clientData/>
  </xdr:twoCellAnchor>
  <xdr:twoCellAnchor>
    <xdr:from>
      <xdr:col>4</xdr:col>
      <xdr:colOff>36636</xdr:colOff>
      <xdr:row>3</xdr:row>
      <xdr:rowOff>21981</xdr:rowOff>
    </xdr:from>
    <xdr:to>
      <xdr:col>4</xdr:col>
      <xdr:colOff>693026</xdr:colOff>
      <xdr:row>3</xdr:row>
      <xdr:rowOff>181478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17861" y="1241181"/>
          <a:ext cx="656390" cy="159497"/>
        </a:xfrm>
        <a:prstGeom prst="rect">
          <a:avLst/>
        </a:prstGeom>
        <a:noFill/>
      </xdr:spPr>
    </xdr:pic>
    <xdr:clientData/>
  </xdr:twoCellAnchor>
  <xdr:twoCellAnchor>
    <xdr:from>
      <xdr:col>5</xdr:col>
      <xdr:colOff>36635</xdr:colOff>
      <xdr:row>3</xdr:row>
      <xdr:rowOff>21981</xdr:rowOff>
    </xdr:from>
    <xdr:to>
      <xdr:col>5</xdr:col>
      <xdr:colOff>688731</xdr:colOff>
      <xdr:row>3</xdr:row>
      <xdr:rowOff>181478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037010" y="1241181"/>
          <a:ext cx="652096" cy="15949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zoomScale="130" zoomScaleNormal="130" zoomScaleSheetLayoutView="120" workbookViewId="0">
      <pane ySplit="1" topLeftCell="A6" activePane="bottomLeft" state="frozen"/>
      <selection pane="bottomLeft" activeCell="K58" sqref="K58"/>
    </sheetView>
  </sheetViews>
  <sheetFormatPr defaultRowHeight="15" x14ac:dyDescent="0.25"/>
  <cols>
    <col min="1" max="1" width="10" customWidth="1"/>
    <col min="2" max="2" width="6" bestFit="1" customWidth="1"/>
    <col min="3" max="3" width="6.7109375" bestFit="1" customWidth="1"/>
    <col min="4" max="4" width="10" bestFit="1" customWidth="1"/>
    <col min="5" max="6" width="12.28515625" customWidth="1"/>
    <col min="7" max="7" width="9.140625" bestFit="1" customWidth="1"/>
    <col min="8" max="8" width="11.5703125" customWidth="1"/>
    <col min="9" max="9" width="11.5703125" style="18" customWidth="1"/>
    <col min="10" max="10" width="7.5703125" style="30" bestFit="1" customWidth="1"/>
  </cols>
  <sheetData>
    <row r="1" spans="1:12" ht="47.25" customHeight="1" thickBot="1" x14ac:dyDescent="0.3">
      <c r="A1" s="7" t="s">
        <v>18</v>
      </c>
      <c r="B1" s="2" t="s">
        <v>6</v>
      </c>
      <c r="C1" s="2" t="s">
        <v>5</v>
      </c>
      <c r="D1" s="2" t="s">
        <v>3</v>
      </c>
      <c r="E1" s="2" t="s">
        <v>7</v>
      </c>
      <c r="F1" s="2" t="s">
        <v>8</v>
      </c>
      <c r="G1" s="4" t="s">
        <v>11</v>
      </c>
      <c r="H1" s="2" t="s">
        <v>9</v>
      </c>
      <c r="I1" s="16" t="s">
        <v>10</v>
      </c>
      <c r="J1" s="27" t="s">
        <v>4</v>
      </c>
      <c r="L1" t="s">
        <v>14</v>
      </c>
    </row>
    <row r="2" spans="1:12" ht="29.25" customHeight="1" thickBot="1" x14ac:dyDescent="0.3">
      <c r="B2" s="10"/>
      <c r="C2" s="10"/>
      <c r="D2" s="10"/>
      <c r="E2" s="115"/>
      <c r="F2" s="5"/>
      <c r="G2" s="70"/>
      <c r="H2" s="137"/>
      <c r="I2" s="137"/>
      <c r="J2" s="120"/>
    </row>
    <row r="3" spans="1:12" ht="19.5" customHeight="1" thickBot="1" x14ac:dyDescent="0.3">
      <c r="B3" s="1"/>
      <c r="C3" s="1"/>
      <c r="D3" s="1"/>
      <c r="E3" s="115"/>
      <c r="F3" s="5"/>
      <c r="G3" s="1"/>
      <c r="H3" s="138"/>
      <c r="I3" s="138"/>
      <c r="J3" s="29"/>
    </row>
    <row r="4" spans="1:12" ht="19.5" customHeight="1" thickBot="1" x14ac:dyDescent="0.3">
      <c r="B4" s="1"/>
      <c r="C4" s="1"/>
      <c r="D4" s="1"/>
      <c r="E4" s="115"/>
      <c r="F4" s="5"/>
      <c r="G4" s="1"/>
      <c r="H4" s="117"/>
      <c r="I4" s="119"/>
      <c r="J4" s="29"/>
    </row>
    <row r="5" spans="1:12" ht="15.75" thickBot="1" x14ac:dyDescent="0.3">
      <c r="B5" s="114"/>
      <c r="C5" s="114"/>
      <c r="D5" s="116"/>
      <c r="E5" s="94"/>
      <c r="F5" s="94"/>
      <c r="G5" s="118"/>
      <c r="H5" s="94"/>
      <c r="I5" s="94"/>
      <c r="J5" s="121"/>
    </row>
    <row r="6" spans="1:12" x14ac:dyDescent="0.25">
      <c r="A6" s="129" t="s">
        <v>1</v>
      </c>
      <c r="B6" s="60">
        <f>4*60</f>
        <v>240</v>
      </c>
      <c r="C6" s="51">
        <f>1000</f>
        <v>1000</v>
      </c>
      <c r="D6" s="101" t="s">
        <v>0</v>
      </c>
      <c r="E6" s="44">
        <f>IF($D6="Wet",9.7*10^7,3.71*10^6)*EXP(-IF($D6="Wet",2.05,2)/(8.617*10^-5*($C6+273)))</f>
        <v>0.74225691841925567</v>
      </c>
      <c r="F6" s="44">
        <f>IF($D6="Wet",386,772)*EXP(-IF($D6="Wet",0.78,1.23)/(8.617*10^-5*($C6+273)))</f>
        <v>0.31511242781850035</v>
      </c>
      <c r="G6" s="44">
        <f>F6/E6</f>
        <v>0.42453282684057458</v>
      </c>
      <c r="H6" s="44">
        <f>G6/2*(-1+SQRT(1+4*F6/(G6^2)*(B6/60+IF($D6="Wet",0,0.025^2/F6+0.025/E6))))</f>
        <v>0.93032132567912806</v>
      </c>
      <c r="I6" s="44">
        <f>0.68573</f>
        <v>0.68572999999999995</v>
      </c>
      <c r="J6" s="102">
        <f t="shared" ref="J6:J36" si="0">(H6-I6)/I6</f>
        <v>0.35668750919330949</v>
      </c>
      <c r="L6">
        <f t="shared" ref="L6:L23" si="1">($I6^2/$F6+$I6/$E6-IF($D6="Wet",0,0.025^2/$F6+0.025/$E6))*60</f>
        <v>144.96550330053759</v>
      </c>
    </row>
    <row r="7" spans="1:12" x14ac:dyDescent="0.25">
      <c r="A7" s="135"/>
      <c r="B7" s="63">
        <f t="shared" ref="B7:B10" si="2">4*60</f>
        <v>240</v>
      </c>
      <c r="C7" s="13">
        <f>1000</f>
        <v>1000</v>
      </c>
      <c r="D7" s="99" t="s">
        <v>0</v>
      </c>
      <c r="E7" s="12">
        <f t="shared" ref="E7:E10" si="3">IF($D7="Wet",9.7*10^7,3.71*10^6)*EXP(-IF($D7="Wet",2.05,2)/(8.617*10^-5*($C7+273)))</f>
        <v>0.74225691841925567</v>
      </c>
      <c r="F7" s="12">
        <f t="shared" ref="F7:F10" si="4">IF($D7="Wet",386,772)*EXP(-IF($D7="Wet",0.78,1.23)/(8.617*10^-5*($C7+273)))</f>
        <v>0.31511242781850035</v>
      </c>
      <c r="G7" s="12">
        <f t="shared" ref="G7:G10" si="5">F7/E7</f>
        <v>0.42453282684057458</v>
      </c>
      <c r="H7" s="12">
        <f t="shared" ref="H7:H17" si="6">G7/2*(-1+SQRT(1+4*F7/(G7^2)*(B7/60+IF($D7="Wet",0,0.025^2/F7+0.025/E7))))</f>
        <v>0.93032132567912806</v>
      </c>
      <c r="I7" s="12">
        <f>0.72024</f>
        <v>0.72023999999999999</v>
      </c>
      <c r="J7" s="64">
        <f t="shared" si="0"/>
        <v>0.29168239153494402</v>
      </c>
      <c r="L7">
        <f t="shared" si="1"/>
        <v>156.99371551512917</v>
      </c>
    </row>
    <row r="8" spans="1:12" x14ac:dyDescent="0.25">
      <c r="A8" s="135"/>
      <c r="B8" s="61">
        <f t="shared" si="2"/>
        <v>240</v>
      </c>
      <c r="C8" s="11">
        <f>1000</f>
        <v>1000</v>
      </c>
      <c r="D8" s="98" t="s">
        <v>0</v>
      </c>
      <c r="E8" s="41">
        <f t="shared" si="3"/>
        <v>0.74225691841925567</v>
      </c>
      <c r="F8" s="41">
        <f t="shared" si="4"/>
        <v>0.31511242781850035</v>
      </c>
      <c r="G8" s="41">
        <f t="shared" si="5"/>
        <v>0.42453282684057458</v>
      </c>
      <c r="H8" s="41">
        <f t="shared" si="6"/>
        <v>0.93032132567912806</v>
      </c>
      <c r="I8" s="41">
        <f>0.71284</f>
        <v>0.71284000000000003</v>
      </c>
      <c r="J8" s="105">
        <f t="shared" si="0"/>
        <v>0.30509136086517036</v>
      </c>
      <c r="L8">
        <f t="shared" si="1"/>
        <v>154.37630019823069</v>
      </c>
    </row>
    <row r="9" spans="1:12" x14ac:dyDescent="0.25">
      <c r="A9" s="135"/>
      <c r="B9" s="63">
        <f t="shared" si="2"/>
        <v>240</v>
      </c>
      <c r="C9" s="13">
        <f>1000</f>
        <v>1000</v>
      </c>
      <c r="D9" s="99" t="s">
        <v>0</v>
      </c>
      <c r="E9" s="12">
        <f t="shared" si="3"/>
        <v>0.74225691841925567</v>
      </c>
      <c r="F9" s="12">
        <f t="shared" si="4"/>
        <v>0.31511242781850035</v>
      </c>
      <c r="G9" s="12">
        <f t="shared" si="5"/>
        <v>0.42453282684057458</v>
      </c>
      <c r="H9" s="12">
        <f t="shared" si="6"/>
        <v>0.93032132567912806</v>
      </c>
      <c r="I9" s="12">
        <f>0.67621</f>
        <v>0.67620999999999998</v>
      </c>
      <c r="J9" s="64">
        <f t="shared" si="0"/>
        <v>0.37578758917958638</v>
      </c>
      <c r="L9">
        <f t="shared" si="1"/>
        <v>141.72718837352656</v>
      </c>
    </row>
    <row r="10" spans="1:12" ht="15.75" thickBot="1" x14ac:dyDescent="0.3">
      <c r="A10" s="136"/>
      <c r="B10" s="62">
        <f t="shared" si="2"/>
        <v>240</v>
      </c>
      <c r="C10" s="53">
        <f>1000</f>
        <v>1000</v>
      </c>
      <c r="D10" s="110" t="s">
        <v>0</v>
      </c>
      <c r="E10" s="48">
        <f t="shared" si="3"/>
        <v>0.74225691841925567</v>
      </c>
      <c r="F10" s="48">
        <f t="shared" si="4"/>
        <v>0.31511242781850035</v>
      </c>
      <c r="G10" s="48">
        <f t="shared" si="5"/>
        <v>0.42453282684057458</v>
      </c>
      <c r="H10" s="48">
        <f t="shared" si="6"/>
        <v>0.93032132567912806</v>
      </c>
      <c r="I10" s="48">
        <f>0.72562</f>
        <v>0.72562000000000004</v>
      </c>
      <c r="J10" s="111">
        <f t="shared" si="0"/>
        <v>0.28210540734699707</v>
      </c>
      <c r="L10">
        <f t="shared" si="1"/>
        <v>158.90973897597442</v>
      </c>
    </row>
    <row r="11" spans="1:12" ht="15.75" thickBot="1" x14ac:dyDescent="0.3">
      <c r="A11" s="93"/>
      <c r="B11" s="93"/>
      <c r="C11" s="93"/>
      <c r="D11" s="108"/>
      <c r="E11" s="94"/>
      <c r="F11" s="94"/>
      <c r="G11" s="94"/>
      <c r="H11" s="94"/>
      <c r="I11" s="94"/>
      <c r="J11" s="109"/>
    </row>
    <row r="12" spans="1:12" x14ac:dyDescent="0.25">
      <c r="A12" s="139" t="s">
        <v>2</v>
      </c>
      <c r="B12" s="100">
        <f>90</f>
        <v>90</v>
      </c>
      <c r="C12" s="51">
        <f>1000</f>
        <v>1000</v>
      </c>
      <c r="D12" s="101" t="s">
        <v>0</v>
      </c>
      <c r="E12" s="44">
        <f>IF($D12="Wet",9.7*10^7,3.71*10^6)*EXP(-IF($D12="Wet",2.05,2)/(8.617*10^-5*($C12+273)))</f>
        <v>0.74225691841925567</v>
      </c>
      <c r="F12" s="44">
        <f>IF($D12="Wet",386,772)*EXP(-IF($D12="Wet",0.78,1.23)/(8.617*10^-5*($C12+273)))</f>
        <v>0.31511242781850035</v>
      </c>
      <c r="G12" s="44">
        <f>F12/E12</f>
        <v>0.42453282684057458</v>
      </c>
      <c r="H12" s="44">
        <f t="shared" si="6"/>
        <v>0.50726515085890589</v>
      </c>
      <c r="I12" s="44">
        <f>0.41582</f>
        <v>0.41582000000000002</v>
      </c>
      <c r="J12" s="102">
        <f t="shared" si="0"/>
        <v>0.21991522980834463</v>
      </c>
      <c r="L12">
        <f t="shared" si="1"/>
        <v>66.535397834220035</v>
      </c>
    </row>
    <row r="13" spans="1:12" x14ac:dyDescent="0.25">
      <c r="A13" s="140"/>
      <c r="B13" s="103">
        <f>90</f>
        <v>90</v>
      </c>
      <c r="C13" s="13">
        <f>1000</f>
        <v>1000</v>
      </c>
      <c r="D13" s="99" t="s">
        <v>0</v>
      </c>
      <c r="E13" s="12">
        <f t="shared" ref="E13:E36" si="7">IF($D13="Wet",9.7*10^7,3.71*10^6)*EXP(-IF($D13="Wet",2.05,2)/(8.617*10^-5*($C13+273)))</f>
        <v>0.74225691841925567</v>
      </c>
      <c r="F13" s="12">
        <f t="shared" ref="F13:F36" si="8">IF($D13="Wet",386,772)*EXP(-IF($D13="Wet",0.78,1.23)/(8.617*10^-5*($C13+273)))</f>
        <v>0.31511242781850035</v>
      </c>
      <c r="G13" s="12">
        <f t="shared" ref="G13:G17" si="9">F13/E13</f>
        <v>0.42453282684057458</v>
      </c>
      <c r="H13" s="12">
        <f t="shared" si="6"/>
        <v>0.50726515085890589</v>
      </c>
      <c r="I13" s="12">
        <f>0.41923</f>
        <v>0.41922999999999999</v>
      </c>
      <c r="J13" s="64">
        <f t="shared" si="0"/>
        <v>0.20999248827351549</v>
      </c>
      <c r="L13">
        <f t="shared" si="1"/>
        <v>67.353234973033281</v>
      </c>
    </row>
    <row r="14" spans="1:12" x14ac:dyDescent="0.25">
      <c r="A14" s="140"/>
      <c r="B14" s="104">
        <f>90</f>
        <v>90</v>
      </c>
      <c r="C14" s="11">
        <f>1000</f>
        <v>1000</v>
      </c>
      <c r="D14" s="98" t="s">
        <v>0</v>
      </c>
      <c r="E14" s="41">
        <f t="shared" si="7"/>
        <v>0.74225691841925567</v>
      </c>
      <c r="F14" s="41">
        <f t="shared" si="8"/>
        <v>0.31511242781850035</v>
      </c>
      <c r="G14" s="41">
        <f t="shared" si="9"/>
        <v>0.42453282684057458</v>
      </c>
      <c r="H14" s="41">
        <f t="shared" si="6"/>
        <v>0.50726515085890589</v>
      </c>
      <c r="I14" s="41">
        <f>0.41353</f>
        <v>0.41353000000000001</v>
      </c>
      <c r="J14" s="105">
        <f t="shared" si="0"/>
        <v>0.22667073938748308</v>
      </c>
      <c r="L14">
        <f t="shared" si="1"/>
        <v>65.988661224684819</v>
      </c>
    </row>
    <row r="15" spans="1:12" x14ac:dyDescent="0.25">
      <c r="A15" s="140"/>
      <c r="B15" s="103">
        <f>90</f>
        <v>90</v>
      </c>
      <c r="C15" s="13">
        <f>1000</f>
        <v>1000</v>
      </c>
      <c r="D15" s="99" t="s">
        <v>0</v>
      </c>
      <c r="E15" s="12">
        <f t="shared" si="7"/>
        <v>0.74225691841925567</v>
      </c>
      <c r="F15" s="12">
        <f t="shared" si="8"/>
        <v>0.31511242781850035</v>
      </c>
      <c r="G15" s="12">
        <f t="shared" si="9"/>
        <v>0.42453282684057458</v>
      </c>
      <c r="H15" s="12">
        <f t="shared" si="6"/>
        <v>0.50726515085890589</v>
      </c>
      <c r="I15" s="12">
        <f>0.42369</f>
        <v>0.42369000000000001</v>
      </c>
      <c r="J15" s="64">
        <f t="shared" si="0"/>
        <v>0.19725542462391341</v>
      </c>
      <c r="L15">
        <f t="shared" si="1"/>
        <v>68.429582163814018</v>
      </c>
    </row>
    <row r="16" spans="1:12" ht="15.75" thickBot="1" x14ac:dyDescent="0.3">
      <c r="A16" s="140"/>
      <c r="B16" s="104">
        <f>90</f>
        <v>90</v>
      </c>
      <c r="C16" s="11">
        <f>1000</f>
        <v>1000</v>
      </c>
      <c r="D16" s="98" t="s">
        <v>0</v>
      </c>
      <c r="E16" s="41">
        <f t="shared" si="7"/>
        <v>0.74225691841925567</v>
      </c>
      <c r="F16" s="41">
        <f t="shared" si="8"/>
        <v>0.31511242781850035</v>
      </c>
      <c r="G16" s="41">
        <f t="shared" si="9"/>
        <v>0.42453282684057458</v>
      </c>
      <c r="H16" s="41">
        <f t="shared" si="6"/>
        <v>0.50726515085890589</v>
      </c>
      <c r="I16" s="41">
        <f>0.432</f>
        <v>0.432</v>
      </c>
      <c r="J16" s="105">
        <f t="shared" si="0"/>
        <v>0.17422488624746735</v>
      </c>
      <c r="L16">
        <f t="shared" si="1"/>
        <v>70.455269014319242</v>
      </c>
    </row>
    <row r="17" spans="1:12" ht="15.75" thickBot="1" x14ac:dyDescent="0.3">
      <c r="A17" s="113" t="s">
        <v>12</v>
      </c>
      <c r="B17" s="106">
        <f>90</f>
        <v>90</v>
      </c>
      <c r="C17" s="47">
        <f>1000</f>
        <v>1000</v>
      </c>
      <c r="D17" s="107" t="s">
        <v>0</v>
      </c>
      <c r="E17" s="49">
        <f t="shared" si="7"/>
        <v>0.74225691841925567</v>
      </c>
      <c r="F17" s="49">
        <f t="shared" si="8"/>
        <v>0.31511242781850035</v>
      </c>
      <c r="G17" s="49">
        <f t="shared" si="9"/>
        <v>0.42453282684057458</v>
      </c>
      <c r="H17" s="49">
        <f t="shared" si="6"/>
        <v>0.50726515085890589</v>
      </c>
      <c r="I17" s="49">
        <f>0.48308</f>
        <v>0.48308000000000001</v>
      </c>
      <c r="J17" s="50">
        <f t="shared" si="0"/>
        <v>5.0064483851341143E-2</v>
      </c>
      <c r="L17">
        <f t="shared" si="1"/>
        <v>83.484413628271994</v>
      </c>
    </row>
    <row r="18" spans="1:12" ht="15" customHeight="1" thickBot="1" x14ac:dyDescent="0.3">
      <c r="A18" s="95"/>
      <c r="B18" s="95"/>
      <c r="C18" s="95"/>
      <c r="D18" s="95"/>
      <c r="E18" s="96"/>
      <c r="F18" s="96"/>
      <c r="G18" s="96"/>
      <c r="H18" s="96"/>
      <c r="I18" s="96"/>
      <c r="J18" s="97"/>
    </row>
    <row r="19" spans="1:12" x14ac:dyDescent="0.25">
      <c r="A19" s="129" t="s">
        <v>22</v>
      </c>
      <c r="B19" s="58">
        <v>90</v>
      </c>
      <c r="C19" s="43">
        <v>1050</v>
      </c>
      <c r="D19" s="122" t="s">
        <v>0</v>
      </c>
      <c r="E19" s="45">
        <f t="shared" si="7"/>
        <v>1.5041446687857121</v>
      </c>
      <c r="F19" s="45">
        <f t="shared" si="8"/>
        <v>0.41226322236022273</v>
      </c>
      <c r="G19" s="45">
        <f t="shared" ref="G19:G25" si="10">F19/E19</f>
        <v>0.2740848210385512</v>
      </c>
      <c r="H19" s="45">
        <f t="shared" ref="H19:H25" si="11">G19/2*(-1+SQRT(1+4*F19/(G19^2)*(B19/60+IF($D19="Wet",0,0.025^2/F19+0.025/E19))))</f>
        <v>0.66119029729296874</v>
      </c>
      <c r="I19" s="45">
        <v>0.48820000000000002</v>
      </c>
      <c r="J19" s="46">
        <f t="shared" si="0"/>
        <v>0.35434309154643323</v>
      </c>
      <c r="L19">
        <f t="shared" si="1"/>
        <v>54.161627248794446</v>
      </c>
    </row>
    <row r="20" spans="1:12" x14ac:dyDescent="0.25">
      <c r="A20" s="130"/>
      <c r="B20" s="63">
        <v>90</v>
      </c>
      <c r="C20" s="13">
        <v>1050</v>
      </c>
      <c r="D20" s="99" t="s">
        <v>0</v>
      </c>
      <c r="E20" s="12">
        <f t="shared" si="7"/>
        <v>1.5041446687857121</v>
      </c>
      <c r="F20" s="12">
        <f t="shared" si="8"/>
        <v>0.41226322236022273</v>
      </c>
      <c r="G20" s="12">
        <f t="shared" si="10"/>
        <v>0.2740848210385512</v>
      </c>
      <c r="H20" s="12">
        <f t="shared" si="11"/>
        <v>0.66119029729296874</v>
      </c>
      <c r="I20" s="12">
        <v>0.48870000000000002</v>
      </c>
      <c r="J20" s="64">
        <f t="shared" si="0"/>
        <v>0.35295743256183487</v>
      </c>
      <c r="L20">
        <f t="shared" si="1"/>
        <v>54.25266021655785</v>
      </c>
    </row>
    <row r="21" spans="1:12" ht="15.75" thickBot="1" x14ac:dyDescent="0.3">
      <c r="A21" s="131"/>
      <c r="B21" s="75">
        <v>90</v>
      </c>
      <c r="C21" s="14">
        <v>1050</v>
      </c>
      <c r="D21" s="123" t="s">
        <v>0</v>
      </c>
      <c r="E21" s="15">
        <f t="shared" si="7"/>
        <v>1.5041446687857121</v>
      </c>
      <c r="F21" s="15">
        <f t="shared" si="8"/>
        <v>0.41226322236022273</v>
      </c>
      <c r="G21" s="15">
        <f t="shared" si="10"/>
        <v>0.2740848210385512</v>
      </c>
      <c r="H21" s="15">
        <f t="shared" si="11"/>
        <v>0.66119029729296874</v>
      </c>
      <c r="I21" s="15">
        <v>0.48480000000000001</v>
      </c>
      <c r="J21" s="52">
        <f t="shared" si="0"/>
        <v>0.36384137230397839</v>
      </c>
      <c r="L21">
        <f t="shared" si="1"/>
        <v>53.544532903013639</v>
      </c>
    </row>
    <row r="22" spans="1:12" ht="15.75" thickBot="1" x14ac:dyDescent="0.3">
      <c r="A22" s="112" t="s">
        <v>12</v>
      </c>
      <c r="B22" s="63">
        <v>90</v>
      </c>
      <c r="C22" s="13">
        <v>1050</v>
      </c>
      <c r="D22" s="99" t="s">
        <v>0</v>
      </c>
      <c r="E22" s="12">
        <f t="shared" si="7"/>
        <v>1.5041446687857121</v>
      </c>
      <c r="F22" s="12">
        <f t="shared" si="8"/>
        <v>0.41226322236022273</v>
      </c>
      <c r="G22" s="12">
        <f t="shared" si="10"/>
        <v>0.2740848210385512</v>
      </c>
      <c r="H22" s="12">
        <f t="shared" si="11"/>
        <v>0.66119029729296874</v>
      </c>
      <c r="I22" s="12">
        <v>0.50829999999999997</v>
      </c>
      <c r="J22" s="64">
        <f t="shared" si="0"/>
        <v>0.3007875217252976</v>
      </c>
      <c r="L22">
        <f t="shared" si="1"/>
        <v>57.878488736947254</v>
      </c>
    </row>
    <row r="23" spans="1:12" ht="15.75" thickBot="1" x14ac:dyDescent="0.3">
      <c r="A23" s="31" t="s">
        <v>23</v>
      </c>
      <c r="B23" s="73">
        <v>90</v>
      </c>
      <c r="C23" s="74">
        <v>1050</v>
      </c>
      <c r="D23" s="124" t="s">
        <v>0</v>
      </c>
      <c r="E23" s="54">
        <f t="shared" si="7"/>
        <v>1.5041446687857121</v>
      </c>
      <c r="F23" s="54">
        <f t="shared" si="8"/>
        <v>0.41226322236022273</v>
      </c>
      <c r="G23" s="54">
        <f t="shared" si="10"/>
        <v>0.2740848210385512</v>
      </c>
      <c r="H23" s="54">
        <f t="shared" si="11"/>
        <v>0.66119029729296874</v>
      </c>
      <c r="I23" s="54">
        <v>0.56479999999999997</v>
      </c>
      <c r="J23" s="55">
        <f t="shared" si="0"/>
        <v>0.17066270767168693</v>
      </c>
      <c r="L23">
        <f t="shared" si="1"/>
        <v>68.956257248954429</v>
      </c>
    </row>
    <row r="24" spans="1:12" ht="15.75" thickBot="1" x14ac:dyDescent="0.3">
      <c r="A24" s="95"/>
      <c r="B24" s="95"/>
      <c r="C24" s="95"/>
      <c r="D24" s="95"/>
      <c r="E24" s="96"/>
      <c r="F24" s="96"/>
      <c r="G24" s="96"/>
      <c r="H24" s="96"/>
      <c r="I24" s="96"/>
      <c r="J24" s="97"/>
    </row>
    <row r="25" spans="1:12" ht="15.75" customHeight="1" x14ac:dyDescent="0.25">
      <c r="A25" s="129" t="s">
        <v>24</v>
      </c>
      <c r="B25" s="58">
        <v>80</v>
      </c>
      <c r="C25" s="43">
        <v>1050</v>
      </c>
      <c r="D25" s="122" t="s">
        <v>0</v>
      </c>
      <c r="E25" s="45">
        <f t="shared" si="7"/>
        <v>1.5041446687857121</v>
      </c>
      <c r="F25" s="45">
        <f t="shared" si="8"/>
        <v>0.41226322236022273</v>
      </c>
      <c r="G25" s="45">
        <f t="shared" si="10"/>
        <v>0.2740848210385512</v>
      </c>
      <c r="H25" s="45">
        <f t="shared" si="11"/>
        <v>0.61692371521929545</v>
      </c>
      <c r="I25" s="45">
        <v>0.52310000000000001</v>
      </c>
      <c r="J25" s="46">
        <f t="shared" si="0"/>
        <v>0.17936095434772595</v>
      </c>
    </row>
    <row r="26" spans="1:12" x14ac:dyDescent="0.25">
      <c r="A26" s="130"/>
      <c r="B26" s="63">
        <v>80</v>
      </c>
      <c r="C26" s="13">
        <v>1050</v>
      </c>
      <c r="D26" s="99" t="s">
        <v>0</v>
      </c>
      <c r="E26" s="12">
        <f t="shared" si="7"/>
        <v>1.5041446687857121</v>
      </c>
      <c r="F26" s="12">
        <f t="shared" si="8"/>
        <v>0.41226322236022273</v>
      </c>
      <c r="G26" s="12">
        <f t="shared" ref="G26:G29" si="12">F26/E26</f>
        <v>0.2740848210385512</v>
      </c>
      <c r="H26" s="12">
        <f t="shared" ref="H26:H29" si="13">G26/2*(-1+SQRT(1+4*F26/(G26^2)*(B26/60+IF($D26="Wet",0,0.025^2/F26+0.025/E26))))</f>
        <v>0.61692371521929545</v>
      </c>
      <c r="I26" s="12">
        <v>0.55910000000000004</v>
      </c>
      <c r="J26" s="64">
        <f t="shared" si="0"/>
        <v>0.10342284961419318</v>
      </c>
    </row>
    <row r="27" spans="1:12" ht="15.75" thickBot="1" x14ac:dyDescent="0.3">
      <c r="A27" s="131"/>
      <c r="B27" s="75">
        <v>80</v>
      </c>
      <c r="C27" s="14">
        <v>1050</v>
      </c>
      <c r="D27" s="123" t="s">
        <v>0</v>
      </c>
      <c r="E27" s="15">
        <f t="shared" si="7"/>
        <v>1.5041446687857121</v>
      </c>
      <c r="F27" s="15">
        <f t="shared" si="8"/>
        <v>0.41226322236022273</v>
      </c>
      <c r="G27" s="15">
        <f t="shared" si="12"/>
        <v>0.2740848210385512</v>
      </c>
      <c r="H27" s="15">
        <f t="shared" si="13"/>
        <v>0.61692371521929545</v>
      </c>
      <c r="I27" s="15">
        <v>0.53510000000000002</v>
      </c>
      <c r="J27" s="52">
        <f t="shared" si="0"/>
        <v>0.1529129419160819</v>
      </c>
    </row>
    <row r="28" spans="1:12" ht="15.75" thickBot="1" x14ac:dyDescent="0.3">
      <c r="A28" s="112" t="s">
        <v>12</v>
      </c>
      <c r="B28" s="63">
        <v>80</v>
      </c>
      <c r="C28" s="13">
        <v>1050</v>
      </c>
      <c r="D28" s="99" t="s">
        <v>0</v>
      </c>
      <c r="E28" s="12">
        <f t="shared" si="7"/>
        <v>1.5041446687857121</v>
      </c>
      <c r="F28" s="12">
        <f t="shared" si="8"/>
        <v>0.41226322236022273</v>
      </c>
      <c r="G28" s="12">
        <f t="shared" si="12"/>
        <v>0.2740848210385512</v>
      </c>
      <c r="H28" s="12">
        <f t="shared" si="13"/>
        <v>0.61692371521929545</v>
      </c>
      <c r="I28" s="12">
        <v>0.70689999999999997</v>
      </c>
      <c r="J28" s="64">
        <f t="shared" si="0"/>
        <v>-0.12728290391951411</v>
      </c>
    </row>
    <row r="29" spans="1:12" ht="15.75" thickBot="1" x14ac:dyDescent="0.3">
      <c r="A29" s="31" t="s">
        <v>23</v>
      </c>
      <c r="B29" s="73">
        <v>80</v>
      </c>
      <c r="C29" s="74">
        <v>1050</v>
      </c>
      <c r="D29" s="124" t="s">
        <v>0</v>
      </c>
      <c r="E29" s="54">
        <f t="shared" si="7"/>
        <v>1.5041446687857121</v>
      </c>
      <c r="F29" s="54">
        <f t="shared" si="8"/>
        <v>0.41226322236022273</v>
      </c>
      <c r="G29" s="54">
        <f t="shared" si="12"/>
        <v>0.2740848210385512</v>
      </c>
      <c r="H29" s="54">
        <f t="shared" si="13"/>
        <v>0.61692371521929545</v>
      </c>
      <c r="I29" s="54">
        <v>0.59040000000000004</v>
      </c>
      <c r="J29" s="55">
        <f t="shared" si="0"/>
        <v>4.4924991902600638E-2</v>
      </c>
    </row>
    <row r="30" spans="1:12" ht="15.75" thickBot="1" x14ac:dyDescent="0.3">
      <c r="A30" s="95"/>
      <c r="B30" s="95"/>
      <c r="C30" s="95"/>
      <c r="D30" s="95"/>
      <c r="E30" s="96"/>
      <c r="F30" s="96"/>
      <c r="G30" s="96"/>
      <c r="H30" s="96"/>
      <c r="I30" s="96"/>
      <c r="J30" s="97"/>
    </row>
    <row r="31" spans="1:12" x14ac:dyDescent="0.25">
      <c r="A31" s="132" t="s">
        <v>25</v>
      </c>
      <c r="B31" s="127">
        <v>120</v>
      </c>
      <c r="C31" s="43">
        <v>1000</v>
      </c>
      <c r="D31" s="122" t="s">
        <v>13</v>
      </c>
      <c r="E31" s="45">
        <f t="shared" si="7"/>
        <v>4.4782976286066499E-2</v>
      </c>
      <c r="F31" s="45">
        <f t="shared" si="8"/>
        <v>1.0420458115959956E-2</v>
      </c>
      <c r="G31" s="45">
        <f t="shared" ref="G31:G35" si="14">F31/E31</f>
        <v>0.23268793144510391</v>
      </c>
      <c r="H31" s="45">
        <f t="shared" ref="H31:H36" si="15">G31/2*(-1+SQRT(1+4*F31/(G31^2)*(B31/60+IF($D31="Wet",0,0.025^2/F31+0.025/E31))))+H25</f>
        <v>0.70261695616447051</v>
      </c>
      <c r="I31" s="45">
        <v>0.56620000000000004</v>
      </c>
      <c r="J31" s="46">
        <f t="shared" si="0"/>
        <v>0.2409342214137592</v>
      </c>
    </row>
    <row r="32" spans="1:12" x14ac:dyDescent="0.25">
      <c r="A32" s="133"/>
      <c r="B32" s="103">
        <v>120</v>
      </c>
      <c r="C32" s="13">
        <v>1000</v>
      </c>
      <c r="D32" s="99" t="s">
        <v>13</v>
      </c>
      <c r="E32" s="12">
        <f t="shared" si="7"/>
        <v>4.4782976286066499E-2</v>
      </c>
      <c r="F32" s="12">
        <f t="shared" si="8"/>
        <v>1.0420458115959956E-2</v>
      </c>
      <c r="G32" s="12">
        <f t="shared" si="14"/>
        <v>0.23268793144510391</v>
      </c>
      <c r="H32" s="12">
        <f t="shared" si="15"/>
        <v>0.70261695616447051</v>
      </c>
      <c r="I32" s="12">
        <v>0.58309999999999995</v>
      </c>
      <c r="J32" s="64">
        <f t="shared" si="0"/>
        <v>0.20496819784680254</v>
      </c>
    </row>
    <row r="33" spans="1:10" ht="15.75" thickBot="1" x14ac:dyDescent="0.3">
      <c r="A33" s="134"/>
      <c r="B33" s="128">
        <v>120</v>
      </c>
      <c r="C33" s="14">
        <v>1000</v>
      </c>
      <c r="D33" s="123" t="s">
        <v>13</v>
      </c>
      <c r="E33" s="15">
        <f t="shared" si="7"/>
        <v>4.4782976286066499E-2</v>
      </c>
      <c r="F33" s="15">
        <f t="shared" si="8"/>
        <v>1.0420458115959956E-2</v>
      </c>
      <c r="G33" s="15">
        <f t="shared" si="14"/>
        <v>0.23268793144510391</v>
      </c>
      <c r="H33" s="15">
        <f t="shared" si="15"/>
        <v>0.70261695616447051</v>
      </c>
      <c r="I33" s="15">
        <v>0.54020000000000001</v>
      </c>
      <c r="J33" s="52">
        <f t="shared" si="0"/>
        <v>0.30066078519894573</v>
      </c>
    </row>
    <row r="34" spans="1:10" ht="15.75" thickBot="1" x14ac:dyDescent="0.3">
      <c r="A34" s="125" t="s">
        <v>12</v>
      </c>
      <c r="B34" s="103">
        <v>120</v>
      </c>
      <c r="C34" s="13">
        <v>1000</v>
      </c>
      <c r="D34" s="99" t="s">
        <v>13</v>
      </c>
      <c r="E34" s="12">
        <f t="shared" si="7"/>
        <v>4.4782976286066499E-2</v>
      </c>
      <c r="F34" s="12">
        <f t="shared" si="8"/>
        <v>1.0420458115959956E-2</v>
      </c>
      <c r="G34" s="12">
        <f t="shared" si="14"/>
        <v>0.23268793144510391</v>
      </c>
      <c r="H34" s="12">
        <f t="shared" si="15"/>
        <v>0.70261695616447051</v>
      </c>
      <c r="I34" s="12">
        <v>0.72360000000000002</v>
      </c>
      <c r="J34" s="64">
        <f t="shared" si="0"/>
        <v>-2.8998125809189486E-2</v>
      </c>
    </row>
    <row r="35" spans="1:10" ht="15.75" thickBot="1" x14ac:dyDescent="0.3">
      <c r="A35" s="126" t="s">
        <v>23</v>
      </c>
      <c r="B35" s="128">
        <v>120</v>
      </c>
      <c r="C35" s="14">
        <v>1000</v>
      </c>
      <c r="D35" s="123" t="s">
        <v>13</v>
      </c>
      <c r="E35" s="15">
        <f t="shared" si="7"/>
        <v>4.4782976286066499E-2</v>
      </c>
      <c r="F35" s="15">
        <f t="shared" si="8"/>
        <v>1.0420458115959956E-2</v>
      </c>
      <c r="G35" s="15">
        <f t="shared" si="14"/>
        <v>0.23268793144510391</v>
      </c>
      <c r="H35" s="15">
        <f t="shared" si="15"/>
        <v>0.70261695616447051</v>
      </c>
      <c r="I35" s="15">
        <v>0.61370000000000002</v>
      </c>
      <c r="J35" s="52">
        <f t="shared" si="0"/>
        <v>0.14488668105665714</v>
      </c>
    </row>
    <row r="36" spans="1:10" ht="15.75" thickBot="1" x14ac:dyDescent="0.3">
      <c r="A36" s="8" t="s">
        <v>26</v>
      </c>
      <c r="B36" s="106">
        <v>120</v>
      </c>
      <c r="C36" s="47">
        <v>1000</v>
      </c>
      <c r="D36" s="107" t="s">
        <v>13</v>
      </c>
      <c r="E36" s="49">
        <f t="shared" si="7"/>
        <v>4.4782976286066499E-2</v>
      </c>
      <c r="F36" s="49">
        <f t="shared" si="8"/>
        <v>1.0420458115959956E-2</v>
      </c>
      <c r="G36" s="49">
        <f t="shared" ref="G36" si="16">F36/E36</f>
        <v>0.23268793144510391</v>
      </c>
      <c r="H36" s="49">
        <f t="shared" si="15"/>
        <v>8.5693240945175095E-2</v>
      </c>
      <c r="I36" s="49">
        <v>9.5799999999999996E-2</v>
      </c>
      <c r="J36" s="50">
        <f t="shared" si="0"/>
        <v>-0.10549852875600106</v>
      </c>
    </row>
  </sheetData>
  <mergeCells count="6">
    <mergeCell ref="A25:A27"/>
    <mergeCell ref="A31:A33"/>
    <mergeCell ref="A19:A21"/>
    <mergeCell ref="A6:A10"/>
    <mergeCell ref="H2:I3"/>
    <mergeCell ref="A12:A16"/>
  </mergeCells>
  <printOptions horizontalCentered="1"/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2"/>
  <sheetViews>
    <sheetView zoomScale="130" zoomScaleNormal="130" zoomScaleSheetLayoutView="120" workbookViewId="0">
      <pane ySplit="1" topLeftCell="A2" activePane="bottomLeft" state="frozen"/>
      <selection pane="bottomLeft" activeCell="A8" sqref="A8:J9"/>
    </sheetView>
  </sheetViews>
  <sheetFormatPr defaultRowHeight="15" x14ac:dyDescent="0.25"/>
  <cols>
    <col min="1" max="1" width="10" customWidth="1"/>
    <col min="2" max="2" width="6" bestFit="1" customWidth="1"/>
    <col min="3" max="3" width="6.7109375" bestFit="1" customWidth="1"/>
    <col min="4" max="4" width="10" bestFit="1" customWidth="1"/>
    <col min="5" max="6" width="12.28515625" customWidth="1"/>
    <col min="7" max="7" width="9.140625" bestFit="1" customWidth="1"/>
    <col min="8" max="8" width="11.5703125" customWidth="1"/>
    <col min="9" max="9" width="11.5703125" style="18" customWidth="1"/>
    <col min="10" max="10" width="5.5703125" bestFit="1" customWidth="1"/>
  </cols>
  <sheetData>
    <row r="1" spans="1:12" ht="47.25" customHeight="1" thickBot="1" x14ac:dyDescent="0.3">
      <c r="A1" t="s">
        <v>19</v>
      </c>
      <c r="B1" s="2" t="s">
        <v>6</v>
      </c>
      <c r="C1" s="2" t="s">
        <v>5</v>
      </c>
      <c r="D1" s="2" t="s">
        <v>3</v>
      </c>
      <c r="E1" s="2" t="s">
        <v>7</v>
      </c>
      <c r="F1" s="2" t="s">
        <v>8</v>
      </c>
      <c r="G1" s="4" t="s">
        <v>11</v>
      </c>
      <c r="H1" s="2" t="s">
        <v>9</v>
      </c>
      <c r="I1" s="16" t="s">
        <v>10</v>
      </c>
      <c r="J1" s="2" t="s">
        <v>4</v>
      </c>
      <c r="L1" t="s">
        <v>14</v>
      </c>
    </row>
    <row r="2" spans="1:12" ht="29.25" customHeight="1" thickBot="1" x14ac:dyDescent="0.3">
      <c r="B2" s="9"/>
      <c r="C2" s="9"/>
      <c r="D2" s="9"/>
      <c r="E2" s="7"/>
      <c r="F2" s="7"/>
      <c r="G2" s="6"/>
      <c r="H2" s="139"/>
      <c r="I2" s="146"/>
      <c r="J2" s="9"/>
    </row>
    <row r="3" spans="1:12" ht="19.5" customHeight="1" thickBot="1" x14ac:dyDescent="0.3">
      <c r="B3" s="1"/>
      <c r="C3" s="1"/>
      <c r="D3" s="1"/>
      <c r="E3" s="7"/>
      <c r="F3" s="7"/>
      <c r="G3" s="1"/>
      <c r="H3" s="147"/>
      <c r="I3" s="148"/>
      <c r="J3" s="1"/>
    </row>
    <row r="4" spans="1:12" ht="19.5" customHeight="1" thickBot="1" x14ac:dyDescent="0.3">
      <c r="B4" s="1"/>
      <c r="C4" s="1"/>
      <c r="D4" s="1"/>
      <c r="E4" s="32"/>
      <c r="F4" s="32"/>
      <c r="G4" s="1"/>
      <c r="H4" s="3"/>
      <c r="I4" s="17"/>
      <c r="J4" s="1"/>
    </row>
    <row r="5" spans="1:12" x14ac:dyDescent="0.25">
      <c r="A5" s="141" t="s">
        <v>17</v>
      </c>
      <c r="B5" s="38">
        <v>30</v>
      </c>
      <c r="C5" s="21">
        <v>1100</v>
      </c>
      <c r="D5" s="37" t="s">
        <v>13</v>
      </c>
      <c r="E5" s="22">
        <f>IF($D5="Wet",1.63*10^8,6.23*10^6)*EXP(-IF($D5="Wet",2.05,2)/(8.617*10^-5*($C5+273)))</f>
        <v>0.28375235131477089</v>
      </c>
      <c r="F5" s="22">
        <f>IF($D5="Wet",386,772)*EXP(-IF($D5="Wet",0.78,1.23)/(8.617*10^-5*($C5+273)))</f>
        <v>2.3581146971684529E-2</v>
      </c>
      <c r="G5" s="22">
        <f>F5/E5</f>
        <v>8.3104675123997815E-2</v>
      </c>
      <c r="H5" s="22">
        <f>G5/2*(-1+SQRT(1+4*F5/(G5^2)*(B5/60+IF($D5="Wet",0,0.025^2/F5+0.025/E5))))</f>
        <v>8.580459048201651E-2</v>
      </c>
      <c r="I5" s="22">
        <v>8.5800000000000001E-2</v>
      </c>
      <c r="J5" s="33">
        <f>(H5-I5)/I5</f>
        <v>5.3502121404531478E-5</v>
      </c>
      <c r="L5">
        <f t="shared" ref="L5:L9" si="0">($I5^2/$F5+$I5/$E5-IF($D5="Wet",0,0.025^2/$F5+0.025/$E5))*60</f>
        <v>29.997024983633064</v>
      </c>
    </row>
    <row r="6" spans="1:12" x14ac:dyDescent="0.25">
      <c r="A6" s="142"/>
      <c r="B6" s="39">
        <v>120</v>
      </c>
      <c r="C6" s="19">
        <v>1100</v>
      </c>
      <c r="D6" s="19" t="s">
        <v>0</v>
      </c>
      <c r="E6" s="20">
        <f t="shared" ref="E6:E9" si="1">IF($D6="Wet",1.63*10^8,6.23*10^6)*EXP(-IF($D6="Wet",2.05,2)/(8.617*10^-5*($C6+273)))</f>
        <v>4.8651956784197417</v>
      </c>
      <c r="F6" s="20">
        <f t="shared" ref="F6:F9" si="2">IF($D6="Wet",386,772)*EXP(-IF($D6="Wet",0.78,1.23)/(8.617*10^-5*($C6+273)))</f>
        <v>0.52891192564159872</v>
      </c>
      <c r="G6" s="20">
        <f t="shared" ref="G6:G7" si="3">F6/E6</f>
        <v>0.10871339214323111</v>
      </c>
      <c r="H6" s="20">
        <f>G6/2*(-1+SQRT(1+4*F6/(G6^2)*(B6/60+H5^2/F6+H5/E6)))</f>
        <v>0.98365536432631984</v>
      </c>
      <c r="I6" s="20">
        <v>0.98365999999999998</v>
      </c>
      <c r="J6" s="34">
        <f t="shared" ref="J6:J9" si="4">(H6-I6)/I6</f>
        <v>-4.7126788525936631E-6</v>
      </c>
      <c r="L6">
        <f t="shared" si="0"/>
        <v>121.89447340732448</v>
      </c>
    </row>
    <row r="7" spans="1:12" ht="15.75" thickBot="1" x14ac:dyDescent="0.3">
      <c r="A7" s="143"/>
      <c r="B7" s="69">
        <v>30</v>
      </c>
      <c r="C7" s="25">
        <v>1100</v>
      </c>
      <c r="D7" s="25" t="s">
        <v>13</v>
      </c>
      <c r="E7" s="26">
        <f t="shared" si="1"/>
        <v>0.28375235131477089</v>
      </c>
      <c r="F7" s="26">
        <f t="shared" si="2"/>
        <v>2.3581146971684529E-2</v>
      </c>
      <c r="G7" s="26">
        <f t="shared" si="3"/>
        <v>8.3104675123997815E-2</v>
      </c>
      <c r="H7" s="26">
        <f>G7/2*(-1+SQRT(1+4*F7/(G7^2)*(B7/60+H6^2/F7+H6/E7)))</f>
        <v>0.98938966153250396</v>
      </c>
      <c r="I7" s="26">
        <v>0.98938999999999999</v>
      </c>
      <c r="J7" s="36">
        <f t="shared" si="4"/>
        <v>-3.4209714675760156E-7</v>
      </c>
      <c r="L7">
        <f t="shared" si="0"/>
        <v>2693.0315756406758</v>
      </c>
    </row>
    <row r="8" spans="1:12" x14ac:dyDescent="0.25">
      <c r="A8" s="144" t="s">
        <v>20</v>
      </c>
      <c r="B8" s="38">
        <v>60</v>
      </c>
      <c r="C8" s="21">
        <v>1100</v>
      </c>
      <c r="D8" s="21" t="s">
        <v>13</v>
      </c>
      <c r="E8" s="22">
        <f t="shared" si="1"/>
        <v>0.28375235131477089</v>
      </c>
      <c r="F8" s="22">
        <f t="shared" si="2"/>
        <v>2.3581146971684529E-2</v>
      </c>
      <c r="G8" s="22">
        <f t="shared" ref="G8:G9" si="5">F8/E8</f>
        <v>8.3104675123997815E-2</v>
      </c>
      <c r="H8" s="22">
        <f>G8/2*(-1+SQRT(1+4*F8/(G8^2)*(B8/60+IF($D8="Wet",0,0.025^2/F8+0.025/E8))))</f>
        <v>0.12581062311523927</v>
      </c>
      <c r="I8" s="22">
        <v>0.12581000000000001</v>
      </c>
      <c r="J8" s="33">
        <f t="shared" si="4"/>
        <v>4.9528275913498459E-6</v>
      </c>
      <c r="L8">
        <f t="shared" si="0"/>
        <v>59.99946930715145</v>
      </c>
    </row>
    <row r="9" spans="1:12" ht="15.75" thickBot="1" x14ac:dyDescent="0.3">
      <c r="A9" s="145"/>
      <c r="B9" s="40">
        <v>300</v>
      </c>
      <c r="C9" s="23">
        <v>1100</v>
      </c>
      <c r="D9" s="23" t="s">
        <v>0</v>
      </c>
      <c r="E9" s="24">
        <f t="shared" si="1"/>
        <v>4.8651956784197417</v>
      </c>
      <c r="F9" s="24">
        <f t="shared" si="2"/>
        <v>0.52891192564159872</v>
      </c>
      <c r="G9" s="24">
        <f t="shared" si="5"/>
        <v>0.10871339214323111</v>
      </c>
      <c r="H9" s="24">
        <f>G9/2*(-1+SQRT(1+4*F9/(G9^2)*(B9/60+H8^2/F9+H8/E9)))</f>
        <v>1.5818034095143176</v>
      </c>
      <c r="I9" s="24">
        <v>1.5818000000000001</v>
      </c>
      <c r="J9" s="35">
        <f t="shared" si="4"/>
        <v>2.1554648612610774E-6</v>
      </c>
      <c r="L9">
        <f t="shared" si="0"/>
        <v>303.3458639203559</v>
      </c>
    </row>
    <row r="10" spans="1:12" x14ac:dyDescent="0.25">
      <c r="I10"/>
    </row>
    <row r="11" spans="1:12" x14ac:dyDescent="0.25">
      <c r="I11"/>
    </row>
    <row r="12" spans="1:12" ht="15.75" customHeight="1" x14ac:dyDescent="0.25">
      <c r="I12"/>
    </row>
    <row r="13" spans="1:12" x14ac:dyDescent="0.25">
      <c r="I13"/>
    </row>
    <row r="14" spans="1:12" x14ac:dyDescent="0.25">
      <c r="I14"/>
    </row>
    <row r="15" spans="1:12" x14ac:dyDescent="0.25">
      <c r="I15"/>
    </row>
    <row r="16" spans="1:12" x14ac:dyDescent="0.25">
      <c r="I16"/>
    </row>
    <row r="17" spans="9:9" x14ac:dyDescent="0.25">
      <c r="I17"/>
    </row>
    <row r="18" spans="9:9" ht="15" customHeight="1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  <row r="32" spans="9:9" x14ac:dyDescent="0.25"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ht="30.75" customHeight="1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  <row r="42" spans="9:9" x14ac:dyDescent="0.25">
      <c r="I42"/>
    </row>
    <row r="43" spans="9:9" x14ac:dyDescent="0.25">
      <c r="I43"/>
    </row>
    <row r="44" spans="9:9" x14ac:dyDescent="0.25">
      <c r="I44"/>
    </row>
    <row r="45" spans="9:9" x14ac:dyDescent="0.25">
      <c r="I45"/>
    </row>
    <row r="46" spans="9:9" x14ac:dyDescent="0.25">
      <c r="I46"/>
    </row>
    <row r="47" spans="9:9" x14ac:dyDescent="0.25">
      <c r="I47"/>
    </row>
    <row r="48" spans="9:9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  <row r="76" spans="9:9" x14ac:dyDescent="0.25">
      <c r="I76"/>
    </row>
    <row r="77" spans="9:9" x14ac:dyDescent="0.25">
      <c r="I77"/>
    </row>
    <row r="78" spans="9:9" x14ac:dyDescent="0.25">
      <c r="I78"/>
    </row>
    <row r="79" spans="9:9" x14ac:dyDescent="0.25">
      <c r="I79"/>
    </row>
    <row r="80" spans="9:9" x14ac:dyDescent="0.25">
      <c r="I80"/>
    </row>
    <row r="81" spans="9:9" x14ac:dyDescent="0.25">
      <c r="I81"/>
    </row>
    <row r="82" spans="9:9" x14ac:dyDescent="0.25">
      <c r="I82"/>
    </row>
    <row r="83" spans="9:9" x14ac:dyDescent="0.25">
      <c r="I83"/>
    </row>
    <row r="84" spans="9:9" x14ac:dyDescent="0.25">
      <c r="I84"/>
    </row>
    <row r="85" spans="9:9" x14ac:dyDescent="0.25">
      <c r="I85"/>
    </row>
    <row r="86" spans="9:9" x14ac:dyDescent="0.25">
      <c r="I86"/>
    </row>
    <row r="87" spans="9:9" x14ac:dyDescent="0.25">
      <c r="I87"/>
    </row>
    <row r="88" spans="9:9" x14ac:dyDescent="0.25">
      <c r="I88"/>
    </row>
    <row r="89" spans="9:9" x14ac:dyDescent="0.25">
      <c r="I89"/>
    </row>
    <row r="90" spans="9:9" x14ac:dyDescent="0.25">
      <c r="I90"/>
    </row>
    <row r="91" spans="9:9" x14ac:dyDescent="0.25">
      <c r="I91"/>
    </row>
    <row r="92" spans="9:9" x14ac:dyDescent="0.25">
      <c r="I92"/>
    </row>
  </sheetData>
  <mergeCells count="3">
    <mergeCell ref="A5:A7"/>
    <mergeCell ref="A8:A9"/>
    <mergeCell ref="H2:I3"/>
  </mergeCells>
  <printOptions horizontalCentered="1"/>
  <pageMargins left="0.7" right="0.7" top="0.75" bottom="0.75" header="0.3" footer="0.3"/>
  <pageSetup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zoomScale="130" zoomScaleNormal="130" zoomScaleSheetLayoutView="120" workbookViewId="0">
      <pane ySplit="1" topLeftCell="A2" activePane="bottomLeft" state="frozen"/>
      <selection pane="bottomLeft" sqref="A1:J29"/>
    </sheetView>
  </sheetViews>
  <sheetFormatPr defaultRowHeight="15" x14ac:dyDescent="0.25"/>
  <cols>
    <col min="1" max="1" width="10" customWidth="1"/>
    <col min="2" max="2" width="6" customWidth="1"/>
    <col min="3" max="3" width="6.7109375" bestFit="1" customWidth="1"/>
    <col min="4" max="4" width="10" bestFit="1" customWidth="1"/>
    <col min="5" max="6" width="12.28515625" customWidth="1"/>
    <col min="7" max="7" width="9.140625" bestFit="1" customWidth="1"/>
    <col min="8" max="8" width="11.5703125" customWidth="1"/>
    <col min="9" max="9" width="11.5703125" style="18" customWidth="1"/>
    <col min="10" max="10" width="7.5703125" style="30" bestFit="1" customWidth="1"/>
  </cols>
  <sheetData>
    <row r="1" spans="1:10" ht="47.25" customHeight="1" thickBot="1" x14ac:dyDescent="0.3">
      <c r="B1" s="2" t="s">
        <v>6</v>
      </c>
      <c r="C1" s="2" t="s">
        <v>5</v>
      </c>
      <c r="D1" s="2" t="s">
        <v>3</v>
      </c>
      <c r="E1" s="2" t="s">
        <v>7</v>
      </c>
      <c r="F1" s="2" t="s">
        <v>8</v>
      </c>
      <c r="G1" s="4" t="s">
        <v>11</v>
      </c>
      <c r="H1" s="2" t="s">
        <v>9</v>
      </c>
      <c r="I1" s="16" t="s">
        <v>10</v>
      </c>
      <c r="J1" s="27" t="s">
        <v>4</v>
      </c>
    </row>
    <row r="2" spans="1:10" ht="29.25" customHeight="1" thickBot="1" x14ac:dyDescent="0.3">
      <c r="B2" s="9"/>
      <c r="C2" s="9"/>
      <c r="D2" s="9"/>
      <c r="E2" s="7"/>
      <c r="F2" s="7"/>
      <c r="G2" s="6"/>
      <c r="H2" s="139"/>
      <c r="I2" s="146"/>
      <c r="J2" s="28"/>
    </row>
    <row r="3" spans="1:10" ht="19.5" customHeight="1" thickBot="1" x14ac:dyDescent="0.3">
      <c r="B3" s="1"/>
      <c r="C3" s="1"/>
      <c r="D3" s="1"/>
      <c r="E3" s="7"/>
      <c r="F3" s="7"/>
      <c r="G3" s="1"/>
      <c r="H3" s="147"/>
      <c r="I3" s="148"/>
      <c r="J3" s="29"/>
    </row>
    <row r="4" spans="1:10" ht="19.5" customHeight="1" thickBot="1" x14ac:dyDescent="0.3">
      <c r="B4" s="1"/>
      <c r="C4" s="1"/>
      <c r="D4" s="1"/>
      <c r="E4" s="7"/>
      <c r="F4" s="7"/>
      <c r="G4" s="1"/>
      <c r="H4" s="3"/>
      <c r="I4" s="17"/>
      <c r="J4" s="29"/>
    </row>
    <row r="5" spans="1:10" x14ac:dyDescent="0.25">
      <c r="A5" s="154">
        <v>3.1</v>
      </c>
      <c r="B5" s="58">
        <v>10</v>
      </c>
      <c r="C5" s="43">
        <v>1000</v>
      </c>
      <c r="D5" s="43" t="s">
        <v>0</v>
      </c>
      <c r="E5" s="44">
        <v>0.74225691841925567</v>
      </c>
      <c r="F5" s="44">
        <v>0.31511242781850035</v>
      </c>
      <c r="G5" s="45">
        <v>0.42453282684057458</v>
      </c>
      <c r="H5" s="44">
        <v>0.10010478921539484</v>
      </c>
      <c r="I5" s="45">
        <v>0.1</v>
      </c>
      <c r="J5" s="46">
        <v>1.0478921539483488E-3</v>
      </c>
    </row>
    <row r="6" spans="1:10" ht="15.75" thickBot="1" x14ac:dyDescent="0.3">
      <c r="A6" s="155"/>
      <c r="B6" s="59">
        <v>154</v>
      </c>
      <c r="C6" s="47">
        <v>1000</v>
      </c>
      <c r="D6" s="47" t="s">
        <v>13</v>
      </c>
      <c r="E6" s="49">
        <v>4.4782976286066499E-2</v>
      </c>
      <c r="F6" s="49">
        <v>1.0420458115959956E-2</v>
      </c>
      <c r="G6" s="49">
        <v>0.23268793144510391</v>
      </c>
      <c r="H6" s="49">
        <v>9.9813289866541088E-2</v>
      </c>
      <c r="I6" s="49">
        <v>0.1</v>
      </c>
      <c r="J6" s="50">
        <v>-1.8671013345891718E-3</v>
      </c>
    </row>
    <row r="7" spans="1:10" ht="15.75" thickBot="1" x14ac:dyDescent="0.3">
      <c r="A7" s="156"/>
      <c r="B7" s="157" t="s">
        <v>21</v>
      </c>
      <c r="C7" s="158"/>
      <c r="D7" s="158"/>
      <c r="E7" s="158"/>
      <c r="F7" s="158"/>
      <c r="G7" s="158"/>
      <c r="H7" s="158"/>
      <c r="I7" s="158"/>
      <c r="J7" s="159"/>
    </row>
    <row r="8" spans="1:10" x14ac:dyDescent="0.25">
      <c r="A8" s="160">
        <v>3.2</v>
      </c>
      <c r="B8" s="60">
        <v>26</v>
      </c>
      <c r="C8" s="51">
        <v>1100</v>
      </c>
      <c r="D8" s="51" t="s">
        <v>0</v>
      </c>
      <c r="E8" s="44">
        <v>2.8952391460534654</v>
      </c>
      <c r="F8" s="44">
        <v>0.52891192564159872</v>
      </c>
      <c r="G8" s="45">
        <v>0.18268332906542964</v>
      </c>
      <c r="H8" s="44">
        <v>0.3960375178885629</v>
      </c>
      <c r="I8" s="44">
        <v>0.4</v>
      </c>
      <c r="J8" s="46">
        <v>-9.9062052785928167E-3</v>
      </c>
    </row>
    <row r="9" spans="1:10" x14ac:dyDescent="0.25">
      <c r="A9" s="130"/>
      <c r="B9" s="63">
        <v>89</v>
      </c>
      <c r="C9" s="13">
        <v>1100</v>
      </c>
      <c r="D9" s="13" t="s">
        <v>0</v>
      </c>
      <c r="E9" s="12">
        <v>2.8952391460534654</v>
      </c>
      <c r="F9" s="12">
        <v>0.52891192564159872</v>
      </c>
      <c r="G9" s="12">
        <v>0.18268332906542964</v>
      </c>
      <c r="H9" s="12">
        <v>0.79910540822417386</v>
      </c>
      <c r="I9" s="12">
        <v>0.8</v>
      </c>
      <c r="J9" s="64">
        <v>-1.1182397197827265E-3</v>
      </c>
    </row>
    <row r="10" spans="1:10" ht="15.75" thickBot="1" x14ac:dyDescent="0.3">
      <c r="A10" s="131"/>
      <c r="B10" s="62">
        <v>188</v>
      </c>
      <c r="C10" s="53">
        <v>1100</v>
      </c>
      <c r="D10" s="53" t="s">
        <v>0</v>
      </c>
      <c r="E10" s="48">
        <v>2.8952391460534654</v>
      </c>
      <c r="F10" s="48">
        <v>0.52891192564159872</v>
      </c>
      <c r="G10" s="54">
        <v>0.18268332906542964</v>
      </c>
      <c r="H10" s="48">
        <v>1.199239858149967</v>
      </c>
      <c r="I10" s="48">
        <v>1.2</v>
      </c>
      <c r="J10" s="55">
        <v>-6.3345154169410411E-4</v>
      </c>
    </row>
    <row r="11" spans="1:10" x14ac:dyDescent="0.25">
      <c r="A11" s="160">
        <v>3.4</v>
      </c>
      <c r="B11" s="65">
        <v>100.8</v>
      </c>
      <c r="C11" s="66">
        <v>1150</v>
      </c>
      <c r="D11" s="66" t="s">
        <v>0</v>
      </c>
      <c r="E11" s="67">
        <v>5.322230671871881</v>
      </c>
      <c r="F11" s="67">
        <v>0.66678812229573237</v>
      </c>
      <c r="G11" s="67">
        <v>0.12528358190480618</v>
      </c>
      <c r="H11" s="67">
        <v>0.99760725499414005</v>
      </c>
      <c r="I11" s="67">
        <v>1</v>
      </c>
      <c r="J11" s="68">
        <v>-2.3927450058599531E-3</v>
      </c>
    </row>
    <row r="12" spans="1:10" x14ac:dyDescent="0.25">
      <c r="A12" s="130"/>
      <c r="B12" s="61">
        <v>382.2</v>
      </c>
      <c r="C12" s="11">
        <v>1150</v>
      </c>
      <c r="D12" s="11" t="s">
        <v>0</v>
      </c>
      <c r="E12" s="41">
        <v>5.322230671871881</v>
      </c>
      <c r="F12" s="41">
        <v>0.66678812229573237</v>
      </c>
      <c r="G12" s="15">
        <v>0.12528358190480618</v>
      </c>
      <c r="H12" s="41">
        <v>1.999241894660716</v>
      </c>
      <c r="I12" s="41">
        <v>2</v>
      </c>
      <c r="J12" s="52">
        <v>-3.7905266964199935E-4</v>
      </c>
    </row>
    <row r="13" spans="1:10" ht="15.75" thickBot="1" x14ac:dyDescent="0.3">
      <c r="A13" s="131"/>
      <c r="B13" s="59">
        <v>840</v>
      </c>
      <c r="C13" s="47">
        <v>1150</v>
      </c>
      <c r="D13" s="47" t="s">
        <v>0</v>
      </c>
      <c r="E13" s="49">
        <v>5.322230671871881</v>
      </c>
      <c r="F13" s="49">
        <v>0.66678812229573237</v>
      </c>
      <c r="G13" s="49">
        <v>0.12528358190480618</v>
      </c>
      <c r="H13" s="49">
        <v>2.9933290377882735</v>
      </c>
      <c r="I13" s="49">
        <v>3</v>
      </c>
      <c r="J13" s="50">
        <v>-2.2236540705754906E-3</v>
      </c>
    </row>
    <row r="14" spans="1:10" x14ac:dyDescent="0.25">
      <c r="A14" s="160">
        <v>3.5</v>
      </c>
      <c r="B14" s="60">
        <v>9.8596199999999996</v>
      </c>
      <c r="C14" s="51">
        <v>850</v>
      </c>
      <c r="D14" s="51" t="s">
        <v>0</v>
      </c>
      <c r="E14" s="45">
        <v>6.1159602370780178E-2</v>
      </c>
      <c r="F14" s="45">
        <v>0.12189409272284363</v>
      </c>
      <c r="G14" s="45">
        <v>1.9930491369754255</v>
      </c>
      <c r="H14" s="44">
        <v>9.9999996051325316E-3</v>
      </c>
      <c r="I14" s="44">
        <v>0.01</v>
      </c>
      <c r="J14" s="46">
        <v>-3.9486746858385935E-8</v>
      </c>
    </row>
    <row r="15" spans="1:10" x14ac:dyDescent="0.25">
      <c r="A15" s="130"/>
      <c r="B15" s="63">
        <v>0.82738999999999996</v>
      </c>
      <c r="C15" s="13">
        <v>1000</v>
      </c>
      <c r="D15" s="13" t="s">
        <v>0</v>
      </c>
      <c r="E15" s="12">
        <v>0.74225691841925567</v>
      </c>
      <c r="F15" s="12">
        <v>0.31511242781850035</v>
      </c>
      <c r="G15" s="12">
        <v>0.42453282684057458</v>
      </c>
      <c r="H15" s="12">
        <v>1.0000044074296152E-2</v>
      </c>
      <c r="I15" s="12">
        <v>0.01</v>
      </c>
      <c r="J15" s="64">
        <v>4.4074296151955239E-6</v>
      </c>
    </row>
    <row r="16" spans="1:10" ht="29.25" customHeight="1" thickBot="1" x14ac:dyDescent="0.3">
      <c r="A16" s="131"/>
      <c r="B16" s="161" t="s">
        <v>15</v>
      </c>
      <c r="C16" s="162"/>
      <c r="D16" s="162"/>
      <c r="E16" s="162"/>
      <c r="F16" s="162"/>
      <c r="G16" s="162"/>
      <c r="H16" s="162"/>
      <c r="I16" s="162"/>
      <c r="J16" s="163"/>
    </row>
    <row r="17" spans="1:10" ht="15.75" thickBot="1" x14ac:dyDescent="0.3">
      <c r="A17" s="31">
        <v>3.6</v>
      </c>
      <c r="B17" s="71">
        <v>382</v>
      </c>
      <c r="C17" s="72">
        <v>1150</v>
      </c>
      <c r="D17" s="72" t="s">
        <v>0</v>
      </c>
      <c r="E17" s="56">
        <v>5.322230671871881</v>
      </c>
      <c r="F17" s="56">
        <v>0.66678812229573237</v>
      </c>
      <c r="G17" s="56">
        <v>0.12528358190480618</v>
      </c>
      <c r="H17" s="56">
        <v>1.9987028444550827</v>
      </c>
      <c r="I17" s="56">
        <v>2</v>
      </c>
      <c r="J17" s="57">
        <v>-6.4857777245863613E-4</v>
      </c>
    </row>
    <row r="18" spans="1:10" x14ac:dyDescent="0.25">
      <c r="A18" s="160">
        <v>3.7</v>
      </c>
      <c r="B18" s="65">
        <v>185</v>
      </c>
      <c r="C18" s="66">
        <v>1050</v>
      </c>
      <c r="D18" s="66" t="s">
        <v>0</v>
      </c>
      <c r="E18" s="67">
        <v>1.5041446687857121</v>
      </c>
      <c r="F18" s="67">
        <v>0.41226322236022273</v>
      </c>
      <c r="G18" s="67">
        <v>0.2740848210385512</v>
      </c>
      <c r="H18" s="67">
        <v>0.99870648685708563</v>
      </c>
      <c r="I18" s="67">
        <v>1</v>
      </c>
      <c r="J18" s="68">
        <v>-1.2935131429143709E-3</v>
      </c>
    </row>
    <row r="19" spans="1:10" ht="15.75" thickBot="1" x14ac:dyDescent="0.3">
      <c r="A19" s="131"/>
      <c r="B19" s="73">
        <v>4422</v>
      </c>
      <c r="C19" s="74">
        <v>1050</v>
      </c>
      <c r="D19" s="74" t="s">
        <v>13</v>
      </c>
      <c r="E19" s="54">
        <v>8.9200432043689992E-2</v>
      </c>
      <c r="F19" s="54">
        <v>1.591944874551449E-2</v>
      </c>
      <c r="G19" s="54">
        <v>0.17846829192169397</v>
      </c>
      <c r="H19" s="54">
        <v>0.99994573479706628</v>
      </c>
      <c r="I19" s="54">
        <v>1</v>
      </c>
      <c r="J19" s="55">
        <v>-5.4265202933723167E-5</v>
      </c>
    </row>
    <row r="20" spans="1:10" x14ac:dyDescent="0.25">
      <c r="A20" s="149" t="s">
        <v>16</v>
      </c>
      <c r="B20" s="82">
        <v>30</v>
      </c>
      <c r="C20" s="83">
        <v>1100</v>
      </c>
      <c r="D20" s="83" t="s">
        <v>13</v>
      </c>
      <c r="E20" s="84">
        <v>0.16897611932227932</v>
      </c>
      <c r="F20" s="84">
        <v>2.3581146971684529E-2</v>
      </c>
      <c r="G20" s="84">
        <v>0.13955313369878874</v>
      </c>
      <c r="H20" s="84">
        <v>7.4352441714461329E-2</v>
      </c>
      <c r="I20" s="84">
        <v>7.4349999999999999E-2</v>
      </c>
      <c r="J20" s="85">
        <v>3.284081319877924E-5</v>
      </c>
    </row>
    <row r="21" spans="1:10" x14ac:dyDescent="0.25">
      <c r="A21" s="150"/>
      <c r="B21" s="75">
        <v>120</v>
      </c>
      <c r="C21" s="14">
        <v>1100</v>
      </c>
      <c r="D21" s="14" t="s">
        <v>0</v>
      </c>
      <c r="E21" s="15">
        <v>2.8952391460534654</v>
      </c>
      <c r="F21" s="15">
        <v>0.52891192564159872</v>
      </c>
      <c r="G21" s="15">
        <v>0.18268332906542964</v>
      </c>
      <c r="H21" s="15">
        <v>0.9504252902744762</v>
      </c>
      <c r="I21" s="15">
        <v>0.95043</v>
      </c>
      <c r="J21" s="52">
        <v>-4.9553628608096707E-6</v>
      </c>
    </row>
    <row r="22" spans="1:10" ht="15.75" thickBot="1" x14ac:dyDescent="0.3">
      <c r="A22" s="164"/>
      <c r="B22" s="86">
        <v>30</v>
      </c>
      <c r="C22" s="87">
        <v>1100</v>
      </c>
      <c r="D22" s="87" t="s">
        <v>13</v>
      </c>
      <c r="E22" s="88">
        <v>0.16897611932227932</v>
      </c>
      <c r="F22" s="88">
        <v>2.3581146971684529E-2</v>
      </c>
      <c r="G22" s="88">
        <v>0.13955313369878874</v>
      </c>
      <c r="H22" s="88">
        <v>0.95618756642468694</v>
      </c>
      <c r="I22" s="88">
        <v>0.95618999999999998</v>
      </c>
      <c r="J22" s="89">
        <v>-2.5450750510289112E-6</v>
      </c>
    </row>
    <row r="23" spans="1:10" x14ac:dyDescent="0.25">
      <c r="A23" s="149" t="s">
        <v>17</v>
      </c>
      <c r="B23" s="58">
        <v>30</v>
      </c>
      <c r="C23" s="43">
        <v>1100</v>
      </c>
      <c r="D23" s="43" t="s">
        <v>13</v>
      </c>
      <c r="E23" s="45">
        <v>0.28375235131477089</v>
      </c>
      <c r="F23" s="45">
        <v>2.3581146971684529E-2</v>
      </c>
      <c r="G23" s="45">
        <v>8.3104675123997815E-2</v>
      </c>
      <c r="H23" s="45">
        <v>8.580459048201651E-2</v>
      </c>
      <c r="I23" s="45">
        <v>8.5800000000000001E-2</v>
      </c>
      <c r="J23" s="78">
        <v>5.3502121404531478E-5</v>
      </c>
    </row>
    <row r="24" spans="1:10" x14ac:dyDescent="0.25">
      <c r="A24" s="150"/>
      <c r="B24" s="63">
        <v>120</v>
      </c>
      <c r="C24" s="13">
        <v>1100</v>
      </c>
      <c r="D24" s="13" t="s">
        <v>0</v>
      </c>
      <c r="E24" s="12">
        <v>4.8651956784197417</v>
      </c>
      <c r="F24" s="12">
        <v>0.52891192564159872</v>
      </c>
      <c r="G24" s="12">
        <v>0.10871339214323111</v>
      </c>
      <c r="H24" s="12">
        <v>0.98365536432631984</v>
      </c>
      <c r="I24" s="12">
        <v>0.98365999999999998</v>
      </c>
      <c r="J24" s="90">
        <v>-4.7126788525936631E-6</v>
      </c>
    </row>
    <row r="25" spans="1:10" ht="15.75" thickBot="1" x14ac:dyDescent="0.3">
      <c r="A25" s="151"/>
      <c r="B25" s="73">
        <v>30</v>
      </c>
      <c r="C25" s="74">
        <v>1100</v>
      </c>
      <c r="D25" s="74" t="s">
        <v>13</v>
      </c>
      <c r="E25" s="54">
        <v>0.28375235131477089</v>
      </c>
      <c r="F25" s="54">
        <v>2.3581146971684529E-2</v>
      </c>
      <c r="G25" s="54">
        <v>8.3104675123997815E-2</v>
      </c>
      <c r="H25" s="54">
        <v>0.98938966153250396</v>
      </c>
      <c r="I25" s="54">
        <v>0.98938999999999999</v>
      </c>
      <c r="J25" s="79">
        <v>-3.4209714675760156E-7</v>
      </c>
    </row>
    <row r="26" spans="1:10" x14ac:dyDescent="0.25">
      <c r="A26" s="165">
        <v>3.9</v>
      </c>
      <c r="B26" s="82">
        <v>60</v>
      </c>
      <c r="C26" s="83">
        <v>1000</v>
      </c>
      <c r="D26" s="83" t="s">
        <v>13</v>
      </c>
      <c r="E26" s="84">
        <v>4.4782976286066499E-2</v>
      </c>
      <c r="F26" s="84">
        <v>1.0420458115959956E-2</v>
      </c>
      <c r="G26" s="84">
        <v>0.23268793144510391</v>
      </c>
      <c r="H26" s="84">
        <v>5.8007904821293643E-2</v>
      </c>
      <c r="I26" s="84">
        <v>5.8009999999999999E-2</v>
      </c>
      <c r="J26" s="91">
        <v>-3.6117543636542629E-5</v>
      </c>
    </row>
    <row r="27" spans="1:10" ht="15.75" thickBot="1" x14ac:dyDescent="0.3">
      <c r="A27" s="164"/>
      <c r="B27" s="76">
        <v>300</v>
      </c>
      <c r="C27" s="77">
        <v>1100</v>
      </c>
      <c r="D27" s="77" t="s">
        <v>0</v>
      </c>
      <c r="E27" s="42">
        <v>2.8952391460534654</v>
      </c>
      <c r="F27" s="42">
        <v>0.52891192564159872</v>
      </c>
      <c r="G27" s="42">
        <v>0.18268332906542964</v>
      </c>
      <c r="H27" s="42">
        <v>1.5417121992679319</v>
      </c>
      <c r="I27" s="42">
        <v>1.5417099999999999</v>
      </c>
      <c r="J27" s="80">
        <v>1.4265120755462663E-6</v>
      </c>
    </row>
    <row r="28" spans="1:10" x14ac:dyDescent="0.25">
      <c r="A28" s="152" t="s">
        <v>20</v>
      </c>
      <c r="B28" s="65">
        <v>60</v>
      </c>
      <c r="C28" s="66">
        <v>1100</v>
      </c>
      <c r="D28" s="66" t="s">
        <v>13</v>
      </c>
      <c r="E28" s="67">
        <v>0.28375235131477089</v>
      </c>
      <c r="F28" s="67">
        <v>2.3581146971684529E-2</v>
      </c>
      <c r="G28" s="67">
        <v>8.3104675123997815E-2</v>
      </c>
      <c r="H28" s="67">
        <v>0.12581062311523927</v>
      </c>
      <c r="I28" s="67">
        <v>0.12581000000000001</v>
      </c>
      <c r="J28" s="92">
        <v>4.9528275913498459E-6</v>
      </c>
    </row>
    <row r="29" spans="1:10" ht="15.75" thickBot="1" x14ac:dyDescent="0.3">
      <c r="A29" s="153"/>
      <c r="B29" s="62">
        <v>300</v>
      </c>
      <c r="C29" s="53">
        <v>1100</v>
      </c>
      <c r="D29" s="53" t="s">
        <v>0</v>
      </c>
      <c r="E29" s="48">
        <v>4.8651956784197417</v>
      </c>
      <c r="F29" s="48">
        <v>0.52891192564159872</v>
      </c>
      <c r="G29" s="48">
        <v>0.10871339214323111</v>
      </c>
      <c r="H29" s="48">
        <v>1.5818034095143176</v>
      </c>
      <c r="I29" s="48">
        <v>1.5818000000000001</v>
      </c>
      <c r="J29" s="81">
        <v>2.1554648612610774E-6</v>
      </c>
    </row>
  </sheetData>
  <mergeCells count="12">
    <mergeCell ref="H2:I3"/>
    <mergeCell ref="A23:A25"/>
    <mergeCell ref="A28:A29"/>
    <mergeCell ref="A5:A7"/>
    <mergeCell ref="B7:J7"/>
    <mergeCell ref="A8:A10"/>
    <mergeCell ref="A11:A13"/>
    <mergeCell ref="A14:A16"/>
    <mergeCell ref="B16:J16"/>
    <mergeCell ref="A18:A19"/>
    <mergeCell ref="A20:A22"/>
    <mergeCell ref="A26:A27"/>
  </mergeCells>
  <printOptions horizontalCentered="1"/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100 Si</vt:lpstr>
      <vt:lpstr>111 Si</vt:lpstr>
      <vt:lpstr>Print</vt:lpstr>
      <vt:lpstr>'100 Si'!Print_Area</vt:lpstr>
      <vt:lpstr>'111 Si'!Print_Area</vt:lpstr>
      <vt:lpstr>Print!Print_Area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samuel.harkness</dc:creator>
  <cp:lastModifiedBy>Samuel Harkness</cp:lastModifiedBy>
  <cp:lastPrinted>2013-09-19T21:50:23Z</cp:lastPrinted>
  <dcterms:created xsi:type="dcterms:W3CDTF">2013-09-17T18:26:06Z</dcterms:created>
  <dcterms:modified xsi:type="dcterms:W3CDTF">2013-12-07T04:48:34Z</dcterms:modified>
</cp:coreProperties>
</file>