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25770"/>
  </bookViews>
  <sheets>
    <sheet name="SILVACO_ann" sheetId="1" r:id="rId1"/>
  </sheets>
  <calcPr calcId="144525"/>
</workbook>
</file>

<file path=xl/sharedStrings.xml><?xml version="1.0" encoding="utf-8"?>
<sst xmlns="http://schemas.openxmlformats.org/spreadsheetml/2006/main" count="140" uniqueCount="113">
  <si>
    <t>.PARAM</t>
  </si>
  <si>
    <t>VALUE</t>
  </si>
  <si>
    <t>DEFINITION</t>
  </si>
  <si>
    <t>CT@CT</t>
  </si>
  <si>
    <t>space between contact and contact</t>
  </si>
  <si>
    <t>CT.num</t>
  </si>
  <si>
    <t>number of contacts in the drain along x-direction</t>
  </si>
  <si>
    <t>CT.width</t>
  </si>
  <si>
    <t>width of the contact</t>
  </si>
  <si>
    <t>CT@M1</t>
  </si>
  <si>
    <t>min space between contact and metal_1(M1) on contact</t>
  </si>
  <si>
    <t>M1@D</t>
  </si>
  <si>
    <t>min width of contact with M1</t>
  </si>
  <si>
    <t>poly@M1</t>
  </si>
  <si>
    <t>min space between poly and metal_1(M1) on contact</t>
  </si>
  <si>
    <t>act.edge@D.poly</t>
  </si>
  <si>
    <t>w</t>
  </si>
  <si>
    <t>width of poly gate at active drain</t>
  </si>
  <si>
    <t>poly.width</t>
  </si>
  <si>
    <t>l</t>
  </si>
  <si>
    <t>length of poly gate</t>
  </si>
  <si>
    <t>edge@S.poly</t>
  </si>
  <si>
    <t>width of poly gate at active source</t>
  </si>
  <si>
    <t>act.edge@S</t>
  </si>
  <si>
    <t>width of active source at isolation edge</t>
  </si>
  <si>
    <t>dmcg</t>
  </si>
  <si>
    <t>space between contact and poly gate at the active source</t>
  </si>
  <si>
    <t>M2@act</t>
  </si>
  <si>
    <t>space between active edge and M1 edge</t>
  </si>
  <si>
    <t>dmci</t>
  </si>
  <si>
    <t>space between contact center and active source edge</t>
  </si>
  <si>
    <t>poly gate length</t>
  </si>
  <si>
    <t>poly gate width</t>
  </si>
  <si>
    <t>ad</t>
  </si>
  <si>
    <t>area of active drain</t>
  </si>
  <si>
    <t>as</t>
  </si>
  <si>
    <t>area of active source</t>
  </si>
  <si>
    <t>pd</t>
  </si>
  <si>
    <t>perimeter of active drain</t>
  </si>
  <si>
    <t>ps</t>
  </si>
  <si>
    <t>perimeter of active source</t>
  </si>
  <si>
    <t>m</t>
  </si>
  <si>
    <t>effective number of gate</t>
  </si>
  <si>
    <t># Shenyang Institite of Automation, CAS, Lab. #8, SOC group</t>
  </si>
  <si>
    <t>#author: H. CHENG</t>
  </si>
  <si>
    <t>#DATE: 2023/10/24</t>
  </si>
  <si>
    <t>go atlas</t>
  </si>
  <si>
    <t>set Filename=AnnularMOSFET</t>
  </si>
  <si>
    <t>mesh three.d space.multi=1.0</t>
  </si>
  <si>
    <t>xy-p</t>
  </si>
  <si>
    <t>#</t>
  </si>
  <si>
    <t>x.min</t>
  </si>
  <si>
    <t>x.max</t>
  </si>
  <si>
    <t>y.min</t>
  </si>
  <si>
    <t>y.max</t>
  </si>
  <si>
    <t>z.min</t>
  </si>
  <si>
    <t>y.mesh loc=-0.0 spac=0.05</t>
  </si>
  <si>
    <t>z.max</t>
  </si>
  <si>
    <t>y.mesh loc=0.000 spac=0.005</t>
  </si>
  <si>
    <t>y.mesh loc=0.015 spac=0.005</t>
  </si>
  <si>
    <t>sio2</t>
  </si>
  <si>
    <t xml:space="preserve">y.mesh loc=0.165 spac=0.005 </t>
  </si>
  <si>
    <t>silicon</t>
  </si>
  <si>
    <t>y.mesh loc=0.170 spac=0.01</t>
  </si>
  <si>
    <t>y.mesh loc=1.000 spac=0.01</t>
  </si>
  <si>
    <t>source</t>
  </si>
  <si>
    <t>drain</t>
  </si>
  <si>
    <t>gate</t>
  </si>
  <si>
    <t>substrate</t>
  </si>
  <si>
    <t>mos</t>
  </si>
  <si>
    <t>cvt</t>
  </si>
  <si>
    <t>xy-plane</t>
  </si>
  <si>
    <t>x-direct</t>
  </si>
  <si>
    <t>srh</t>
  </si>
  <si>
    <t>y-direct</t>
  </si>
  <si>
    <t>print</t>
  </si>
  <si>
    <t>term</t>
  </si>
  <si>
    <t>oxide</t>
  </si>
  <si>
    <t>channel</t>
  </si>
  <si>
    <t>voltage</t>
  </si>
  <si>
    <t>box</t>
  </si>
  <si>
    <t>subs</t>
  </si>
  <si>
    <t>#substrate</t>
  </si>
  <si>
    <t>xz-plane</t>
  </si>
  <si>
    <t>z-direct</t>
  </si>
  <si>
    <t>#channel</t>
  </si>
  <si>
    <t>#source</t>
  </si>
  <si>
    <t>gate/oxi</t>
  </si>
  <si>
    <t>#drain</t>
  </si>
  <si>
    <t>HHG</t>
  </si>
  <si>
    <t>material</t>
  </si>
  <si>
    <t>specification</t>
  </si>
  <si>
    <t>P-substrate</t>
  </si>
  <si>
    <t>resistance[ohms.cm]</t>
  </si>
  <si>
    <t>thickness[um]</t>
  </si>
  <si>
    <t>poly</t>
  </si>
  <si>
    <t>mobility.P</t>
  </si>
  <si>
    <t>mobility[cm^2/V.s]</t>
  </si>
  <si>
    <t>q</t>
  </si>
  <si>
    <t>element charge[C]</t>
  </si>
  <si>
    <t>nP</t>
  </si>
  <si>
    <t>concentration[1/cm^3]</t>
  </si>
  <si>
    <t>P+ diffusion</t>
  </si>
  <si>
    <t>junction depth[um]</t>
  </si>
  <si>
    <t>N+ diffusion</t>
  </si>
  <si>
    <t>e0</t>
  </si>
  <si>
    <t>[F/m]</t>
  </si>
  <si>
    <t>esi</t>
  </si>
  <si>
    <t>nN</t>
  </si>
  <si>
    <t>ni</t>
  </si>
  <si>
    <t>vbi</t>
  </si>
  <si>
    <t>[V]</t>
  </si>
  <si>
    <t>quit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</si>
</sst>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E+00"/>
    <numFmt numFmtId="178" formatCode="0.0000000000E+00"/>
    <numFmt numFmtId="179" formatCode="0.0_ "/>
    <numFmt numFmtId="180" formatCode="0.00_);[Red]\(0.00\)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"/>
    </font>
    <font>
      <u/>
      <sz val="11"/>
      <color theme="10"/>
      <name val="宋体"/>
      <charset val="1"/>
    </font>
    <font>
      <sz val="11"/>
      <color rgb="FFFFFFFF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843C0B"/>
        <bgColor rgb="FF993366"/>
      </patternFill>
    </fill>
    <fill>
      <patternFill patternType="solid">
        <fgColor rgb="FF0070C0"/>
        <bgColor rgb="FF008080"/>
      </patternFill>
    </fill>
    <fill>
      <patternFill patternType="solid">
        <fgColor rgb="FFE629FF"/>
        <bgColor rgb="FFFF00FF"/>
      </patternFill>
    </fill>
    <fill>
      <patternFill patternType="solid">
        <fgColor rgb="FF00B050"/>
        <bgColor rgb="FF008080"/>
      </patternFill>
    </fill>
    <fill>
      <patternFill patternType="solid">
        <fgColor rgb="FF7030A0"/>
        <bgColor rgb="FF99336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11" fontId="1" fillId="0" borderId="0" xfId="0" applyNumberFormat="1" applyFont="1" applyFill="1" applyAlignment="1"/>
    <xf numFmtId="0" fontId="1" fillId="2" borderId="0" xfId="0" applyFont="1" applyFill="1" applyAlignment="1"/>
    <xf numFmtId="177" fontId="1" fillId="0" borderId="0" xfId="0" applyNumberFormat="1" applyFont="1" applyFill="1" applyAlignment="1"/>
    <xf numFmtId="0" fontId="2" fillId="0" borderId="0" xfId="5"/>
    <xf numFmtId="178" fontId="1" fillId="0" borderId="0" xfId="0" applyNumberFormat="1" applyFont="1" applyFill="1" applyAlignment="1"/>
    <xf numFmtId="179" fontId="1" fillId="0" borderId="0" xfId="0" applyNumberFormat="1" applyFont="1" applyFill="1" applyAlignment="1"/>
    <xf numFmtId="180" fontId="1" fillId="0" borderId="0" xfId="0" applyNumberFormat="1" applyFont="1" applyFill="1" applyAlignment="1"/>
    <xf numFmtId="0" fontId="1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1" fillId="4" borderId="0" xfId="0" applyFont="1" applyFill="1" applyAlignment="1"/>
    <xf numFmtId="0" fontId="1" fillId="7" borderId="0" xfId="0" applyFont="1" applyFill="1" applyAlignment="1"/>
    <xf numFmtId="176" fontId="1" fillId="0" borderId="0" xfId="0" applyNumberFormat="1" applyFont="1" applyFill="1" applyAlignment="1">
      <alignment wrapText="1"/>
    </xf>
    <xf numFmtId="0" fontId="1" fillId="5" borderId="0" xfId="0" applyFont="1" applyFill="1" applyAlignment="1"/>
    <xf numFmtId="0" fontId="1" fillId="8" borderId="0" xfId="0" applyFont="1" applyFill="1" applyAlignment="1"/>
    <xf numFmtId="0" fontId="3" fillId="8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t.edge@S.poly" TargetMode="External"/><Relationship Id="rId2" Type="http://schemas.openxmlformats.org/officeDocument/2006/relationships/hyperlink" Target="mailto:edge@S.poly" TargetMode="External"/><Relationship Id="rId1" Type="http://schemas.openxmlformats.org/officeDocument/2006/relationships/hyperlink" Target="mailto:act.edge@D.po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"/>
  <sheetViews>
    <sheetView tabSelected="1" workbookViewId="0">
      <selection activeCell="A1" sqref="$A1:$XFD1048576"/>
    </sheetView>
  </sheetViews>
  <sheetFormatPr defaultColWidth="9" defaultRowHeight="13.5"/>
  <cols>
    <col min="1" max="1" width="17.125" style="1" customWidth="1"/>
    <col min="2" max="2" width="17.375" style="1" customWidth="1"/>
    <col min="3" max="3" width="9.125" style="1" customWidth="1"/>
    <col min="4" max="4" width="79.875" style="1" customWidth="1"/>
    <col min="5" max="8" width="9" style="1"/>
    <col min="9" max="9" width="9.375" style="2" customWidth="1"/>
    <col min="10" max="16384" width="9" style="1"/>
  </cols>
  <sheetData>
    <row r="1" s="1" customFormat="1" spans="9:9">
      <c r="I1" s="2"/>
    </row>
    <row r="2" spans="1:4">
      <c r="A2" s="1" t="s">
        <v>0</v>
      </c>
      <c r="B2" s="1" t="s">
        <v>1</v>
      </c>
      <c r="C2" s="1"/>
      <c r="D2" s="1" t="s">
        <v>2</v>
      </c>
    </row>
    <row r="3" spans="1:4">
      <c r="A3" s="1" t="s">
        <v>3</v>
      </c>
      <c r="B3" s="3">
        <f>0.5*0.000001</f>
        <v>5e-7</v>
      </c>
      <c r="D3" s="4" t="s">
        <v>4</v>
      </c>
    </row>
    <row r="4" spans="1:4">
      <c r="A4" s="1" t="s">
        <v>5</v>
      </c>
      <c r="B4" s="1">
        <v>1</v>
      </c>
      <c r="C4" s="1"/>
      <c r="D4" s="4" t="s">
        <v>6</v>
      </c>
    </row>
    <row r="5" spans="1:4">
      <c r="A5" s="1" t="s">
        <v>7</v>
      </c>
      <c r="B5" s="5">
        <f>0.4*0.000001</f>
        <v>4e-7</v>
      </c>
      <c r="D5" s="4" t="s">
        <v>8</v>
      </c>
    </row>
    <row r="6" spans="1:4">
      <c r="A6" s="1" t="s">
        <v>9</v>
      </c>
      <c r="B6" s="5">
        <f>0.05*0.000001</f>
        <v>5e-8</v>
      </c>
      <c r="D6" s="4" t="s">
        <v>10</v>
      </c>
    </row>
    <row r="7" spans="1:4">
      <c r="A7" s="1" t="s">
        <v>11</v>
      </c>
      <c r="B7" s="5">
        <f>VLOOKUP(A5,A3:B6,2,0)*VLOOKUP(A4,A3:B6,2,0)+(VLOOKUP(A4,A3:B6,2,0)-1)*VLOOKUP(A3,A3:B6,2,0)+2*VLOOKUP(A6,A3:B6,2,0)</f>
        <v>5e-7</v>
      </c>
      <c r="D7" s="4" t="s">
        <v>12</v>
      </c>
    </row>
    <row r="8" spans="1:4">
      <c r="A8" s="1" t="s">
        <v>13</v>
      </c>
      <c r="B8" s="5">
        <f>0.25*0.000001</f>
        <v>2.5e-7</v>
      </c>
      <c r="D8" s="4" t="s">
        <v>14</v>
      </c>
    </row>
    <row r="9" spans="1:4">
      <c r="A9" s="6" t="s">
        <v>15</v>
      </c>
      <c r="B9" s="5">
        <f>VLOOKUP(A7,A7:B7,2,0)+2*VLOOKUP(A8,A8:B8,2,0)</f>
        <v>1e-6</v>
      </c>
      <c r="C9" s="1" t="s">
        <v>16</v>
      </c>
      <c r="D9" s="4" t="s">
        <v>17</v>
      </c>
    </row>
    <row r="10" spans="1:4">
      <c r="A10" s="1" t="s">
        <v>18</v>
      </c>
      <c r="B10" s="5">
        <f>0.5*0.000001</f>
        <v>5e-7</v>
      </c>
      <c r="C10" s="1" t="s">
        <v>19</v>
      </c>
      <c r="D10" s="4" t="s">
        <v>20</v>
      </c>
    </row>
    <row r="11" spans="1:4">
      <c r="A11" s="6" t="s">
        <v>21</v>
      </c>
      <c r="B11" s="5">
        <f>2*VLOOKUP(A10,A10:B10,2,0)+VLOOKUP(A9,A9:B9,2,0)</f>
        <v>2e-6</v>
      </c>
      <c r="D11" s="4" t="s">
        <v>22</v>
      </c>
    </row>
    <row r="12" spans="1:4">
      <c r="A12" s="6" t="s">
        <v>23</v>
      </c>
      <c r="B12" s="5">
        <f>B9+B15*2+B13*2+2*B10</f>
        <v>3.8e-6</v>
      </c>
      <c r="D12" s="4" t="s">
        <v>24</v>
      </c>
    </row>
    <row r="13" spans="1:4">
      <c r="A13" s="1" t="s">
        <v>25</v>
      </c>
      <c r="B13" s="5">
        <f>VLOOKUP(A8,A8:B8,2,0)+VLOOKUP(A6,A6:B6,2,0)+VLOOKUP(A5,A5:B5,2,0)/2</f>
        <v>5e-7</v>
      </c>
      <c r="D13" s="4" t="s">
        <v>26</v>
      </c>
    </row>
    <row r="14" spans="1:4">
      <c r="A14" s="1" t="s">
        <v>27</v>
      </c>
      <c r="B14" s="5">
        <f>0.15*0.000001</f>
        <v>1.5e-7</v>
      </c>
      <c r="D14" s="4" t="s">
        <v>28</v>
      </c>
    </row>
    <row r="15" spans="1:4">
      <c r="A15" s="1" t="s">
        <v>29</v>
      </c>
      <c r="B15" s="5">
        <f>VLOOKUP(A14,A14:B14,2,0)+VLOOKUP(A6,A6:B6,2,0)+VLOOKUP(A5,A5:B5,2,0)/2</f>
        <v>4e-7</v>
      </c>
      <c r="D15" s="4" t="s">
        <v>30</v>
      </c>
    </row>
    <row r="16" spans="1:4">
      <c r="A16" s="1" t="s">
        <v>19</v>
      </c>
      <c r="B16" s="5">
        <f>VLOOKUP(A10,A10:B10,2,0)</f>
        <v>5e-7</v>
      </c>
      <c r="D16" s="4" t="s">
        <v>31</v>
      </c>
    </row>
    <row r="17" spans="1:4">
      <c r="A17" s="1" t="s">
        <v>16</v>
      </c>
      <c r="B17" s="5">
        <f>B9</f>
        <v>1e-6</v>
      </c>
      <c r="D17" s="4" t="s">
        <v>32</v>
      </c>
    </row>
    <row r="18" spans="1:4">
      <c r="A18" s="1" t="s">
        <v>33</v>
      </c>
      <c r="B18" s="5">
        <f>B9*B9*0.25</f>
        <v>2.5e-13</v>
      </c>
      <c r="D18" s="4" t="s">
        <v>34</v>
      </c>
    </row>
    <row r="19" spans="1:4">
      <c r="A19" s="1" t="s">
        <v>35</v>
      </c>
      <c r="B19" s="5">
        <f>(B12+B11)*(B15+B13)*0.5</f>
        <v>2.61e-12</v>
      </c>
      <c r="D19" s="4" t="s">
        <v>36</v>
      </c>
    </row>
    <row r="20" spans="1:4">
      <c r="A20" s="1" t="s">
        <v>37</v>
      </c>
      <c r="B20" s="5">
        <f>VLOOKUP(A9,A9:B9,2,0)*4*0.25</f>
        <v>1e-6</v>
      </c>
      <c r="D20" s="4" t="s">
        <v>38</v>
      </c>
    </row>
    <row r="21" spans="1:4">
      <c r="A21" s="1" t="s">
        <v>39</v>
      </c>
      <c r="B21" s="5">
        <f>B12+B11</f>
        <v>5.8e-6</v>
      </c>
      <c r="D21" s="4" t="s">
        <v>40</v>
      </c>
    </row>
    <row r="22" spans="1:4">
      <c r="A22" s="1" t="s">
        <v>41</v>
      </c>
      <c r="B22" s="7">
        <f>2/LN(1+2*$B$16/$B$17)*($B$16/$B$17)</f>
        <v>1.44269504088896</v>
      </c>
      <c r="D22" s="4" t="s">
        <v>42</v>
      </c>
    </row>
    <row r="23" spans="2:4">
      <c r="B23" s="7"/>
      <c r="C23" s="1"/>
      <c r="D23" s="4"/>
    </row>
    <row r="24" spans="4:4">
      <c r="D24" s="1" t="s">
        <v>43</v>
      </c>
    </row>
    <row r="25" spans="4:4">
      <c r="D25" s="1" t="s">
        <v>44</v>
      </c>
    </row>
    <row r="26" spans="4:4">
      <c r="D26" s="1" t="s">
        <v>45</v>
      </c>
    </row>
    <row r="27" spans="4:4">
      <c r="D27" s="1" t="s">
        <v>46</v>
      </c>
    </row>
    <row r="28" spans="4:4">
      <c r="D28" s="1" t="s">
        <v>47</v>
      </c>
    </row>
    <row r="29" spans="4:4">
      <c r="D29" s="1" t="s">
        <v>48</v>
      </c>
    </row>
    <row r="30" spans="1:4">
      <c r="A30" s="1" t="s">
        <v>49</v>
      </c>
      <c r="B30" s="1"/>
      <c r="C30" s="1"/>
      <c r="D30" s="1" t="s">
        <v>50</v>
      </c>
    </row>
    <row r="31" spans="1:4">
      <c r="A31" s="1">
        <v>0.05</v>
      </c>
      <c r="B31" s="1"/>
      <c r="C31" s="1"/>
      <c r="D31" s="1" t="str">
        <f>"x.mesh"&amp;" "&amp;"loc="&amp;TEXT(0,"0.00")&amp;" "&amp;"spac="&amp;TEXT(A31,"0.00")</f>
        <v>x.mesh loc=0.00 spac=0.05</v>
      </c>
    </row>
    <row r="32" spans="1:4">
      <c r="A32" s="1">
        <v>0.01</v>
      </c>
      <c r="B32" s="1"/>
      <c r="C32" s="1"/>
      <c r="D32" s="1" t="str">
        <f>"x.mesh"&amp;" "&amp;"loc="&amp;TEXT(SUM(B15,B13)*1000000,"0.00")&amp;" "&amp;"spac="&amp;TEXT($A$31,"0.00")</f>
        <v>x.mesh loc=0.90 spac=0.05</v>
      </c>
    </row>
    <row r="33" spans="4:4">
      <c r="D33" s="1" t="str">
        <f>"x.mesh"&amp;" "&amp;"loc="&amp;TEXT(SUM(B10,B13,B15)*1000000,"0.00")&amp;" "&amp;"spac="&amp;TEXT($A$31,"0.00")</f>
        <v>x.mesh loc=1.40 spac=0.05</v>
      </c>
    </row>
    <row r="34" spans="1:4">
      <c r="A34" s="1" t="s">
        <v>51</v>
      </c>
      <c r="B34" s="1"/>
      <c r="C34" s="1"/>
      <c r="D34" s="1" t="str">
        <f>"x.mesh"&amp;" "&amp;"loc="&amp;TEXT(SUM(B9,B10,B13,B15)*1000000,"0.00")&amp;" "&amp;"spac="&amp;TEXT($A$31,"0.00")</f>
        <v>x.mesh loc=2.40 spac=0.05</v>
      </c>
    </row>
    <row r="35" spans="1:4">
      <c r="A35" s="1" t="s">
        <v>52</v>
      </c>
      <c r="B35" s="1"/>
      <c r="C35" s="1"/>
      <c r="D35" s="1" t="str">
        <f>"x.mesh"&amp;" "&amp;"loc="&amp;TEXT(SUM(B9,B10,B10,B13,B15)*1000000,"0.00")&amp;" "&amp;"spac="&amp;TEXT($A$31,"0.00")</f>
        <v>x.mesh loc=2.90 spac=0.05</v>
      </c>
    </row>
    <row r="36" spans="1:4">
      <c r="A36" s="1" t="s">
        <v>53</v>
      </c>
      <c r="B36" s="1"/>
      <c r="C36" s="1"/>
      <c r="D36" s="1" t="str">
        <f>"x.mesh"&amp;" "&amp;"loc="&amp;TEXT(SUM(B9,B10,B10,B13,B13,B15,B15)*1000000,"0.00")&amp;" "&amp;"spac="&amp;TEXT($A$31,"0.00")</f>
        <v>x.mesh loc=3.80 spac=0.05</v>
      </c>
    </row>
    <row r="37" spans="1:4">
      <c r="A37" s="1" t="s">
        <v>54</v>
      </c>
      <c r="B37" s="1"/>
      <c r="C37" s="1"/>
      <c r="D37" s="1" t="s">
        <v>50</v>
      </c>
    </row>
    <row r="38" spans="1:4">
      <c r="A38" s="1" t="s">
        <v>55</v>
      </c>
      <c r="B38" s="1"/>
      <c r="C38" s="1"/>
      <c r="D38" s="1" t="s">
        <v>56</v>
      </c>
    </row>
    <row r="39" spans="1:4">
      <c r="A39" s="1" t="s">
        <v>57</v>
      </c>
      <c r="B39" s="1"/>
      <c r="C39" s="1"/>
      <c r="D39" s="1" t="s">
        <v>58</v>
      </c>
    </row>
    <row r="40" spans="4:4">
      <c r="D40" s="1" t="s">
        <v>59</v>
      </c>
    </row>
    <row r="41" spans="1:4">
      <c r="A41" s="1" t="s">
        <v>60</v>
      </c>
      <c r="B41" s="1"/>
      <c r="C41" s="1"/>
      <c r="D41" s="1" t="s">
        <v>61</v>
      </c>
    </row>
    <row r="42" spans="1:4">
      <c r="A42" s="1" t="s">
        <v>62</v>
      </c>
      <c r="B42" s="1"/>
      <c r="C42" s="1"/>
      <c r="D42" s="1" t="s">
        <v>63</v>
      </c>
    </row>
    <row r="43" spans="4:4">
      <c r="D43" s="1" t="s">
        <v>64</v>
      </c>
    </row>
    <row r="44" spans="1:4">
      <c r="A44" s="1" t="s">
        <v>65</v>
      </c>
      <c r="B44" s="1"/>
      <c r="C44" s="1"/>
      <c r="D44" s="1" t="s">
        <v>50</v>
      </c>
    </row>
    <row r="45" spans="1:4">
      <c r="A45" s="1" t="s">
        <v>66</v>
      </c>
      <c r="B45" s="1"/>
      <c r="C45" s="1"/>
      <c r="D45" s="1" t="str">
        <f>"z.mesh"&amp;" "&amp;"loc="&amp;TEXT(0,"0.00")&amp;" "&amp;"spac="&amp;TEXT($A$31,"0.00")</f>
        <v>z.mesh loc=0.00 spac=0.05</v>
      </c>
    </row>
    <row r="46" spans="1:4">
      <c r="A46" s="1" t="s">
        <v>67</v>
      </c>
      <c r="B46" s="1"/>
      <c r="C46" s="1"/>
      <c r="D46" s="1" t="str">
        <f>"z.mesh"&amp;" "&amp;"loc="&amp;TEXT(SUM(B13,B15)*1000000,"0.00")&amp;" "&amp;"spac="&amp;TEXT($A$31,"0.00")</f>
        <v>z.mesh loc=0.90 spac=0.05</v>
      </c>
    </row>
    <row r="47" spans="1:4">
      <c r="A47" s="1" t="s">
        <v>68</v>
      </c>
      <c r="B47" s="1"/>
      <c r="C47" s="1"/>
      <c r="D47" s="1" t="str">
        <f>"z.mesh"&amp;" "&amp;"loc="&amp;TEXT(SUM(B10,B13,B15)*1000000,"0.00")&amp;" "&amp;"spac="&amp;TEXT($A$31,"0.00")</f>
        <v>z.mesh loc=1.40 spac=0.05</v>
      </c>
    </row>
    <row r="48" spans="1:4">
      <c r="A48" s="3">
        <v>5e+17</v>
      </c>
      <c r="B48" s="1"/>
      <c r="C48" s="1"/>
      <c r="D48" s="1" t="str">
        <f>"z.mesh"&amp;" "&amp;"loc="&amp;TEXT(SUM(B9,B10,B13,B15)*1000000,"0.00")&amp;" "&amp;"spac="&amp;TEXT($A$31,"0.00")</f>
        <v>z.mesh loc=2.40 spac=0.05</v>
      </c>
    </row>
    <row r="49" spans="1:4">
      <c r="A49" s="3">
        <f>120000000000000000</f>
        <v>1.2e+17</v>
      </c>
      <c r="D49" s="1" t="str">
        <f>"z.mesh"&amp;" "&amp;"loc="&amp;TEXT(SUM(B9,B10,B10,B13,B15)*1000000,"0.00")&amp;" "&amp;"spac="&amp;TEXT($A$31,"0.00")</f>
        <v>z.mesh loc=2.90 spac=0.05</v>
      </c>
    </row>
    <row r="50" spans="1:4">
      <c r="A50" s="3">
        <f>500000000000000000</f>
        <v>5e+17</v>
      </c>
      <c r="D50" s="1" t="str">
        <f>"z.mesh"&amp;" "&amp;"loc="&amp;TEXT(SUM(B9,B10,B10,B13,B13,B15,B15)*1000000,"0.00")&amp;" "&amp;"spac="&amp;TEXT($A$31,"0.00")</f>
        <v>z.mesh loc=3.80 spac=0.05</v>
      </c>
    </row>
    <row r="51" spans="1:4">
      <c r="A51" s="1" t="s">
        <v>69</v>
      </c>
      <c r="B51" s="1"/>
      <c r="C51" s="1"/>
      <c r="D51" s="1" t="s">
        <v>50</v>
      </c>
    </row>
    <row r="52" s="1" customFormat="1" spans="1:10">
      <c r="A52" s="1" t="s">
        <v>70</v>
      </c>
      <c r="B52" s="1"/>
      <c r="C52" s="1"/>
      <c r="D52" s="1" t="str">
        <f>"region num="&amp;1&amp;" "&amp;$A$34&amp;"="&amp;TEXT(0,"0.00")&amp;" "&amp;$A$35&amp;"="&amp;TEXT(SUM(B9,B10,B10,B13,B13,B15,B15)*1000000,"0.00")&amp;" "&amp;$A$36&amp;"="&amp;TEXT(0,"0.000")&amp;" "&amp;$A$37&amp;"="&amp;TEXT(SUM(J53:J54),"0.000")&amp;" "&amp;$A$38&amp;"="&amp;TEXT(0,"0.00")&amp;" "&amp;$A$39&amp;"="&amp;TEXT(SUM(B9,B10,B10,B13,B13,B15,B15)*1000000,"0.00")&amp;" "&amp;$A$41</f>
        <v>region num=1 x.min=0.00 x.max=3.80 y.min=0.000 y.max=0.015 z.min=0.00 z.max=3.80 sio2</v>
      </c>
      <c r="I52" s="1" t="s">
        <v>71</v>
      </c>
      <c r="J52" s="2" t="s">
        <v>72</v>
      </c>
    </row>
    <row r="53" s="1" customFormat="1" spans="1:15">
      <c r="A53" s="1" t="s">
        <v>73</v>
      </c>
      <c r="B53" s="1"/>
      <c r="C53" s="1"/>
      <c r="D53" s="1" t="str">
        <f>"region num="&amp;2&amp;" "&amp;$A$34&amp;"="&amp;TEXT(0,"0.00")&amp;" "&amp;$A$35&amp;"="&amp;TEXT(SUM(B9,B10,B10,B13,B13,B15,B15)*1000000,"0.00")&amp;" "&amp;$A$36&amp;"="&amp;TEXT(SUM(J53:J54),"0.000")&amp;" "&amp;$A$37&amp;"="&amp;TEXT(SUM(J53:J57),"0.000")&amp;" "&amp;$A$38&amp;"="&amp;TEXT(0,"0.00")&amp;" "&amp;$A$39&amp;"="&amp;TEXT(SUM(B9,B10,B10,B13,B13,B15,B15)*1000000,"0.00")&amp;" "&amp;$A$42</f>
        <v>region num=2 x.min=0.00 x.max=3.80 y.min=0.015 y.max=1.000 z.min=0.00 z.max=3.80 silicon</v>
      </c>
      <c r="I53" s="1" t="s">
        <v>74</v>
      </c>
      <c r="J53" s="2">
        <v>0</v>
      </c>
      <c r="K53" s="9">
        <f>SUM(B15,B13)*1000000</f>
        <v>0.9</v>
      </c>
      <c r="L53" s="9">
        <f>SUM(B10,B13,B15)*1000000-K53</f>
        <v>0.5</v>
      </c>
      <c r="M53" s="9">
        <f>SUM(B9,B10,B13,B15)*1000000-L53-K53</f>
        <v>1</v>
      </c>
      <c r="N53" s="9">
        <f>SUM(B9,B10,B10,B13,B15)*1000000-M53-L53-K53</f>
        <v>0.5</v>
      </c>
      <c r="O53" s="9">
        <f>SUM(B9,B10,B10,B13,B13,B15,B15)*1000000-N53-M53-L53-K53</f>
        <v>0.9</v>
      </c>
    </row>
    <row r="54" s="1" customFormat="1" spans="1:15">
      <c r="A54" s="1" t="s">
        <v>75</v>
      </c>
      <c r="B54" s="1"/>
      <c r="C54" s="1"/>
      <c r="D54" s="1" t="s">
        <v>50</v>
      </c>
      <c r="E54" s="1"/>
      <c r="F54" s="1"/>
      <c r="G54" s="1"/>
      <c r="H54" s="1"/>
      <c r="I54" s="1">
        <v>0.025</v>
      </c>
      <c r="J54" s="2">
        <f>0.015-J53</f>
        <v>0.015</v>
      </c>
      <c r="K54" s="10" t="s">
        <v>76</v>
      </c>
      <c r="L54" s="11" t="s">
        <v>77</v>
      </c>
      <c r="M54" s="10" t="s">
        <v>76</v>
      </c>
      <c r="N54" s="11" t="s">
        <v>77</v>
      </c>
      <c r="O54" s="10" t="s">
        <v>76</v>
      </c>
    </row>
    <row r="55" s="1" customFormat="1" spans="4:15">
      <c r="D55" s="1" t="str">
        <f>"electrode name="&amp;$A$44&amp;" "&amp;$A$34&amp;"="&amp;TEXT(J67+0.1,"0.00")&amp;" "&amp;$A$35&amp;"="&amp;TEXT((SUM(J67:O67)-0.1),"0.00")&amp;" "&amp;$A$36&amp;"="&amp;TEXT(J53+J54,"0.000")&amp;" "&amp;$A$37&amp;"="&amp;TEXT(J53+J54,"0.000")&amp;" "&amp;$A$38&amp;"="&amp;TEXT(J67+0.1,"0.00")&amp;" "&amp;$A$39&amp;"="&amp;TEXT(SUM(J67:J68)-0.1,"0.00")</f>
        <v>electrode name=source x.min=0.10 x.max=3.70 y.min=0.015 y.max=0.015 z.min=0.10 z.max=0.80</v>
      </c>
      <c r="I55" s="1">
        <v>0.1</v>
      </c>
      <c r="J55" s="2">
        <f>0.165-J54</f>
        <v>0.15</v>
      </c>
      <c r="K55" s="12" t="s">
        <v>65</v>
      </c>
      <c r="L55" s="13" t="s">
        <v>78</v>
      </c>
      <c r="M55" s="12" t="s">
        <v>66</v>
      </c>
      <c r="N55" s="13" t="s">
        <v>78</v>
      </c>
      <c r="O55" s="12" t="s">
        <v>65</v>
      </c>
    </row>
    <row r="56" s="1" customFormat="1" spans="1:15">
      <c r="A56" s="1" t="s">
        <v>79</v>
      </c>
      <c r="B56" s="1"/>
      <c r="C56" s="1"/>
      <c r="D56" s="1" t="str">
        <f>"electrode name="&amp;$A$44&amp;" "&amp;$A$34&amp;"="&amp;TEXT(J67+0.1,"0.00")&amp;" "&amp;$A$35&amp;"="&amp;TEXT(SUM(J67:K67)-0.1,"0.00")&amp;" "&amp;$A$36&amp;"="&amp;TEXT(J53+J54,"0.000")&amp;" "&amp;$A$37&amp;"="&amp;TEXT(J53+J54,"0.000")&amp;" "&amp;$A$38&amp;"="&amp;TEXT(SUM(J67:J68)-0.1,"0.00")&amp;" "&amp;$A$39&amp;"="&amp;TEXT(SUM(J67:J71)+0.1,"0.00")</f>
        <v>electrode name=source x.min=0.10 x.max=0.80 y.min=0.015 y.max=0.015 z.min=0.80 z.max=3.00</v>
      </c>
      <c r="J56" s="2">
        <f>0.17-J55-J54</f>
        <v>0.00499999999999999</v>
      </c>
      <c r="K56" s="14" t="s">
        <v>80</v>
      </c>
      <c r="L56" s="14"/>
      <c r="M56" s="14"/>
      <c r="N56" s="14"/>
      <c r="O56" s="14"/>
    </row>
    <row r="57" s="1" customFormat="1" spans="1:15">
      <c r="A57" s="1">
        <v>0</v>
      </c>
      <c r="B57" s="1"/>
      <c r="C57" s="1"/>
      <c r="D57" s="1" t="str">
        <f>"electrode name="&amp;$A$44&amp;" "&amp;$A$34&amp;"="&amp;TEXT(SUM(J67)+0.1,"0.00")&amp;" "&amp;$A$35&amp;"="&amp;TEXT(SUM(J67:O67)-0.1,"0.00")&amp;" "&amp;$A$36&amp;"="&amp;TEXT(J53+J54,"0.000")&amp;" "&amp;$A$37&amp;"="&amp;TEXT(J53+J54,"0.000")&amp;" "&amp;$A$38&amp;"="&amp;TEXT(SUM(J67:J71)+0.1,"0.00")&amp;" "&amp;$A$39&amp;"="&amp;TEXT(SUM(J67:J72)-0.1,"0.00")</f>
        <v>electrode name=source x.min=0.10 x.max=3.70 y.min=0.015 y.max=0.015 z.min=3.00 z.max=3.70</v>
      </c>
      <c r="J57" s="2">
        <f>1-SUM(J53:J56)</f>
        <v>0.83</v>
      </c>
      <c r="K57" s="15" t="s">
        <v>81</v>
      </c>
      <c r="L57" s="15"/>
      <c r="M57" s="15"/>
      <c r="N57" s="15"/>
      <c r="O57" s="15"/>
    </row>
    <row r="58" s="1" customFormat="1" spans="1:10">
      <c r="A58" s="1">
        <v>0.01</v>
      </c>
      <c r="B58" s="1"/>
      <c r="C58" s="1"/>
      <c r="D58" s="1" t="str">
        <f>"electrode name="&amp;$A$44&amp;" "&amp;$A$34&amp;"="&amp;TEXT(SUM(J67:N67)+0.1,"0.00")&amp;" "&amp;$A$35&amp;"="&amp;TEXT(SUM(J67:O67)-0.1,"0.00")&amp;" "&amp;$A$36&amp;"="&amp;TEXT(J53+J54,"0.000")&amp;" "&amp;$A$37&amp;"="&amp;TEXT(J53+J54,"0.000")&amp;" "&amp;$A$38&amp;"="&amp;TEXT(SUM(J67:J68)-0.1,"0.00")&amp;" "&amp;$A$39&amp;"="&amp;TEXT(SUM(J67:J71)+0.1,"0.00")</f>
        <v>electrode name=source x.min=3.00 x.max=3.70 y.min=0.015 y.max=0.015 z.min=0.80 z.max=3.00</v>
      </c>
      <c r="J58" s="2"/>
    </row>
    <row r="59" s="1" customFormat="1" spans="1:10">
      <c r="A59" s="1">
        <v>0.05</v>
      </c>
      <c r="B59" s="1"/>
      <c r="C59" s="1"/>
      <c r="D59" s="1" t="str">
        <f>"electrode name="&amp;$A$46&amp;" "&amp;$A$34&amp;"="&amp;TEXT(SUM(J67:K67)+0.1,"0.00")&amp;" "&amp;$A$35&amp;"="&amp;TEXT(SUM(J67:N67)-0.1,"0.00")&amp;" "&amp;$A$36&amp;"="&amp;TEXT(0,"0.00")&amp;" "&amp;$A$37&amp;"="&amp;TEXT(0,"0.00")&amp;" "&amp;$A$38&amp;"="&amp;TEXT(SUM(J67:J68)+0.1,"0.00")&amp;" "&amp;$A$39&amp;"="&amp;TEXT(SUM(J67:J69)-0.1,"0.00")</f>
        <v>electrode name=gate x.min=1.00 x.max=2.80 y.min=0.00 y.max=0.00 z.min=1.00 z.max=1.30</v>
      </c>
      <c r="J59" s="2"/>
    </row>
    <row r="60" s="1" customFormat="1" spans="1:10">
      <c r="A60" s="1">
        <v>0.1</v>
      </c>
      <c r="B60" s="1"/>
      <c r="C60" s="1"/>
      <c r="D60" s="1" t="str">
        <f>"electrode name="&amp;$A$46&amp;" "&amp;$A$34&amp;"="&amp;TEXT(SUM(J67:K67)+0.1,"0.00")&amp;" "&amp;$A$35&amp;"="&amp;TEXT(SUM(J67:L67)-0.1,"0.00")&amp;" "&amp;$A$36&amp;"="&amp;TEXT(0,"0.00")&amp;" "&amp;$A$37&amp;"="&amp;TEXT(0,"0.00")&amp;" "&amp;$A$38&amp;"="&amp;TEXT(SUM(J67:J69)-0.1,"0.00")&amp;" "&amp;$A$39&amp;"="&amp;TEXT(SUM(J67:J70)+0.1,"0.00")</f>
        <v>electrode name=gate x.min=1.00 x.max=1.30 y.min=0.00 y.max=0.00 z.min=1.30 z.max=2.50</v>
      </c>
      <c r="J60" s="2"/>
    </row>
    <row r="61" s="1" customFormat="1" spans="1:10">
      <c r="A61" s="1">
        <v>0.5</v>
      </c>
      <c r="B61" s="1"/>
      <c r="C61" s="1"/>
      <c r="D61" s="1" t="str">
        <f>"electrode name="&amp;$A$46&amp;" "&amp;$A$34&amp;"="&amp;TEXT(SUM(J67:M67)+0.1,"0.00")&amp;" "&amp;$A$35&amp;"="&amp;TEXT(SUM(J67:N67)-0.1,"0.00")&amp;" "&amp;$A$36&amp;"="&amp;TEXT(0,"0.00")&amp;" "&amp;$A$37&amp;"="&amp;TEXT(0,"0.00")&amp;" "&amp;$A$38&amp;"="&amp;TEXT(SUM(J67:J69)-0.1,"0.00")&amp;" "&amp;$A$39&amp;"="&amp;TEXT(SUM(J67:J70)+0.1,"0.00")</f>
        <v>electrode name=gate x.min=2.50 x.max=2.80 y.min=0.00 y.max=0.00 z.min=1.30 z.max=2.50</v>
      </c>
      <c r="J61" s="2"/>
    </row>
    <row r="62" s="1" customFormat="1" spans="1:10">
      <c r="A62" s="8">
        <v>1</v>
      </c>
      <c r="B62" s="1"/>
      <c r="C62" s="1"/>
      <c r="D62" s="1" t="str">
        <f>"electrode name="&amp;$A$46&amp;" "&amp;$A$34&amp;"="&amp;TEXT(SUM(J67:K67)+0.1,"0.00")&amp;" "&amp;$A$35&amp;"="&amp;TEXT(SUM(J67:N67)-0.1,"0.00")&amp;" "&amp;$A$36&amp;"="&amp;TEXT(0,"0.00")&amp;" "&amp;$A$37&amp;"="&amp;TEXT(0,"0.00")&amp;" "&amp;$A$38&amp;"="&amp;TEXT(SUM(J67:J70)+0.1,"0.00")&amp;" "&amp;$A$39&amp;"="&amp;TEXT(SUM(J67:J71)-0.1,"0.00")</f>
        <v>electrode name=gate x.min=1.00 x.max=2.80 y.min=0.00 y.max=0.00 z.min=2.50 z.max=2.80</v>
      </c>
      <c r="J62" s="2"/>
    </row>
    <row r="63" s="1" customFormat="1" spans="1:10">
      <c r="A63" s="8">
        <v>5</v>
      </c>
      <c r="B63" s="1"/>
      <c r="C63" s="1"/>
      <c r="D63" s="1" t="str">
        <f>"electrode name="&amp;$A$45&amp;" "&amp;$A$34&amp;"="&amp;TEXT(SUM(J67:L67)+0.1,"0.00")&amp;" "&amp;$A$35&amp;"="&amp;TEXT(SUM(J67:M67)-0.1,"0.00")&amp;" "&amp;$A$36&amp;"="&amp;TEXT(J53+J54,"0.000")&amp;" "&amp;$A$37&amp;"="&amp;TEXT(J53+J54,"0.000")&amp;" "&amp;$A$38&amp;"="&amp;TEXT(SUM(J67:J69)+0.1,"0.00")&amp;" "&amp;$A$39&amp;"="&amp;TEXT(SUM(J67:J70)-0.1,"0.00")</f>
        <v>electrode name=drain x.min=1.50 x.max=2.30 y.min=0.015 y.max=0.015 z.min=1.50 z.max=2.30</v>
      </c>
      <c r="J63" s="2"/>
    </row>
    <row r="64" s="1" customFormat="1" spans="4:10">
      <c r="D64" s="1" t="str">
        <f>"electrode name="&amp;$A$47&amp;" "&amp;$A$34&amp;"="&amp;TEXT(SUM(J67)+0.1,"0.00")&amp;" "&amp;$A$35&amp;"="&amp;TEXT(SUM(J67:O67)-0.1,"0.00")&amp;" "&amp;$A$36&amp;"="&amp;TEXT(SUM(J54:J57),"0.000")&amp;" "&amp;$A$37&amp;"="&amp;TEXT(SUM(J54:J57),"0.000")&amp;" "&amp;$A$38&amp;"="&amp;TEXT(SUM(J67)+0.1,"0.00")&amp;" "&amp;$A$39&amp;"="&amp;TEXT(SUM(J67:O67)-0.1,"0.00")</f>
        <v>electrode name=substrate x.min=0.10 x.max=3.70 y.min=1.000 y.max=1.000 z.min=0.10 z.max=3.70</v>
      </c>
      <c r="J64" s="2"/>
    </row>
    <row r="65" s="1" customFormat="1" spans="1:10">
      <c r="A65" s="1">
        <v>-0.1</v>
      </c>
      <c r="B65" s="1"/>
      <c r="C65" s="1"/>
      <c r="D65" s="1" t="s">
        <v>50</v>
      </c>
      <c r="E65" s="1"/>
      <c r="F65" s="1"/>
      <c r="G65" s="1"/>
      <c r="H65" s="1"/>
      <c r="I65" s="1"/>
      <c r="J65" s="2"/>
    </row>
    <row r="66" s="1" customFormat="1" spans="1:10">
      <c r="A66" s="1">
        <v>5</v>
      </c>
      <c r="B66" s="1"/>
      <c r="C66" s="1"/>
      <c r="D66" s="1" t="s">
        <v>82</v>
      </c>
      <c r="E66" s="1"/>
      <c r="F66" s="1"/>
      <c r="G66" s="1"/>
      <c r="H66" s="1"/>
      <c r="I66" s="1" t="s">
        <v>83</v>
      </c>
      <c r="J66" s="2" t="s">
        <v>72</v>
      </c>
    </row>
    <row r="67" s="1" customFormat="1" spans="1:15">
      <c r="A67" s="1">
        <v>2</v>
      </c>
      <c r="B67" s="1"/>
      <c r="C67" s="1"/>
      <c r="D67" s="1" t="str">
        <f>"doping uniform p.type conc="&amp;TEXT($A$50,"0.00E+00")</f>
        <v>doping uniform p.type conc=5.00E+17</v>
      </c>
      <c r="I67" s="1" t="s">
        <v>84</v>
      </c>
      <c r="J67" s="16">
        <v>0</v>
      </c>
      <c r="K67" s="9">
        <f t="shared" ref="K67:O67" si="0">K53</f>
        <v>0.9</v>
      </c>
      <c r="L67" s="9">
        <f t="shared" si="0"/>
        <v>0.5</v>
      </c>
      <c r="M67" s="9">
        <f t="shared" si="0"/>
        <v>1</v>
      </c>
      <c r="N67" s="9">
        <f t="shared" si="0"/>
        <v>0.5</v>
      </c>
      <c r="O67" s="9">
        <f t="shared" si="0"/>
        <v>0.9</v>
      </c>
    </row>
    <row r="68" s="1" customFormat="1" spans="1:15">
      <c r="A68" s="1">
        <v>3</v>
      </c>
      <c r="B68" s="1"/>
      <c r="C68" s="1"/>
      <c r="D68" s="1" t="s">
        <v>85</v>
      </c>
      <c r="E68" s="1"/>
      <c r="F68" s="1"/>
      <c r="G68" s="1"/>
      <c r="H68" s="1"/>
      <c r="I68" s="1">
        <v>0.1</v>
      </c>
      <c r="J68" s="2">
        <f>K67</f>
        <v>0.9</v>
      </c>
      <c r="K68" s="17"/>
      <c r="L68" s="17"/>
      <c r="M68" s="17"/>
      <c r="N68" s="17"/>
      <c r="O68" s="17"/>
    </row>
    <row r="69" s="1" customFormat="1" spans="1:15">
      <c r="A69" s="1">
        <v>4</v>
      </c>
      <c r="B69" s="1"/>
      <c r="C69" s="1"/>
      <c r="D69" s="1" t="str">
        <f>"doping region=2"&amp;" "&amp;$A$34&amp;"="&amp;TEXT(SUM(J67),"0.00")&amp;" "&amp;$A$35&amp;"="&amp;TEXT(SUM(J67:O67),"0.00")&amp;" "&amp;$A$36&amp;"="&amp;TEXT(SUM(J53:J54),"0.000")&amp;" "&amp;$A$37&amp;"="&amp;TEXT(SUM(J53:J56),"0.000")&amp;" "&amp;$A$38&amp;"="&amp;TEXT(SUM(J67),"0.00")&amp;" "&amp;$A$39&amp;"="&amp;TEXT(SUM(J67:O67),"0.00")&amp;" "&amp;"p.type"&amp;" "&amp;"uniform"&amp;" "&amp;"conc="&amp;TEXT($A$49,"0.00E+00")</f>
        <v>doping region=2 x.min=0.00 x.max=3.80 y.min=0.015 y.max=0.170 z.min=0.00 z.max=3.80 p.type uniform conc=1.20E+17</v>
      </c>
      <c r="J69" s="2">
        <f>L53</f>
        <v>0.5</v>
      </c>
      <c r="K69" s="17"/>
      <c r="L69" s="18"/>
      <c r="M69" s="18"/>
      <c r="N69" s="18"/>
      <c r="O69" s="17"/>
    </row>
    <row r="70" s="1" customFormat="1" spans="4:15">
      <c r="D70" s="1" t="s">
        <v>86</v>
      </c>
      <c r="E70" s="1"/>
      <c r="F70" s="1"/>
      <c r="G70" s="1"/>
      <c r="H70" s="1"/>
      <c r="I70" s="1"/>
      <c r="J70" s="2">
        <f>M53</f>
        <v>1</v>
      </c>
      <c r="K70" s="17"/>
      <c r="L70" s="18"/>
      <c r="M70" s="12" t="s">
        <v>66</v>
      </c>
      <c r="N70" s="18"/>
      <c r="O70" s="17"/>
    </row>
    <row r="71" s="1" customFormat="1" spans="4:15">
      <c r="D71" s="1" t="str">
        <f>"doping region=2"&amp;" "&amp;$A$34&amp;"="&amp;TEXT(SUM(J67),"0.00")&amp;" "&amp;$A$35&amp;"="&amp;TEXT(SUM(J67:O67),"0.00")&amp;" "&amp;$A$36&amp;"="&amp;TEXT(SUM(J53:J54),"0.000")&amp;" "&amp;$A$37&amp;"="&amp;TEXT(SUM(J53:J55),"0.000")&amp;" "&amp;$A$38&amp;"="&amp;TEXT(SUM(J67),"0.00")&amp;" "&amp;$A$39&amp;"="&amp;TEXT(SUM(J67:J68),"0.00")&amp;" "&amp;"n.type"&amp;" "&amp;"uniform"&amp;" "&amp;"conc="&amp;TEXT($A$48,"0.00E+00")</f>
        <v>doping region=2 x.min=0.00 x.max=3.80 y.min=0.015 y.max=0.165 z.min=0.00 z.max=0.90 n.type uniform conc=5.00E+17</v>
      </c>
      <c r="J71" s="2">
        <f>N53</f>
        <v>0.5</v>
      </c>
      <c r="K71" s="17"/>
      <c r="L71" s="19" t="s">
        <v>87</v>
      </c>
      <c r="M71" s="18"/>
      <c r="N71" s="18"/>
      <c r="O71" s="17"/>
    </row>
    <row r="72" s="1" customFormat="1" spans="4:15">
      <c r="D72" s="1" t="str">
        <f>"doping region=2"&amp;" "&amp;$A$34&amp;"="&amp;TEXT(J67,"0.00")&amp;" "&amp;$A$35&amp;"="&amp;TEXT(SUM(J67:K67),"0.00")&amp;" "&amp;$A$36&amp;"="&amp;TEXT(SUM(J53:J54),"0.000")&amp;" "&amp;$A$37&amp;"="&amp;TEXT(SUM(J53:J55),"0.000")&amp;" "&amp;$A$38&amp;"="&amp;TEXT(SUM(J67:J68),"0.00")&amp;" "&amp;$A$39&amp;"="&amp;TEXT(SUM(J67:J71),"0.00")&amp;" "&amp;"n.type"&amp;" "&amp;"uniform"&amp;" "&amp;"conc="&amp;TEXT($A$48,"0.00E+00")</f>
        <v>doping region=2 x.min=0.00 x.max=0.90 y.min=0.015 y.max=0.165 z.min=0.90 z.max=2.90 n.type uniform conc=5.00E+17</v>
      </c>
      <c r="J72" s="2">
        <f>O53</f>
        <v>0.9</v>
      </c>
      <c r="K72" s="12" t="s">
        <v>65</v>
      </c>
      <c r="L72" s="17"/>
      <c r="M72" s="17"/>
      <c r="N72" s="17"/>
      <c r="O72" s="17"/>
    </row>
    <row r="73" spans="4:4">
      <c r="D73" s="1" t="str">
        <f>"doping region=2"&amp;" "&amp;$A$34&amp;"="&amp;TEXT(SUM(J67:N67),"0.00")&amp;" "&amp;$A$35&amp;"="&amp;TEXT(SUM(J67:O67),"0.00")&amp;" "&amp;$A$36&amp;"="&amp;TEXT(SUM(J53:J54),"0.000")&amp;" "&amp;$A$37&amp;"="&amp;TEXT(SUM(J53:J55),"0.000")&amp;" "&amp;$A$38&amp;"="&amp;TEXT(SUM(J67:J68),"0.00")&amp;" "&amp;$A$39&amp;"="&amp;TEXT(SUM(J67:J71),"0.00")&amp;" "&amp;"n.type"&amp;" "&amp;"uniform"&amp;" "&amp;"conc="&amp;TEXT($A$48,"0.00E+00")</f>
        <v>doping region=2 x.min=2.90 x.max=3.80 y.min=0.015 y.max=0.165 z.min=0.90 z.max=2.90 n.type uniform conc=5.00E+17</v>
      </c>
    </row>
    <row r="74" spans="4:4">
      <c r="D74" s="1" t="str">
        <f>"doping region=2"&amp;" "&amp;$A$34&amp;"="&amp;TEXT(SUM(J67),"0.00")&amp;" "&amp;$A$35&amp;"="&amp;TEXT(SUM(J67:O67),"0.00")&amp;" "&amp;$A$36&amp;"="&amp;TEXT(SUM(J53:J54),"0.000")&amp;" "&amp;$A$37&amp;"="&amp;TEXT(SUM(J53:J55),"0.000")&amp;" "&amp;$A$38&amp;"="&amp;TEXT(SUM(J67:J71),"0.00")&amp;" "&amp;$A$39&amp;"="&amp;TEXT(SUM(J67:J72),"0.00")&amp;" "&amp;"n.type"&amp;" "&amp;"uniform"&amp;" "&amp;"conc="&amp;TEXT($A$48,"0.00E+00")</f>
        <v>doping region=2 x.min=0.00 x.max=3.80 y.min=0.015 y.max=0.165 z.min=2.90 z.max=3.80 n.type uniform conc=5.00E+17</v>
      </c>
    </row>
    <row r="75" spans="4:4">
      <c r="D75" s="1" t="s">
        <v>88</v>
      </c>
    </row>
    <row r="76" spans="4:4">
      <c r="D76" s="1" t="str">
        <f>"doping region=2"&amp;" "&amp;$A$34&amp;"="&amp;TEXT(SUM(J67:L67),"0.00")&amp;" "&amp;$A$35&amp;"="&amp;TEXT(SUM(J67:M67),"0.00")&amp;" "&amp;$A$36&amp;"="&amp;TEXT(SUM(J53:J54),"0.000")&amp;" "&amp;$A$37&amp;"="&amp;TEXT(SUM(J53:J55),"0.000")&amp;" "&amp;$A$38&amp;"="&amp;TEXT(SUM(J67:J69),"0.00")&amp;" "&amp;$A$39&amp;"="&amp;TEXT(SUM(J67:J70),"0.00")&amp;" "&amp;"n.type"&amp;" "&amp;"uniform"&amp;" "&amp;"conc="&amp;TEXT($A$48,"0.00E+00")</f>
        <v>doping region=2 x.min=1.40 x.max=2.40 y.min=0.015 y.max=0.165 z.min=1.40 z.max=2.40 n.type uniform conc=5.00E+17</v>
      </c>
    </row>
    <row r="77" spans="4:4">
      <c r="D77" s="1" t="s">
        <v>50</v>
      </c>
    </row>
    <row r="78" spans="4:4">
      <c r="D78" s="1" t="str">
        <f>"contact"&amp;" "&amp;"name="&amp;$A$46&amp;" "&amp;"n.poly"</f>
        <v>contact name=gate n.poly</v>
      </c>
    </row>
    <row r="79" spans="4:4">
      <c r="D79" s="1" t="str">
        <f>"model"&amp;" "&amp;A51&amp;" "&amp;A53&amp;" "&amp;A54</f>
        <v>model mos srh print</v>
      </c>
    </row>
    <row r="80" spans="1:4">
      <c r="A80" s="1" t="s">
        <v>89</v>
      </c>
      <c r="B80" s="1"/>
      <c r="C80" s="1"/>
      <c r="D80" s="1" t="str">
        <f>"method"&amp;" "&amp;" "&amp;"newton"&amp;" "&amp;"gummel"&amp;"carrier=2"</f>
        <v>method  newton gummelcarrier=2</v>
      </c>
    </row>
    <row r="81" spans="1:4">
      <c r="A81" s="1" t="s">
        <v>90</v>
      </c>
      <c r="B81" s="1" t="s">
        <v>91</v>
      </c>
      <c r="C81" s="1"/>
      <c r="D81" s="1" t="s">
        <v>50</v>
      </c>
    </row>
    <row r="82" spans="1:4">
      <c r="A82" s="1" t="s">
        <v>92</v>
      </c>
      <c r="B82" s="1" t="s">
        <v>93</v>
      </c>
      <c r="C82" s="1">
        <v>11.5</v>
      </c>
      <c r="D82" s="1" t="str">
        <f>"solve"&amp;" "&amp;"pre"</f>
        <v>solve pre</v>
      </c>
    </row>
    <row r="83" spans="1:4">
      <c r="A83" s="1" t="s">
        <v>77</v>
      </c>
      <c r="B83" s="1" t="s">
        <v>94</v>
      </c>
      <c r="C83" s="3">
        <f>0.0000000155*1000000</f>
        <v>0.0155</v>
      </c>
      <c r="D83" s="1" t="str">
        <f>"solve"&amp;" "&amp;"init"</f>
        <v>solve init</v>
      </c>
    </row>
    <row r="84" spans="1:4">
      <c r="A84" s="1" t="s">
        <v>95</v>
      </c>
      <c r="B84" s="1" t="s">
        <v>94</v>
      </c>
      <c r="C84" s="1">
        <v>0.32</v>
      </c>
      <c r="D84" s="1" t="str">
        <f>"save"&amp;" "&amp;"outf="&amp;"$"&amp;"'"&amp;"Filename"&amp;"'"&amp;"_init.str"</f>
        <v>save outf=$'Filename'_init.str</v>
      </c>
    </row>
    <row r="85" spans="1:4">
      <c r="A85" s="1" t="s">
        <v>96</v>
      </c>
      <c r="B85" s="1" t="s">
        <v>97</v>
      </c>
      <c r="C85" s="1">
        <v>480</v>
      </c>
      <c r="D85" s="1" t="str">
        <f>"solve"&amp;" "&amp;"v"&amp;$A$45&amp;"="&amp;$A$60</f>
        <v>solve vdrain=0.1</v>
      </c>
    </row>
    <row r="86" spans="1:4">
      <c r="A86" s="1" t="s">
        <v>98</v>
      </c>
      <c r="B86" s="1" t="s">
        <v>99</v>
      </c>
      <c r="C86" s="3">
        <v>1.6e-19</v>
      </c>
      <c r="D86" s="1" t="str">
        <f>"solve"&amp;" "&amp;"v"&amp;$A$45&amp;"="&amp;$A$63</f>
        <v>solve vdrain=5</v>
      </c>
    </row>
    <row r="87" spans="1:4">
      <c r="A87" s="1" t="s">
        <v>100</v>
      </c>
      <c r="B87" s="1" t="s">
        <v>101</v>
      </c>
      <c r="C87" s="3">
        <f>1/(C86*C85*C82)</f>
        <v>1132246376811590</v>
      </c>
      <c r="D87" s="1" t="str">
        <f>"log"&amp;" "&amp;"outf="&amp;"IdVg_"&amp;"$'Filename'_"&amp;$A$63&amp;".log"</f>
        <v>log outf=IdVg_$'Filename'_5.log</v>
      </c>
    </row>
    <row r="88" spans="1:4">
      <c r="A88" s="1" t="s">
        <v>102</v>
      </c>
      <c r="B88" s="1" t="s">
        <v>103</v>
      </c>
      <c r="C88" s="1">
        <v>0.24</v>
      </c>
      <c r="D88" s="1" t="str">
        <f>"solve"&amp;" "&amp;"v"&amp;$A$46&amp;"="&amp;$A$65&amp;" "&amp;"vstep="&amp;$A$60&amp;" "&amp;"vfinal="&amp;$A$63&amp;" "&amp;"name="&amp;$A$46</f>
        <v>solve vgate=-0.1 vstep=0.1 vfinal=5 name=gate</v>
      </c>
    </row>
    <row r="89" spans="1:4">
      <c r="A89" s="1" t="s">
        <v>104</v>
      </c>
      <c r="B89" s="1" t="s">
        <v>103</v>
      </c>
      <c r="C89" s="1">
        <v>0.23</v>
      </c>
      <c r="D89" s="1" t="str">
        <f>"save"&amp;" "&amp;"outf=$'Filename'.str"</f>
        <v>save outf=$'Filename'.str</v>
      </c>
    </row>
    <row r="90" spans="1:4">
      <c r="A90" s="1" t="s">
        <v>105</v>
      </c>
      <c r="B90" s="1" t="s">
        <v>106</v>
      </c>
      <c r="C90" s="3">
        <v>8.85418e-12</v>
      </c>
      <c r="D90" s="1" t="s">
        <v>50</v>
      </c>
    </row>
    <row r="91" spans="1:4">
      <c r="A91" s="1" t="s">
        <v>107</v>
      </c>
      <c r="B91" s="1"/>
      <c r="C91" s="1">
        <v>11.8</v>
      </c>
      <c r="D91" s="1" t="str">
        <f>"solve"&amp;" "&amp;"init"</f>
        <v>solve init</v>
      </c>
    </row>
    <row r="92" spans="1:4">
      <c r="A92" s="1" t="s">
        <v>108</v>
      </c>
      <c r="B92" s="1" t="s">
        <v>101</v>
      </c>
      <c r="C92" s="3">
        <v>4.88094e+18</v>
      </c>
      <c r="D92" s="1" t="str">
        <f>"solve"&amp;" "&amp;"v"&amp;$A$46&amp;"="&amp;$A$67&amp;" "&amp;"v"&amp;$A$45&amp;"="&amp;$A$57</f>
        <v>solve vgate=2 vdrain=0</v>
      </c>
    </row>
    <row r="93" spans="1:4">
      <c r="A93" s="1" t="s">
        <v>109</v>
      </c>
      <c r="B93" s="1"/>
      <c r="C93" s="3">
        <v>15000000000</v>
      </c>
      <c r="D93" s="1" t="str">
        <f>"log"&amp;" "&amp;"outf="&amp;"IdVd_"&amp;"$'Filename'_"&amp;$A$67&amp;".log"</f>
        <v>log outf=IdVd_$'Filename'_2.log</v>
      </c>
    </row>
    <row r="94" spans="1:4">
      <c r="A94" s="1" t="s">
        <v>110</v>
      </c>
      <c r="B94" s="1" t="s">
        <v>111</v>
      </c>
      <c r="C94" s="3" t="str">
        <f>TEXT(LN(C87*C92/(C93*C93))*0.0259,"0.00000")</f>
        <v>0.79855</v>
      </c>
      <c r="D94" s="1" t="str">
        <f>"solve"&amp;" "&amp;"v"&amp;$A$46&amp;"="&amp;$A$65&amp;" "&amp;"vstep="&amp;$A$60&amp;" "&amp;"vfinal="&amp;$A$63&amp;" "&amp;"name="&amp;$A$45</f>
        <v>solve vgate=-0.1 vstep=0.1 vfinal=5 name=drain</v>
      </c>
    </row>
    <row r="95" spans="4:4">
      <c r="D95" s="1" t="s">
        <v>50</v>
      </c>
    </row>
    <row r="96" spans="4:4">
      <c r="D96" s="1" t="str">
        <f>"solve"&amp;" "&amp;"init"</f>
        <v>solve init</v>
      </c>
    </row>
    <row r="97" spans="4:4">
      <c r="D97" s="1" t="str">
        <f>"solve"&amp;" "&amp;"v"&amp;$A$46&amp;"="&amp;$A$68&amp;" "&amp;"v"&amp;$A$45&amp;"="&amp;$A$57</f>
        <v>solve vgate=3 vdrain=0</v>
      </c>
    </row>
    <row r="98" spans="4:4">
      <c r="D98" s="1" t="str">
        <f>"log"&amp;" "&amp;"outf="&amp;"IdVd_"&amp;"$'Filename'_"&amp;$A$68&amp;".log"</f>
        <v>log outf=IdVd_$'Filename'_3.log</v>
      </c>
    </row>
    <row r="99" spans="4:4">
      <c r="D99" s="1" t="str">
        <f>"solve"&amp;" "&amp;"v"&amp;$A$46&amp;"="&amp;$A$65&amp;" "&amp;"vstep="&amp;$A$60&amp;" "&amp;"vfinal="&amp;$A$63&amp;" "&amp;"name="&amp;$A$45</f>
        <v>solve vgate=-0.1 vstep=0.1 vfinal=5 name=drain</v>
      </c>
    </row>
    <row r="100" spans="4:4">
      <c r="D100" s="1" t="s">
        <v>50</v>
      </c>
    </row>
    <row r="101" spans="4:4">
      <c r="D101" s="1" t="str">
        <f>"solve"&amp;" "&amp;"init"</f>
        <v>solve init</v>
      </c>
    </row>
    <row r="102" spans="4:4">
      <c r="D102" s="1" t="str">
        <f>"solve"&amp;" "&amp;"v"&amp;$A$46&amp;"="&amp;$A$69&amp;" "&amp;"v"&amp;$A$45&amp;"="&amp;$A$57</f>
        <v>solve vgate=4 vdrain=0</v>
      </c>
    </row>
    <row r="103" spans="4:4">
      <c r="D103" s="1" t="str">
        <f>"log"&amp;" "&amp;"outf="&amp;"IdVd_"&amp;"$'Filename'_"&amp;$A$69&amp;".log"</f>
        <v>log outf=IdVd_$'Filename'_4.log</v>
      </c>
    </row>
    <row r="104" spans="4:4">
      <c r="D104" s="1" t="str">
        <f>"solve"&amp;" "&amp;"v"&amp;$A$46&amp;"="&amp;$A$65&amp;" "&amp;"vstep="&amp;$A$60&amp;" "&amp;"vfinal="&amp;$A$63&amp;" "&amp;"name="&amp;$A$45</f>
        <v>solve vgate=-0.1 vstep=0.1 vfinal=5 name=drain</v>
      </c>
    </row>
    <row r="105" spans="4:4">
      <c r="D105" s="1" t="s">
        <v>50</v>
      </c>
    </row>
    <row r="106" spans="4:4">
      <c r="D106" s="1" t="str">
        <f>"tonyplot"&amp;" "&amp;"IdVg_$"&amp;"'Filename'_"&amp;A66&amp;".log"</f>
        <v>tonyplot IdVg_$'Filename'_5.log</v>
      </c>
    </row>
    <row r="107" spans="4:4">
      <c r="D107" s="1" t="str">
        <f>"tonyplot"&amp;" "&amp;"-overlay"&amp;" "&amp;"IdVd_"&amp;"$"&amp;"'Filename'_"&amp;$A$67&amp;".log"&amp;" "&amp;"IdVd_"&amp;"$"&amp;"'Filename'_"&amp;$A$68&amp;".log"&amp;" "&amp;"IdVd_"&amp;"$'Filename'_"&amp;$A$69&amp;".log"</f>
        <v>tonyplot -overlay IdVd_$'Filename'_2.log IdVd_$'Filename'_3.log IdVd_$'Filename'_4.log</v>
      </c>
    </row>
    <row r="108" spans="4:4">
      <c r="D108" s="1" t="str">
        <f>"tonyplot3d"&amp;" "&amp;"$'Filename'_init.str"</f>
        <v>tonyplot3d $'Filename'_init.str</v>
      </c>
    </row>
    <row r="109" spans="4:4">
      <c r="D109" s="1" t="s">
        <v>112</v>
      </c>
    </row>
  </sheetData>
  <hyperlinks>
    <hyperlink ref="A9" r:id="rId1" display="act.edge@D.poly"/>
    <hyperlink ref="A11" r:id="rId2" display="edge@S.poly"/>
    <hyperlink ref="A12" r:id="rId3" display="act.edge@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SILVACO_ann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teiga</cp:lastModifiedBy>
  <dcterms:created xsi:type="dcterms:W3CDTF">2023-10-27T01:29:35Z</dcterms:created>
  <dcterms:modified xsi:type="dcterms:W3CDTF">2023-10-27T01:30:28Z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15722F93D5A948DE9FF705EC79BB5F0F</vt:lpwstr>
  </property>
  <property fmtid="{D5CDD505-2E9C-101B-9397-08002B2CF9AE}" pid="3" name="KSOProductBuildVer">
    <vt:lpwstr>2052-11.1.0.12763</vt:lpwstr>
  </property>
</Properties>
</file>