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Docet\Corso_Excel\Excel_Base_Avanzato\eserciziario_excel2016\Documenti_di alvoro_excel2016\documento26\"/>
    </mc:Choice>
  </mc:AlternateContent>
  <xr:revisionPtr revIDLastSave="0" documentId="13_ncr:1_{DE1224B7-7CFB-4A07-8E2C-CF3562348372}" xr6:coauthVersionLast="47" xr6:coauthVersionMax="47" xr10:uidLastSave="{00000000-0000-0000-0000-000000000000}"/>
  <bookViews>
    <workbookView xWindow="-120" yWindow="-120" windowWidth="29040" windowHeight="15840" firstSheet="1" activeTab="9" xr2:uid="{45271586-0E0F-49D6-9468-D31D65B8D8AC}"/>
  </bookViews>
  <sheets>
    <sheet name="SUM" sheetId="1" r:id="rId1"/>
    <sheet name="CONTA" sheetId="5" r:id="rId2"/>
    <sheet name="MEDIA e MEDIA.SE" sheetId="4" r:id="rId3"/>
    <sheet name="MEDIA.PIU.SE" sheetId="3" r:id="rId4"/>
    <sheet name="TEXTSPLIT" sheetId="6" r:id="rId5"/>
    <sheet name="VLOOKUP" sheetId="7" r:id="rId6"/>
    <sheet name="Sheet1" sheetId="13" r:id="rId7"/>
    <sheet name="CONCAT" sheetId="8" r:id="rId8"/>
    <sheet name="HLOOKUP" sheetId="9" r:id="rId9"/>
    <sheet name="XLOOKUP" sheetId="10" r:id="rId10"/>
    <sheet name="XLOOKUP 2" sheetId="11" r:id="rId11"/>
    <sheet name="FIND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" i="10" l="1"/>
  <c r="B32" i="10" a="1"/>
  <c r="B32" i="10" s="1"/>
  <c r="B31" i="10" a="1"/>
  <c r="B31" i="10" s="1"/>
  <c r="B14" i="10"/>
  <c r="F18" i="9"/>
  <c r="E18" i="9"/>
  <c r="E7" i="9"/>
  <c r="O22" i="7" a="1"/>
  <c r="O22" i="7" s="1"/>
  <c r="D32" i="7"/>
  <c r="J23" i="7"/>
  <c r="D23" i="7"/>
  <c r="E32" i="6" a="1"/>
  <c r="E32" i="6" s="1"/>
  <c r="E22" i="6" a="1"/>
  <c r="E22" i="6" s="1"/>
  <c r="E21" i="6" a="1"/>
  <c r="E21" i="6" s="1"/>
  <c r="E20" i="6" a="1"/>
  <c r="E20" i="6" s="1"/>
  <c r="B12" i="6" a="1"/>
  <c r="B12" i="6" s="1"/>
  <c r="B11" i="6" a="1"/>
  <c r="B11" i="6" s="1"/>
  <c r="B10" i="6" a="1"/>
  <c r="B10" i="6" s="1"/>
  <c r="C1" i="6" a="1"/>
  <c r="C1" i="6" s="1"/>
  <c r="A9" i="3"/>
  <c r="C22" i="4"/>
  <c r="C21" i="4"/>
  <c r="C20" i="4"/>
  <c r="J3" i="4"/>
  <c r="I3" i="4"/>
  <c r="H3" i="4" s="1"/>
  <c r="M3" i="4"/>
  <c r="D12" i="5"/>
  <c r="G6" i="5"/>
  <c r="E6" i="5"/>
  <c r="H9" i="1"/>
  <c r="H8" i="1"/>
  <c r="F2" i="12"/>
  <c r="G2" i="12"/>
  <c r="E2" i="12"/>
  <c r="D2" i="12"/>
  <c r="C2" i="12"/>
  <c r="C68" i="10" a="1"/>
  <c r="C68" i="10" s="1"/>
  <c r="D68" i="10" a="1"/>
  <c r="D68" i="10" s="1"/>
  <c r="B68" i="10" a="1"/>
  <c r="B68" i="10" s="1"/>
  <c r="E3" i="11" a="1"/>
  <c r="E3" i="11" s="1"/>
  <c r="F3" i="11" a="1"/>
  <c r="F3" i="11" s="1"/>
  <c r="D3" i="11" a="1"/>
  <c r="D3" i="11" s="1"/>
  <c r="G16" i="11"/>
  <c r="G14" i="11"/>
  <c r="G12" i="11"/>
  <c r="G11" i="11"/>
  <c r="G10" i="11"/>
  <c r="G8" i="11"/>
  <c r="G7" i="11"/>
  <c r="G6" i="11"/>
  <c r="F64" i="10"/>
  <c r="F62" i="10"/>
  <c r="F59" i="10"/>
  <c r="F60" i="10"/>
  <c r="F58" i="10"/>
  <c r="F56" i="10"/>
  <c r="F55" i="10"/>
  <c r="F54" i="10"/>
  <c r="B45" i="10"/>
  <c r="B15" i="10"/>
  <c r="E24" i="9"/>
  <c r="E12" i="9"/>
  <c r="E13" i="8"/>
  <c r="E12" i="8"/>
  <c r="E9" i="8"/>
  <c r="E6" i="8"/>
  <c r="K32" i="7"/>
  <c r="C8" i="7" a="1"/>
  <c r="C8" i="7" s="1"/>
  <c r="C9" i="7" a="1"/>
  <c r="C9" i="7" s="1"/>
  <c r="C10" i="7" a="1"/>
  <c r="C10" i="7" s="1"/>
  <c r="F10" i="7" s="1"/>
  <c r="C11" i="7" a="1"/>
  <c r="C11" i="7" s="1"/>
  <c r="C2" i="7" a="1"/>
  <c r="C2" i="7" s="1"/>
  <c r="C3" i="7" a="1"/>
  <c r="C3" i="7" s="1"/>
  <c r="F3" i="7" s="1"/>
  <c r="C4" i="7" a="1"/>
  <c r="C4" i="7" s="1"/>
  <c r="C5" i="7" a="1"/>
  <c r="C5" i="7" s="1"/>
  <c r="C1" i="7" a="1"/>
  <c r="C1" i="7" s="1"/>
  <c r="C4" i="6" a="1"/>
  <c r="C4" i="6" s="1"/>
  <c r="C5" i="6" a="1"/>
  <c r="C5" i="6" s="1"/>
  <c r="C6" i="6" a="1"/>
  <c r="C6" i="6" s="1"/>
  <c r="C3" i="6" a="1"/>
  <c r="C3" i="6" s="1"/>
  <c r="H1" i="6" a="1"/>
  <c r="H1" i="6" s="1"/>
  <c r="B15" i="6" a="1"/>
  <c r="B15" i="6" s="1"/>
  <c r="B9" i="6" a="1"/>
  <c r="B9" i="6" s="1"/>
  <c r="E27" i="6" a="1"/>
  <c r="E27" i="6" s="1"/>
  <c r="E23" i="6" a="1"/>
  <c r="E23" i="6" s="1"/>
  <c r="E19" i="6" a="1"/>
  <c r="E19" i="6" s="1"/>
  <c r="C17" i="4"/>
  <c r="H7" i="5"/>
  <c r="G7" i="5"/>
  <c r="E8" i="5"/>
  <c r="E7" i="5"/>
  <c r="D6" i="5"/>
  <c r="A10" i="3"/>
  <c r="H6" i="5"/>
  <c r="F8" i="5"/>
  <c r="D7" i="5"/>
  <c r="D3" i="5"/>
  <c r="D2" i="5"/>
  <c r="C19" i="4"/>
  <c r="E17" i="4"/>
  <c r="D17" i="4"/>
  <c r="E16" i="4"/>
  <c r="D16" i="4"/>
  <c r="C16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  <c r="H7" i="4"/>
  <c r="G7" i="4"/>
  <c r="H6" i="4"/>
  <c r="G6" i="4"/>
  <c r="H5" i="4"/>
  <c r="G5" i="4"/>
  <c r="H4" i="4"/>
  <c r="G4" i="4"/>
  <c r="G3" i="4"/>
  <c r="H7" i="1"/>
  <c r="F6" i="5" l="1"/>
  <c r="F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Borsato</author>
    <author>valter borsato</author>
    <author>Valter</author>
  </authors>
  <commentList>
    <comment ref="G3" authorId="0" shapeId="0" xr:uid="{98ED7335-AC1B-46A7-B66A-735BC4F8F53B}">
      <text>
        <r>
          <rPr>
            <sz val="9"/>
            <color indexed="81"/>
            <rFont val="Tahoma"/>
            <family val="2"/>
          </rPr>
          <t xml:space="preserve">pierluigi salera:
</t>
        </r>
        <r>
          <rPr>
            <sz val="14"/>
            <color indexed="81"/>
            <rFont val="Tahoma"/>
            <family val="2"/>
          </rPr>
          <t>=C3+D3+E3</t>
        </r>
      </text>
    </comment>
    <comment ref="H3" authorId="1" shapeId="0" xr:uid="{0203D2F1-9024-4BC9-94AC-847CF9089E22}">
      <text>
        <r>
          <rPr>
            <sz val="10"/>
            <color indexed="81"/>
            <rFont val="Tahoma"/>
            <family val="2"/>
          </rPr>
          <t xml:space="preserve">pierluigi salera:
</t>
        </r>
        <r>
          <rPr>
            <sz val="14"/>
            <color indexed="81"/>
            <rFont val="Tahoma"/>
            <family val="2"/>
          </rPr>
          <t>=(C3+D3+E3)/3</t>
        </r>
      </text>
    </comment>
    <comment ref="C16" authorId="2" shapeId="0" xr:uid="{BAC3CB4E-086C-43A8-9B7B-41B1A2448468}">
      <text>
        <r>
          <rPr>
            <sz val="9"/>
            <color indexed="81"/>
            <rFont val="Tahoma"/>
            <family val="2"/>
          </rPr>
          <t xml:space="preserve">pierluigi salera:
</t>
        </r>
        <r>
          <rPr>
            <sz val="14"/>
            <color indexed="81"/>
            <rFont val="Tahoma"/>
            <family val="2"/>
          </rPr>
          <t>=SOMMA(C3:C14)</t>
        </r>
      </text>
    </comment>
    <comment ref="C17" authorId="2" shapeId="0" xr:uid="{FF9BAD99-4396-4710-86A6-AFC214A09DC7}">
      <text>
        <r>
          <rPr>
            <sz val="9"/>
            <color indexed="81"/>
            <rFont val="Tahoma"/>
            <family val="2"/>
          </rPr>
          <t xml:space="preserve">pierluigi salera:
</t>
        </r>
        <r>
          <rPr>
            <sz val="14"/>
            <color indexed="81"/>
            <rFont val="Tahoma"/>
            <family val="2"/>
          </rPr>
          <t>=MEDIA(C3:C14)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<sst xmlns="http://schemas.openxmlformats.org/spreadsheetml/2006/main" count="276" uniqueCount="202">
  <si>
    <t>SOMMA</t>
  </si>
  <si>
    <t>agenzia Alfa</t>
  </si>
  <si>
    <t xml:space="preserve">agenzia Beta </t>
  </si>
  <si>
    <t>agenzia Gamma</t>
  </si>
  <si>
    <t>Totale</t>
  </si>
  <si>
    <t>Media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</si>
  <si>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</si>
  <si>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</si>
  <si>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</si>
  <si>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</si>
  <si>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</si>
  <si>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</si>
  <si>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</si>
  <si>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</si>
  <si>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</si>
  <si>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</si>
  <si>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</si>
  <si>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</si>
  <si>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Media Formula</t>
  </si>
  <si>
    <t>MEDIA.SE</t>
  </si>
  <si>
    <t>MEDIA.SE Formula</t>
  </si>
  <si>
    <t>numero 1</t>
  </si>
  <si>
    <t>numero 2</t>
  </si>
  <si>
    <t>Somma</t>
  </si>
  <si>
    <t>Conta</t>
  </si>
  <si>
    <t>Conta SE</t>
  </si>
  <si>
    <t>Conta PIU SE</t>
  </si>
  <si>
    <t>Tipo</t>
  </si>
  <si>
    <t>Prezzo</t>
  </si>
  <si>
    <t>Città</t>
  </si>
  <si>
    <t>Numero di camere</t>
  </si>
  <si>
    <t>Garage?</t>
  </si>
  <si>
    <t>Confortevole ranch</t>
  </si>
  <si>
    <t>Issaquah</t>
  </si>
  <si>
    <t>No</t>
  </si>
  <si>
    <t>Accogliente bungalow</t>
  </si>
  <si>
    <t>Bellevue</t>
  </si>
  <si>
    <t>Sì</t>
  </si>
  <si>
    <t>Splendido cottage</t>
  </si>
  <si>
    <t>Meravigliosa soluzione a due livelli</t>
  </si>
  <si>
    <t>Prestigiosa soluzione in stile Tudor</t>
  </si>
  <si>
    <t>Elegante casa coloniale</t>
  </si>
  <si>
    <t>Prezzo medio di un appartamento a Bellevue con almeno 3 
camere da letto e un garage</t>
  </si>
  <si>
    <t>Prezzo medio di un appartamento a Issaquah con un massimo 
di 3 camere da letto e senza garage</t>
  </si>
  <si>
    <t>Media 1</t>
  </si>
  <si>
    <t>Media 2</t>
  </si>
  <si>
    <t>MEDIA.SE Formula 2</t>
  </si>
  <si>
    <t>| Codice  |  Prodotto   |</t>
  </si>
  <si>
    <t>|---------|-------------|</t>
  </si>
  <si>
    <t>|  001    | T-Shirt     |</t>
  </si>
  <si>
    <t>|  002    | Pantaloni   |</t>
  </si>
  <si>
    <t>|  003    | Scarpe      |</t>
  </si>
  <si>
    <t>|  004    | Cappello    |</t>
  </si>
  <si>
    <t>Essere o non essere</t>
  </si>
  <si>
    <t>=TEXTSPLIT(text,col_delimiter,[row_delimiter],[ignore_empty], [match_mode], [pad_with])</t>
  </si>
  <si>
    <t>1,2,3;4,5,6</t>
  </si>
  <si>
    <t>Fare. O non fare. Non c’è provare. -Anonimo</t>
  </si>
  <si>
    <t>| Codice  |  Prezzo     |</t>
  </si>
  <si>
    <t>|  001    | 19.99       |</t>
  </si>
  <si>
    <t>|  002    | 39.99       |</t>
  </si>
  <si>
    <t>|  004    | 9.99        |</t>
  </si>
  <si>
    <t>ID</t>
  </si>
  <si>
    <t>Last Name</t>
  </si>
  <si>
    <t>First Name</t>
  </si>
  <si>
    <t>Title</t>
  </si>
  <si>
    <t>Birth date</t>
  </si>
  <si>
    <t>Davis</t>
  </si>
  <si>
    <t>Sara</t>
  </si>
  <si>
    <t>Sales Rep</t>
  </si>
  <si>
    <t>Fontana</t>
  </si>
  <si>
    <t>Olivier</t>
  </si>
  <si>
    <t>VP Sales</t>
  </si>
  <si>
    <t>Leal</t>
  </si>
  <si>
    <t>Karina</t>
  </si>
  <si>
    <t>Patten</t>
  </si>
  <si>
    <t>Michael</t>
  </si>
  <si>
    <t>Burke</t>
  </si>
  <si>
    <t>Brian</t>
  </si>
  <si>
    <t>Sales Manager</t>
  </si>
  <si>
    <t>Sousa</t>
  </si>
  <si>
    <t>Luis</t>
  </si>
  <si>
    <t>Formula</t>
  </si>
  <si>
    <t>VLOOKUP looks for Fontana in the first Column (Column D) in table array D15:G20, and returns Olivier from the second column of table array (Column D). FALSE returns an exact match</t>
  </si>
  <si>
    <t>"= VLOOKUP(D16;D15:G20;2;FALSE)"</t>
  </si>
  <si>
    <t>VLOOKUP looks for an exact match (FALSE) of the Last Name column for 102 (lookup_value) in the second column (Column D) in the C15:G20 range, and returns Fontana</t>
  </si>
  <si>
    <t>"= VLOOKUP(102;C15:G20;2;FALSE)"</t>
  </si>
  <si>
    <t>"= IF(VLOOKUP(103;D15:G20;2;FALSE)="Sousa";"Located";"Not Found")"</t>
  </si>
  <si>
    <t>IF checks to see if VLOOKUP returns "Sousa" as the last name of employee corresponding to 103 (lookup_value) in C15:G20 (table_array). Because the Last Name corresponding to 103 is Leal, the IF condition is false and "Not Found" is displayed</t>
  </si>
  <si>
    <t>"=TEXT(VLOOKUP(105;C15:G20;5;FALSE);"dd-mm-yy")"</t>
  </si>
  <si>
    <t>Data</t>
  </si>
  <si>
    <t>Last name</t>
  </si>
  <si>
    <t>brook trout</t>
  </si>
  <si>
    <t>Andreas</t>
  </si>
  <si>
    <t>Hauser</t>
  </si>
  <si>
    <t>species</t>
  </si>
  <si>
    <t>Fourth</t>
  </si>
  <si>
    <t>Pine</t>
  </si>
  <si>
    <t>"=CONCAT("Stream population for "; A2;" "; A3; " is "; A4; "/mile.")"</t>
  </si>
  <si>
    <t>"=CONCAT(B2; " "; C2)"</t>
  </si>
  <si>
    <t>"=CONCAT(B3; " &amp; " ; C3)"</t>
  </si>
  <si>
    <t>Axles</t>
  </si>
  <si>
    <t>Bearings</t>
  </si>
  <si>
    <t>Bolts</t>
  </si>
  <si>
    <t>"=HLOOKUP("Axles", A1:C4, 2, TRUE)"</t>
  </si>
  <si>
    <t>Looks up "Axles" in row 1, and returns the value from row 2 that's in the same column (column A).</t>
  </si>
  <si>
    <t>"=HLOOKUP(Bearings"; A1:C4; 3; FALSE)"</t>
  </si>
  <si>
    <t>Looks up "Bearings" in row 1, and returns the value from row 3 that's in the same column (column B).</t>
  </si>
  <si>
    <t>"=HLOOKUP("B"; A1:C4; 3; TRUE)"</t>
  </si>
  <si>
    <t>Looks up "B" in row 1, and returns the value from row 3 that's in the same column. Because an exact match for "B" is not found, the largest value in row 1 that is less than "B" is used: "Axles," in column A.</t>
  </si>
  <si>
    <t>"=HLOOKUP("Bolts"; A1:C4; 4)"</t>
  </si>
  <si>
    <t>Looks up "Bolts" in row 1, and returns the value from row 4 that's in the same column (column C).</t>
  </si>
  <si>
    <t>Country</t>
  </si>
  <si>
    <t>Abr</t>
  </si>
  <si>
    <t>Prefix</t>
  </si>
  <si>
    <t>China</t>
  </si>
  <si>
    <t>IN</t>
  </si>
  <si>
    <t>CN</t>
  </si>
  <si>
    <t>+86</t>
  </si>
  <si>
    <t>India</t>
  </si>
  <si>
    <t>+91</t>
  </si>
  <si>
    <t>U.S.</t>
  </si>
  <si>
    <t>US</t>
  </si>
  <si>
    <t>Indonesia</t>
  </si>
  <si>
    <t>+1</t>
  </si>
  <si>
    <t>+62</t>
  </si>
  <si>
    <t>Brazil</t>
  </si>
  <si>
    <t>BR</t>
  </si>
  <si>
    <t>+55</t>
  </si>
  <si>
    <t>Pakistan</t>
  </si>
  <si>
    <t>PK</t>
  </si>
  <si>
    <t>+92</t>
  </si>
  <si>
    <t>Nigeria</t>
  </si>
  <si>
    <t>NG</t>
  </si>
  <si>
    <t>+234</t>
  </si>
  <si>
    <t>Bangladesh</t>
  </si>
  <si>
    <t>BD</t>
  </si>
  <si>
    <t>+880</t>
  </si>
  <si>
    <t>Russia</t>
  </si>
  <si>
    <t>RU</t>
  </si>
  <si>
    <t>+7</t>
  </si>
  <si>
    <t>Mexico</t>
  </si>
  <si>
    <t>MX</t>
  </si>
  <si>
    <t>+52</t>
  </si>
  <si>
    <t>What is the dial code?</t>
  </si>
  <si>
    <t>XLOOKUP</t>
  </si>
  <si>
    <t>VLOOKUP</t>
  </si>
  <si>
    <t>Emp ID</t>
  </si>
  <si>
    <t>Dep</t>
  </si>
  <si>
    <t>Name</t>
  </si>
  <si>
    <t>Ned Lanning</t>
  </si>
  <si>
    <t>Marketing</t>
  </si>
  <si>
    <t>Margo Hendrix</t>
  </si>
  <si>
    <t>Sales</t>
  </si>
  <si>
    <t>Dianne Pugh</t>
  </si>
  <si>
    <t>Finance</t>
  </si>
  <si>
    <t>Earlene McCarty</t>
  </si>
  <si>
    <t>Accounting</t>
  </si>
  <si>
    <t>Mia Arnold</t>
  </si>
  <si>
    <t>Operations</t>
  </si>
  <si>
    <t>Jorge Fellows</t>
  </si>
  <si>
    <t>Executive</t>
  </si>
  <si>
    <t>Rose Winters</t>
  </si>
  <si>
    <t>Carmela Hahn</t>
  </si>
  <si>
    <t>Delia Cochran</t>
  </si>
  <si>
    <t>Maruerite Cervantes</t>
  </si>
  <si>
    <t>Tax Rate</t>
  </si>
  <si>
    <t>Max Income</t>
  </si>
  <si>
    <t>Income</t>
  </si>
  <si>
    <r>
      <t xml:space="preserve">Looks in column B for the personal income entered in cell A44, and finds a matching tax rate in column B. It sets the </t>
    </r>
    <r>
      <rPr>
        <b/>
        <sz val="11"/>
        <color theme="1"/>
        <rFont val="Calibri"/>
        <family val="2"/>
        <scheme val="minor"/>
      </rPr>
      <t>if_not_found</t>
    </r>
    <r>
      <rPr>
        <sz val="11"/>
        <color theme="1"/>
        <rFont val="Calibri"/>
        <family val="2"/>
        <scheme val="minor"/>
      </rPr>
      <t xml:space="preserve"> argument to return </t>
    </r>
    <r>
      <rPr>
        <b/>
        <sz val="11"/>
        <color theme="1"/>
        <rFont val="Calibri"/>
        <family val="2"/>
        <scheme val="minor"/>
      </rPr>
      <t>0 (zero) if nothing is found</t>
    </r>
    <r>
      <rPr>
        <sz val="11"/>
        <color theme="1"/>
        <rFont val="Calibri"/>
        <family val="2"/>
        <scheme val="minor"/>
      </rPr>
      <t xml:space="preserve">. The </t>
    </r>
    <r>
      <rPr>
        <b/>
        <sz val="11"/>
        <color theme="1"/>
        <rFont val="Calibri"/>
        <family val="2"/>
        <scheme val="minor"/>
      </rPr>
      <t>match_mode</t>
    </r>
    <r>
      <rPr>
        <sz val="11"/>
        <color theme="1"/>
        <rFont val="Calibri"/>
        <family val="2"/>
        <scheme val="minor"/>
      </rPr>
      <t xml:space="preserve"> argument is</t>
    </r>
    <r>
      <rPr>
        <b/>
        <sz val="11"/>
        <color theme="1"/>
        <rFont val="Calibri"/>
        <family val="2"/>
        <scheme val="minor"/>
      </rPr>
      <t xml:space="preserve"> set to 1, </t>
    </r>
    <r>
      <rPr>
        <sz val="11"/>
        <color theme="1"/>
        <rFont val="Calibri"/>
        <family val="2"/>
        <scheme val="minor"/>
      </rPr>
      <t>which means the function will look for an exact match, and if it can't find one,</t>
    </r>
    <r>
      <rPr>
        <b/>
        <sz val="11"/>
        <color theme="1"/>
        <rFont val="Calibri"/>
        <family val="2"/>
        <scheme val="minor"/>
      </rPr>
      <t xml:space="preserve"> it returns the next larger item.</t>
    </r>
    <r>
      <rPr>
        <sz val="11"/>
        <color theme="1"/>
        <rFont val="Calibri"/>
        <family val="2"/>
        <scheme val="minor"/>
      </rPr>
      <t xml:space="preserve"> Finally, the </t>
    </r>
    <r>
      <rPr>
        <b/>
        <sz val="11"/>
        <color theme="1"/>
        <rFont val="Calibri"/>
        <family val="2"/>
        <scheme val="minor"/>
      </rPr>
      <t>search_mode</t>
    </r>
    <r>
      <rPr>
        <sz val="11"/>
        <color theme="1"/>
        <rFont val="Calibri"/>
        <family val="2"/>
        <scheme val="minor"/>
      </rPr>
      <t xml:space="preserve"> argument is </t>
    </r>
    <r>
      <rPr>
        <b/>
        <sz val="11"/>
        <color theme="1"/>
        <rFont val="Calibri"/>
        <family val="2"/>
        <scheme val="minor"/>
      </rPr>
      <t>set to 1</t>
    </r>
    <r>
      <rPr>
        <sz val="11"/>
        <color theme="1"/>
        <rFont val="Calibri"/>
        <family val="2"/>
        <scheme val="minor"/>
      </rPr>
      <t>, which means the function will search from the first item to the last.</t>
    </r>
  </si>
  <si>
    <t>Income St.</t>
  </si>
  <si>
    <t>Qrt1</t>
  </si>
  <si>
    <t>Qrt2</t>
  </si>
  <si>
    <t>Qrt3</t>
  </si>
  <si>
    <t>Qrt4</t>
  </si>
  <si>
    <t>Tot</t>
  </si>
  <si>
    <t>Total Sales</t>
  </si>
  <si>
    <t>Cost of Sales</t>
  </si>
  <si>
    <t>Gross Profit</t>
  </si>
  <si>
    <t>Depreciation</t>
  </si>
  <si>
    <t>Interest</t>
  </si>
  <si>
    <t>Earn Bef Tax</t>
  </si>
  <si>
    <t>Tax</t>
  </si>
  <si>
    <t>Net Profit</t>
  </si>
  <si>
    <t>Profit %</t>
  </si>
  <si>
    <t>Quarter</t>
  </si>
  <si>
    <t>Miriam McGovern</t>
  </si>
  <si>
    <t>FIND "M"</t>
  </si>
  <si>
    <t>FIND "m"</t>
  </si>
  <si>
    <t>FIND "M" from 3^ char</t>
  </si>
  <si>
    <t>Ceramic Insulators #124-TD45-87</t>
  </si>
  <si>
    <t>Copper Coils #12-671-6772</t>
  </si>
  <si>
    <t>Variable Resistors #116010</t>
  </si>
  <si>
    <t>SEARCH "m"</t>
  </si>
  <si>
    <t>SEARCH "M"</t>
  </si>
  <si>
    <t>CONTA.PIU.SE</t>
  </si>
  <si>
    <t>VLOOKUP (lookup_value, table_array, col_index_num, [range_lookup])</t>
  </si>
  <si>
    <t>Lea</t>
  </si>
  <si>
    <t>CF</t>
  </si>
  <si>
    <t>Data Nascita</t>
  </si>
  <si>
    <t>Indirizzo</t>
  </si>
  <si>
    <t>Nome</t>
  </si>
  <si>
    <t>Cognome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</si>
</sst>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164" formatCode="_-* #,##0.00_-;\-* #,##0.00_-;_-* &quot;-&quot;??_-;_-@_-"/>
    <numFmt numFmtId="165" formatCode="_-[$€-410]\ * #,##0.00_-;\-[$€-410]\ * #,##0.00_-;_-[$€-410]\ * &quot;-&quot;??_-;_-@_-"/>
    <numFmt numFmtId="166" formatCode="_-&quot;€&quot;\ * #,##0.00_-;\-&quot;€&quot;\ * #,##0.00_-;_-&quot;€&quot;\ * &quot;-&quot;??_-;_-@_-"/>
    <numFmt numFmtId="167" formatCode="_-* #,##0.00\ [$€-410]_-;\-* #,##0.00\ [$€-410]_-;_-* &quot;-&quot;??\ [$€-410]_-;_-@_-"/>
    <numFmt numFmtId="168" formatCode="&quot;€&quot;\ #,##0.00"/>
    <numFmt numFmtId="169" formatCode="&quot;$&quot;#,##0.0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9"/>
      <color indexed="81"/>
      <name val="Tahoma"/>
      <family val="2"/>
    </font>
    <font>
      <sz val="14"/>
      <color indexed="81"/>
      <name val="Tahoma"/>
      <family val="2"/>
    </font>
    <font>
      <sz val="10"/>
      <color indexed="81"/>
      <name val="Tahoma"/>
      <family val="2"/>
    </font>
    <font>
      <sz val="10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7.600000000000001"/>
      <color rgb="FF393939"/>
      <name val="Segoe UI"/>
      <family val="2"/>
    </font>
    <font>
      <sz val="17.600000000000001"/>
      <color rgb="FF1E1E1E"/>
      <name val="Segoe UI"/>
      <family val="2"/>
    </font>
    <font>
      <sz val="12"/>
      <color rgb="FF1E1E1E"/>
      <name val="Segoe UI"/>
      <family val="2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E1E1E"/>
      <name val="Segoe UI"/>
      <family val="2"/>
    </font>
    <font>
      <b/>
      <sz val="14"/>
      <color rgb="FF393939"/>
      <name val="Calibri"/>
      <family val="2"/>
      <scheme val="minor"/>
    </font>
    <font>
      <sz val="14"/>
      <color rgb="FF1E1E1E"/>
      <name val="Calibri"/>
      <family val="2"/>
      <scheme val="minor"/>
    </font>
    <font>
      <sz val="14"/>
      <color rgb="FF363636"/>
      <name val="Calibri"/>
      <family val="2"/>
      <scheme val="minor"/>
    </font>
    <font>
      <b/>
      <sz val="12"/>
      <color rgb="FF1E1E1E"/>
      <name val="Segoe UI"/>
      <family val="2"/>
    </font>
    <font>
      <b/>
      <sz val="14"/>
      <color rgb="FF393939"/>
      <name val="Calibri Light"/>
      <family val="2"/>
      <scheme val="major"/>
    </font>
    <font>
      <sz val="14"/>
      <color rgb="FF1E1E1E"/>
      <name val="Calibri Light"/>
      <family val="2"/>
      <scheme val="major"/>
    </font>
    <font>
      <b/>
      <sz val="10"/>
      <color rgb="FF141414"/>
      <name val="Tenorite (Body)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CCCCCC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8" fillId="0" borderId="0"/>
  </cellStyleXfs>
  <cellXfs count="89">
    <xf numFmtId="0" fontId="0" fillId="0" borderId="0" xfId="0"/>
    <xf numFmtId="0" fontId="2" fillId="0" borderId="1" xfId="0" applyFont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2" borderId="1" xfId="0" applyFont="1" applyFill="1" applyBorder="1" applyProtection="1">
      <protection locked="0"/>
    </xf>
    <xf numFmtId="165" fontId="2" fillId="0" borderId="1" xfId="1" applyNumberFormat="1" applyFont="1" applyBorder="1" applyProtection="1"/>
    <xf numFmtId="0" fontId="4" fillId="0" borderId="0" xfId="0" applyFont="1" applyProtection="1">
      <protection locked="0"/>
    </xf>
    <xf numFmtId="165" fontId="2" fillId="0" borderId="1" xfId="1" applyNumberFormat="1" applyFont="1" applyBorder="1" applyProtection="1">
      <protection locked="0"/>
    </xf>
    <xf numFmtId="0" fontId="3" fillId="0" borderId="0" xfId="0" applyFont="1" applyProtection="1">
      <protection locked="0"/>
    </xf>
    <xf numFmtId="166" fontId="2" fillId="0" borderId="0" xfId="2" applyFont="1" applyProtection="1">
      <protection locked="0"/>
    </xf>
    <xf numFmtId="0" fontId="3" fillId="0" borderId="1" xfId="0" applyFont="1" applyBorder="1" applyProtection="1">
      <protection locked="0"/>
    </xf>
    <xf numFmtId="166" fontId="2" fillId="0" borderId="1" xfId="0" applyNumberFormat="1" applyFont="1" applyBorder="1"/>
    <xf numFmtId="167" fontId="2" fillId="0" borderId="0" xfId="0" applyNumberFormat="1" applyFont="1" applyProtection="1">
      <protection locked="0"/>
    </xf>
    <xf numFmtId="0" fontId="9" fillId="3" borderId="2" xfId="3" applyFont="1" applyFill="1" applyBorder="1" applyAlignment="1" applyProtection="1">
      <alignment horizontal="center"/>
      <protection locked="0"/>
    </xf>
    <xf numFmtId="0" fontId="9" fillId="0" borderId="0" xfId="3" applyFont="1" applyProtection="1">
      <protection locked="0"/>
    </xf>
    <xf numFmtId="0" fontId="2" fillId="0" borderId="0" xfId="3" applyFont="1" applyProtection="1">
      <protection locked="0"/>
    </xf>
    <xf numFmtId="0" fontId="9" fillId="0" borderId="2" xfId="3" applyFont="1" applyBorder="1" applyAlignment="1" applyProtection="1">
      <alignment horizontal="center"/>
      <protection locked="0"/>
    </xf>
    <xf numFmtId="0" fontId="10" fillId="0" borderId="0" xfId="3" applyFont="1" applyAlignment="1" applyProtection="1">
      <alignment horizontal="center"/>
      <protection locked="0"/>
    </xf>
    <xf numFmtId="0" fontId="3" fillId="0" borderId="0" xfId="3" applyFont="1" applyAlignment="1" applyProtection="1">
      <alignment horizontal="center"/>
      <protection locked="0"/>
    </xf>
    <xf numFmtId="0" fontId="2" fillId="0" borderId="0" xfId="3" applyFont="1" applyAlignment="1" applyProtection="1">
      <alignment horizontal="center"/>
      <protection locked="0"/>
    </xf>
    <xf numFmtId="168" fontId="9" fillId="0" borderId="0" xfId="3" applyNumberFormat="1" applyFont="1" applyProtection="1">
      <protection locked="0"/>
    </xf>
    <xf numFmtId="168" fontId="8" fillId="0" borderId="0" xfId="3" applyNumberFormat="1" applyProtection="1">
      <protection locked="0"/>
    </xf>
    <xf numFmtId="0" fontId="9" fillId="0" borderId="2" xfId="3" applyFont="1" applyBorder="1" applyAlignment="1">
      <alignment horizontal="center"/>
    </xf>
    <xf numFmtId="0" fontId="9" fillId="0" borderId="3" xfId="3" applyFont="1" applyBorder="1" applyAlignment="1">
      <alignment horizontal="center"/>
    </xf>
    <xf numFmtId="0" fontId="9" fillId="0" borderId="3" xfId="3" applyFont="1" applyBorder="1" applyAlignment="1" applyProtection="1">
      <alignment horizontal="center"/>
      <protection locked="0"/>
    </xf>
    <xf numFmtId="168" fontId="8" fillId="0" borderId="1" xfId="3" applyNumberFormat="1" applyBorder="1" applyProtection="1">
      <protection locked="0"/>
    </xf>
    <xf numFmtId="168" fontId="8" fillId="0" borderId="0" xfId="3" applyNumberFormat="1"/>
    <xf numFmtId="0" fontId="9" fillId="0" borderId="6" xfId="3" applyFont="1" applyBorder="1"/>
    <xf numFmtId="0" fontId="9" fillId="0" borderId="4" xfId="3" applyFont="1" applyBorder="1"/>
    <xf numFmtId="168" fontId="8" fillId="0" borderId="7" xfId="3" applyNumberFormat="1" applyBorder="1" applyProtection="1">
      <protection locked="0"/>
    </xf>
    <xf numFmtId="0" fontId="9" fillId="0" borderId="1" xfId="3" applyNumberFormat="1" applyFont="1" applyBorder="1" applyProtection="1">
      <protection locked="0"/>
    </xf>
    <xf numFmtId="0" fontId="11" fillId="4" borderId="8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 wrapText="1" indent="1"/>
    </xf>
    <xf numFmtId="0" fontId="14" fillId="0" borderId="1" xfId="0" applyFont="1" applyBorder="1"/>
    <xf numFmtId="0" fontId="13" fillId="0" borderId="1" xfId="0" applyFont="1" applyBorder="1" applyAlignment="1">
      <alignment wrapText="1"/>
    </xf>
    <xf numFmtId="0" fontId="15" fillId="0" borderId="1" xfId="0" applyFont="1" applyBorder="1"/>
    <xf numFmtId="0" fontId="15" fillId="3" borderId="1" xfId="0" applyFont="1" applyFill="1" applyBorder="1"/>
    <xf numFmtId="0" fontId="10" fillId="3" borderId="2" xfId="3" applyFont="1" applyFill="1" applyBorder="1" applyAlignment="1" applyProtection="1">
      <alignment horizontal="center"/>
      <protection locked="0"/>
    </xf>
    <xf numFmtId="0" fontId="10" fillId="3" borderId="3" xfId="3" applyFont="1" applyFill="1" applyBorder="1" applyAlignment="1" applyProtection="1">
      <alignment horizontal="center"/>
      <protection locked="0"/>
    </xf>
    <xf numFmtId="0" fontId="9" fillId="0" borderId="4" xfId="3" applyFont="1" applyBorder="1" applyAlignment="1" applyProtection="1">
      <alignment horizontal="center"/>
      <protection locked="0"/>
    </xf>
    <xf numFmtId="0" fontId="9" fillId="0" borderId="1" xfId="3" applyFont="1" applyBorder="1" applyAlignment="1" applyProtection="1">
      <alignment horizontal="center"/>
      <protection locked="0"/>
    </xf>
    <xf numFmtId="0" fontId="9" fillId="0" borderId="5" xfId="3" applyFont="1" applyBorder="1" applyAlignment="1" applyProtection="1">
      <alignment horizontal="center"/>
      <protection locked="0"/>
    </xf>
    <xf numFmtId="167" fontId="2" fillId="0" borderId="1" xfId="0" applyNumberFormat="1" applyFont="1" applyBorder="1" applyAlignment="1" applyProtection="1">
      <protection locked="0"/>
    </xf>
    <xf numFmtId="167" fontId="2" fillId="0" borderId="1" xfId="0" applyNumberFormat="1" applyFont="1" applyBorder="1" applyProtection="1">
      <protection locked="0"/>
    </xf>
    <xf numFmtId="0" fontId="3" fillId="3" borderId="1" xfId="0" applyFont="1" applyFill="1" applyBorder="1" applyAlignment="1" applyProtection="1">
      <alignment horizontal="center"/>
      <protection locked="0"/>
    </xf>
    <xf numFmtId="0" fontId="16" fillId="0" borderId="0" xfId="0" applyFont="1"/>
    <xf numFmtId="0" fontId="15" fillId="3" borderId="0" xfId="0" applyFont="1" applyFill="1"/>
    <xf numFmtId="0" fontId="0" fillId="3" borderId="0" xfId="0" applyFill="1"/>
    <xf numFmtId="0" fontId="0" fillId="6" borderId="1" xfId="0" applyFill="1" applyBorder="1"/>
    <xf numFmtId="0" fontId="0" fillId="0" borderId="1" xfId="0" applyBorder="1"/>
    <xf numFmtId="0" fontId="0" fillId="3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8" fillId="5" borderId="1" xfId="0" applyFont="1" applyFill="1" applyBorder="1" applyAlignment="1">
      <alignment horizontal="left" vertical="center" wrapText="1" indent="1"/>
    </xf>
    <xf numFmtId="0" fontId="19" fillId="5" borderId="1" xfId="0" applyFont="1" applyFill="1" applyBorder="1" applyAlignment="1">
      <alignment vertical="top" wrapText="1" indent="1"/>
    </xf>
    <xf numFmtId="0" fontId="17" fillId="3" borderId="1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15" fillId="0" borderId="1" xfId="0" applyFont="1" applyFill="1" applyBorder="1"/>
    <xf numFmtId="49" fontId="0" fillId="0" borderId="1" xfId="0" applyNumberFormat="1" applyBorder="1" applyAlignment="1">
      <alignment horizontal="right"/>
    </xf>
    <xf numFmtId="0" fontId="0" fillId="0" borderId="1" xfId="0" applyFill="1" applyBorder="1"/>
    <xf numFmtId="49" fontId="0" fillId="0" borderId="1" xfId="0" applyNumberFormat="1" applyFill="1" applyBorder="1" applyAlignment="1">
      <alignment horizontal="right"/>
    </xf>
    <xf numFmtId="0" fontId="0" fillId="7" borderId="0" xfId="0" applyFill="1"/>
    <xf numFmtId="0" fontId="0" fillId="0" borderId="0" xfId="0" applyFill="1" applyBorder="1" applyAlignment="1">
      <alignment horizontal="center"/>
    </xf>
    <xf numFmtId="9" fontId="0" fillId="0" borderId="0" xfId="0" applyNumberFormat="1"/>
    <xf numFmtId="169" fontId="0" fillId="0" borderId="0" xfId="0" applyNumberFormat="1"/>
    <xf numFmtId="9" fontId="0" fillId="0" borderId="1" xfId="0" applyNumberFormat="1" applyBorder="1"/>
    <xf numFmtId="169" fontId="0" fillId="0" borderId="1" xfId="0" applyNumberFormat="1" applyBorder="1"/>
    <xf numFmtId="9" fontId="0" fillId="6" borderId="1" xfId="0" applyNumberFormat="1" applyFill="1" applyBorder="1"/>
    <xf numFmtId="169" fontId="0" fillId="6" borderId="1" xfId="0" applyNumberFormat="1" applyFill="1" applyBorder="1"/>
    <xf numFmtId="6" fontId="0" fillId="0" borderId="1" xfId="0" applyNumberFormat="1" applyBorder="1"/>
    <xf numFmtId="0" fontId="0" fillId="8" borderId="1" xfId="0" applyFill="1" applyBorder="1"/>
    <xf numFmtId="169" fontId="0" fillId="0" borderId="1" xfId="0" applyNumberFormat="1" applyFill="1" applyBorder="1"/>
    <xf numFmtId="10" fontId="0" fillId="0" borderId="1" xfId="0" applyNumberFormat="1" applyBorder="1"/>
    <xf numFmtId="0" fontId="0" fillId="0" borderId="0" xfId="0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15" fillId="0" borderId="0" xfId="0" applyFont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 vertical="center" wrapText="1"/>
    </xf>
    <xf numFmtId="0" fontId="20" fillId="3" borderId="0" xfId="0" applyFont="1" applyFill="1" applyAlignment="1">
      <alignment horizontal="left"/>
    </xf>
    <xf numFmtId="0" fontId="15" fillId="3" borderId="0" xfId="0" applyFont="1" applyFill="1" applyAlignment="1">
      <alignment horizontal="left"/>
    </xf>
    <xf numFmtId="0" fontId="0" fillId="0" borderId="0" xfId="0" applyAlignment="1">
      <alignment horizontal="center" wrapText="1"/>
    </xf>
    <xf numFmtId="0" fontId="15" fillId="0" borderId="0" xfId="0" applyFont="1"/>
    <xf numFmtId="0" fontId="8" fillId="0" borderId="0" xfId="3" applyNumberFormat="1" applyProtection="1">
      <protection locked="0"/>
    </xf>
    <xf numFmtId="0" fontId="23" fillId="0" borderId="0" xfId="0" applyFont="1" applyAlignment="1">
      <alignment horizontal="left" vertical="center" readingOrder="1"/>
    </xf>
    <xf numFmtId="0" fontId="15" fillId="6" borderId="1" xfId="0" applyFont="1" applyFill="1" applyBorder="1"/>
  </cellXfs>
  <cellStyles count="4">
    <cellStyle name="Comma 2" xfId="1" xr:uid="{23E2D50D-39E6-462B-8462-0677BA6EE3A4}"/>
    <cellStyle name="Currency 2" xfId="2" xr:uid="{C95C810F-D60B-4502-91F0-7066934528D1}"/>
    <cellStyle name="Normal" xfId="0" builtinId="0"/>
    <cellStyle name="Normal 2" xfId="3" xr:uid="{310E42F1-6DB4-43AA-96FB-79825EC73B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0</xdr:row>
      <xdr:rowOff>66675</xdr:rowOff>
    </xdr:from>
    <xdr:to>
      <xdr:col>10</xdr:col>
      <xdr:colOff>228600</xdr:colOff>
      <xdr:row>14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0A31D4-CD33-52B1-A4D6-1DD71572E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9850" y="66675"/>
          <a:ext cx="4048125" cy="278130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16</xdr:row>
      <xdr:rowOff>9525</xdr:rowOff>
    </xdr:from>
    <xdr:to>
      <xdr:col>10</xdr:col>
      <xdr:colOff>228600</xdr:colOff>
      <xdr:row>32</xdr:row>
      <xdr:rowOff>36589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1A1F08-0AA5-E221-5C37-372A4B4DD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8900" y="3057525"/>
          <a:ext cx="4029075" cy="3075064"/>
        </a:xfrm>
        <a:prstGeom prst="rect">
          <a:avLst/>
        </a:prstGeom>
      </xdr:spPr>
    </xdr:pic>
    <xdr:clientData/>
  </xdr:twoCellAnchor>
  <xdr:twoCellAnchor editAs="oneCell">
    <xdr:from>
      <xdr:col>4</xdr:col>
      <xdr:colOff>57151</xdr:colOff>
      <xdr:row>33</xdr:row>
      <xdr:rowOff>133350</xdr:rowOff>
    </xdr:from>
    <xdr:to>
      <xdr:col>10</xdr:col>
      <xdr:colOff>215132</xdr:colOff>
      <xdr:row>44</xdr:row>
      <xdr:rowOff>133350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03B28C8-E0FD-F036-D647-A05CA7B01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1" y="6419850"/>
          <a:ext cx="4015606" cy="2095500"/>
        </a:xfrm>
        <a:prstGeom prst="rect">
          <a:avLst/>
        </a:prstGeom>
      </xdr:spPr>
    </xdr:pic>
    <xdr:clientData/>
  </xdr:twoCellAnchor>
  <xdr:twoCellAnchor editAs="oneCell">
    <xdr:from>
      <xdr:col>6</xdr:col>
      <xdr:colOff>161925</xdr:colOff>
      <xdr:row>52</xdr:row>
      <xdr:rowOff>9525</xdr:rowOff>
    </xdr:from>
    <xdr:to>
      <xdr:col>13</xdr:col>
      <xdr:colOff>38100</xdr:colOff>
      <xdr:row>67</xdr:row>
      <xdr:rowOff>95250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3AADDCE-DA88-4D6A-61B1-8B1EC75BA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9675" y="10439400"/>
          <a:ext cx="4143375" cy="2943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209550</xdr:colOff>
      <xdr:row>2</xdr:row>
      <xdr:rowOff>152400</xdr:rowOff>
    </xdr:from>
    <xdr:to>
      <xdr:col>15</xdr:col>
      <xdr:colOff>85725</xdr:colOff>
      <xdr:row>18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396179-CEED-4472-8C36-0A847F3DF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533400"/>
          <a:ext cx="4143375" cy="2943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F470-3BB8-4562-A01F-0A1A49D11176}">
  <dimension ref="B2:H9"/>
  <sheetViews>
    <sheetView zoomScale="214" zoomScaleNormal="214" workbookViewId="0">
      <selection activeCell="H9" sqref="H9"/>
    </sheetView>
  </sheetViews>
  <sheetFormatPr defaultRowHeight="15"/>
  <sheetData>
    <row r="2" spans="2:8">
      <c r="B2">
        <v>1</v>
      </c>
      <c r="C2">
        <v>2</v>
      </c>
      <c r="D2">
        <v>3</v>
      </c>
    </row>
    <row r="4" spans="2:8">
      <c r="E4">
        <v>4</v>
      </c>
    </row>
    <row r="5" spans="2:8">
      <c r="F5">
        <v>5</v>
      </c>
    </row>
    <row r="7" spans="2:8">
      <c r="G7" s="38" t="s">
        <v>0</v>
      </c>
      <c r="H7" s="37">
        <f>SUM(B2:D2,E4,F5)</f>
        <v>15</v>
      </c>
    </row>
    <row r="8" spans="2:8">
      <c r="G8" s="38" t="s">
        <v>0</v>
      </c>
      <c r="H8" s="37">
        <f>SUM(B2:D2)+E4+F5</f>
        <v>15</v>
      </c>
    </row>
    <row r="9" spans="2:8">
      <c r="G9" s="38" t="s">
        <v>0</v>
      </c>
      <c r="H9" s="85">
        <f>B2+E4+F5+SUM(C2:D2)</f>
        <v>15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2603-0550-4CD9-9AB4-F00FD035844F}">
  <sheetPr>
    <pageSetUpPr fitToPage="1"/>
  </sheetPr>
  <dimension ref="B1:H17"/>
  <sheetViews>
    <sheetView zoomScale="142" zoomScaleNormal="142" workbookViewId="0">
      <selection activeCell="H8" sqref="D5:H8"/>
    </sheetView>
  </sheetViews>
  <sheetFormatPr defaultRowHeight="15"/>
  <cols>
    <col min="1" max="1" width="7.7109375" style="17" customWidth="1"/>
    <col min="2" max="3" width="16.28515625" style="17" bestFit="1" customWidth="1"/>
    <col min="4" max="4" width="16.140625" style="17" bestFit="1" customWidth="1"/>
    <col min="5" max="6" width="16.42578125" style="17" bestFit="1" customWidth="1"/>
    <col min="7" max="8" width="23.28515625" style="17" bestFit="1" customWidth="1"/>
    <col min="9" max="16384" width="9.140625" style="17"/>
  </cols>
  <sheetData>
    <row r="1" spans="2:8" ht="23.25">
      <c r="B1" s="15" t="s">
        <v>21</v>
      </c>
      <c r="C1" s="15" t="s">
        <v>22</v>
      </c>
      <c r="D1" s="15" t="s">
        <v>23</v>
      </c>
      <c r="E1" s="16"/>
      <c r="F1" s="16"/>
      <c r="G1" s="16"/>
    </row>
    <row r="2" spans="2:8" s="21" customFormat="1" ht="23.25">
      <c r="B2" s="18">
        <v>2</v>
      </c>
      <c r="C2" s="18">
        <v>3</v>
      </c>
      <c r="D2" s="18">
        <f>SUM(B2,C2)</f>
        <v>5</v>
      </c>
      <c r="E2" s="16"/>
      <c r="F2" s="16"/>
      <c r="G2" s="19"/>
      <c r="H2" s="20"/>
    </row>
    <row r="3" spans="2:8" ht="23.25">
      <c r="B3" s="18">
        <v>2</v>
      </c>
      <c r="C3" s="18">
        <v>6</v>
      </c>
      <c r="D3" s="18">
        <f>SUM(B3:C3)</f>
        <v>8</v>
      </c>
      <c r="E3" s="16"/>
      <c r="F3" s="16"/>
      <c r="G3" s="22"/>
      <c r="H3" s="23"/>
    </row>
    <row r="4" spans="2:8" ht="23.25">
      <c r="B4" s="22"/>
      <c r="C4" s="16"/>
      <c r="D4" s="22"/>
      <c r="E4" s="16"/>
      <c r="F4" s="16"/>
      <c r="G4" s="22"/>
      <c r="H4" s="23"/>
    </row>
    <row r="5" spans="2:8" ht="23.25">
      <c r="B5" s="22"/>
      <c r="C5" s="16"/>
      <c r="D5" s="39" t="s">
        <v>24</v>
      </c>
      <c r="E5" s="39" t="s">
        <v>25</v>
      </c>
      <c r="F5" s="39" t="s">
        <v>25</v>
      </c>
      <c r="G5" s="39" t="s">
        <v>26</v>
      </c>
      <c r="H5" s="40" t="s">
        <v>26</v>
      </c>
    </row>
    <row r="6" spans="2:8" ht="23.25">
      <c r="B6" s="22"/>
      <c r="C6" s="16"/>
      <c r="D6" s="24">
        <f>COUNT(B2:D3)</f>
        <v>6</v>
      </c>
      <c r="E6" s="24">
        <f>COUNTIF(B2:D3,"=3")</f>
        <v>1</v>
      </c>
      <c r="F6" s="25">
        <f>COUNTIF(B2:D3,"=2")</f>
        <v>2</v>
      </c>
      <c r="G6" s="29">
        <f>COUNTIFS(B2:D3,"&lt;5",B2:D3,"&gt;2")</f>
        <v>1</v>
      </c>
      <c r="H6" s="32">
        <f>COUNTIFS(B2:D3,"&lt;5",B2:D3,"&gt;1")</f>
        <v>3</v>
      </c>
    </row>
    <row r="7" spans="2:8" ht="23.25">
      <c r="B7" s="22"/>
      <c r="C7" s="16"/>
      <c r="D7" s="26">
        <f>COUNT(B2:C3)</f>
        <v>4</v>
      </c>
      <c r="E7" s="41">
        <f>COUNTIF(B2:D3,"=2")</f>
        <v>2</v>
      </c>
      <c r="F7" s="43">
        <f>COUNTIF(B2:D3,"=6")</f>
        <v>1</v>
      </c>
      <c r="G7" s="30">
        <f>COUNTIFS(B2:D3,"&gt;=3",B2:D3,"&lt;=5")</f>
        <v>2</v>
      </c>
      <c r="H7" s="32">
        <f>COUNTIFS(B2:D3,"=2",B2:D3,"=3")</f>
        <v>0</v>
      </c>
    </row>
    <row r="8" spans="2:8" ht="28.5" customHeight="1">
      <c r="B8" s="23"/>
      <c r="D8" s="27"/>
      <c r="E8" s="42">
        <f>COUNTIF(B2:D3,"=7")</f>
        <v>0</v>
      </c>
      <c r="F8" s="42">
        <f>COUNTIF(B2:C3,"=4")</f>
        <v>0</v>
      </c>
      <c r="G8" s="31"/>
      <c r="H8" s="27"/>
    </row>
    <row r="9" spans="2:8">
      <c r="B9" s="23"/>
      <c r="D9" s="23"/>
      <c r="G9" s="23"/>
      <c r="H9" s="23"/>
    </row>
    <row r="10" spans="2:8">
      <c r="B10" s="23"/>
      <c r="D10" s="23"/>
      <c r="G10" s="23"/>
      <c r="H10" s="23"/>
    </row>
    <row r="11" spans="2:8">
      <c r="B11" s="23"/>
      <c r="D11" s="23" t="s">
        <v>194</v>
      </c>
      <c r="G11" s="23"/>
      <c r="H11" s="23"/>
    </row>
    <row r="12" spans="2:8">
      <c r="B12" s="23"/>
      <c r="D12" s="86">
        <f>COUNTIFS(B2:D3,"&gt;=5",B2:D3,"&lt;6")</f>
        <v>1</v>
      </c>
      <c r="G12" s="23"/>
      <c r="H12" s="23"/>
    </row>
    <row r="13" spans="2:8">
      <c r="B13" s="23"/>
      <c r="D13" s="23"/>
      <c r="G13" s="23"/>
      <c r="H13" s="23"/>
    </row>
    <row r="14" spans="2:8">
      <c r="B14" s="23"/>
      <c r="D14" s="23"/>
      <c r="G14" s="23"/>
      <c r="H14" s="23"/>
    </row>
    <row r="15" spans="2:8">
      <c r="B15" s="23"/>
      <c r="D15" s="23"/>
    </row>
    <row r="16" spans="2:8" ht="15.75">
      <c r="B16" s="20"/>
      <c r="C16" s="28"/>
      <c r="D16" s="23"/>
      <c r="E16" s="23"/>
    </row>
    <row r="17" spans="2:5" ht="15.75">
      <c r="B17" s="20"/>
      <c r="C17" s="23"/>
      <c r="D17" s="23"/>
      <c r="E17" s="23"/>
    </row>
  </sheetData>
  <printOptions horizontalCentered="1" verticalCentered="1" headings="1" gridLines="1"/>
  <pageMargins left="0.78740157480314965" right="0.78740157480314965" top="0.98425196850393704" bottom="0.98425196850393704" header="0.51181102362204722" footer="0.51181102362204722"/>
  <pageSetup paperSize="9" orientation="landscape" verticalDpi="300" r:id="rId1"/>
  <headerFooter alignWithMargins="0">
    <oddHeader>&amp;Cprima esercitazione di excel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3671-3AD0-4A09-A44E-3E37BD08A1DB}">
  <dimension ref="B2:M22"/>
  <sheetViews>
    <sheetView workbookViewId="0">
      <selection activeCell="C23" sqref="C23"/>
    </sheetView>
  </sheetViews>
  <sheetFormatPr defaultRowHeight="15"/>
  <cols>
    <col min="1" max="1" width="4.5703125" style="3" customWidth="1"/>
    <col min="2" max="2" width="24.140625" style="3" bestFit="1" customWidth="1"/>
    <col min="3" max="3" width="14.7109375" style="3" bestFit="1" customWidth="1"/>
    <col min="4" max="4" width="16.140625" style="3" bestFit="1" customWidth="1"/>
    <col min="5" max="5" width="19" style="3" bestFit="1" customWidth="1"/>
    <col min="6" max="6" width="2.28515625" style="3" customWidth="1"/>
    <col min="7" max="8" width="13.5703125" style="3" bestFit="1" customWidth="1"/>
    <col min="9" max="9" width="20" style="8" customWidth="1"/>
    <col min="10" max="10" width="13.5703125" style="3" bestFit="1" customWidth="1"/>
    <col min="11" max="12" width="9.140625" style="3"/>
    <col min="13" max="13" width="13.5703125" style="3" bestFit="1" customWidth="1"/>
    <col min="14" max="16384" width="9.140625" style="3"/>
  </cols>
  <sheetData>
    <row r="2" spans="2:13" s="5" customFormat="1" ht="15.75">
      <c r="B2" s="1"/>
      <c r="C2" s="2" t="s">
        <v>1</v>
      </c>
      <c r="D2" s="2" t="s">
        <v>2</v>
      </c>
      <c r="E2" s="2" t="s">
        <v>3</v>
      </c>
      <c r="F2" s="3"/>
      <c r="G2" s="4" t="s">
        <v>4</v>
      </c>
      <c r="H2" s="4" t="s">
        <v>5</v>
      </c>
      <c r="I2" s="46" t="s">
        <v>44</v>
      </c>
      <c r="J2" s="46" t="s">
        <v>45</v>
      </c>
    </row>
    <row r="3" spans="2:13">
      <c r="B3" s="6" t="s">
        <v>6</v>
      </c>
      <c r="C3" s="7">
        <v>3400</v>
      </c>
      <c r="D3" s="7">
        <v>2770</v>
      </c>
      <c r="E3" s="7">
        <v>2300</v>
      </c>
      <c r="G3" s="7">
        <f>C3+D3+E3</f>
        <v>8470</v>
      </c>
      <c r="H3" s="7">
        <f>I3</f>
        <v>2823.3333333333335</v>
      </c>
      <c r="I3" s="44">
        <f>SUM(C3:E3)/COUNT(C3:E3)</f>
        <v>2823.3333333333335</v>
      </c>
      <c r="J3" s="45">
        <f>QUOTIENT(SUM(C3:E3),COUNT(C3:E3))</f>
        <v>2823</v>
      </c>
      <c r="M3" s="14">
        <f>(C3+D3+E3)/3</f>
        <v>2823.3333333333335</v>
      </c>
    </row>
    <row r="4" spans="2:13">
      <c r="B4" s="6" t="s">
        <v>7</v>
      </c>
      <c r="C4" s="7">
        <v>3210</v>
      </c>
      <c r="D4" s="7">
        <v>2450</v>
      </c>
      <c r="E4" s="7">
        <v>2600</v>
      </c>
      <c r="G4" s="7">
        <f t="shared" ref="G4:G14" si="0">C4+D4+E4</f>
        <v>8260</v>
      </c>
      <c r="H4" s="7">
        <f t="shared" ref="H4:H14" si="1">(C4+D4+E4)/3</f>
        <v>2753.3333333333335</v>
      </c>
    </row>
    <row r="5" spans="2:13">
      <c r="B5" s="6" t="s">
        <v>8</v>
      </c>
      <c r="C5" s="7">
        <v>3100</v>
      </c>
      <c r="D5" s="7">
        <v>2345</v>
      </c>
      <c r="E5" s="7">
        <v>2345</v>
      </c>
      <c r="G5" s="7">
        <f t="shared" si="0"/>
        <v>7790</v>
      </c>
      <c r="H5" s="7">
        <f t="shared" si="1"/>
        <v>2596.6666666666665</v>
      </c>
    </row>
    <row r="6" spans="2:13">
      <c r="B6" s="6" t="s">
        <v>9</v>
      </c>
      <c r="C6" s="7">
        <v>3150</v>
      </c>
      <c r="D6" s="7">
        <v>2324</v>
      </c>
      <c r="E6" s="7">
        <v>2320</v>
      </c>
      <c r="G6" s="7">
        <f t="shared" si="0"/>
        <v>7794</v>
      </c>
      <c r="H6" s="7">
        <f t="shared" si="1"/>
        <v>2598</v>
      </c>
    </row>
    <row r="7" spans="2:13">
      <c r="B7" s="6" t="s">
        <v>10</v>
      </c>
      <c r="C7" s="7">
        <v>3230</v>
      </c>
      <c r="D7" s="7">
        <v>2431</v>
      </c>
      <c r="E7" s="7">
        <v>2500</v>
      </c>
      <c r="G7" s="7">
        <f t="shared" si="0"/>
        <v>8161</v>
      </c>
      <c r="H7" s="7">
        <f t="shared" si="1"/>
        <v>2720.3333333333335</v>
      </c>
    </row>
    <row r="8" spans="2:13">
      <c r="B8" s="6" t="s">
        <v>11</v>
      </c>
      <c r="C8" s="7"/>
      <c r="D8" s="7"/>
      <c r="E8" s="7"/>
      <c r="G8" s="9">
        <f t="shared" si="0"/>
        <v>0</v>
      </c>
      <c r="H8" s="9">
        <f t="shared" si="1"/>
        <v>0</v>
      </c>
    </row>
    <row r="9" spans="2:13">
      <c r="B9" s="6" t="s">
        <v>12</v>
      </c>
      <c r="C9" s="7"/>
      <c r="D9" s="7"/>
      <c r="E9" s="7"/>
      <c r="G9" s="9">
        <f t="shared" si="0"/>
        <v>0</v>
      </c>
      <c r="H9" s="9">
        <f t="shared" si="1"/>
        <v>0</v>
      </c>
    </row>
    <row r="10" spans="2:13">
      <c r="B10" s="6" t="s">
        <v>13</v>
      </c>
      <c r="C10" s="7"/>
      <c r="D10" s="7"/>
      <c r="E10" s="7"/>
      <c r="G10" s="9">
        <f t="shared" si="0"/>
        <v>0</v>
      </c>
      <c r="H10" s="9">
        <f t="shared" si="1"/>
        <v>0</v>
      </c>
    </row>
    <row r="11" spans="2:13">
      <c r="B11" s="6" t="s">
        <v>14</v>
      </c>
      <c r="C11" s="7"/>
      <c r="D11" s="7"/>
      <c r="E11" s="7"/>
      <c r="G11" s="9">
        <f t="shared" si="0"/>
        <v>0</v>
      </c>
      <c r="H11" s="9">
        <f t="shared" si="1"/>
        <v>0</v>
      </c>
    </row>
    <row r="12" spans="2:13">
      <c r="B12" s="6" t="s">
        <v>15</v>
      </c>
      <c r="C12" s="7"/>
      <c r="D12" s="7"/>
      <c r="E12" s="7"/>
      <c r="G12" s="9">
        <f t="shared" si="0"/>
        <v>0</v>
      </c>
      <c r="H12" s="9">
        <f t="shared" si="1"/>
        <v>0</v>
      </c>
    </row>
    <row r="13" spans="2:13">
      <c r="B13" s="6" t="s">
        <v>16</v>
      </c>
      <c r="C13" s="7"/>
      <c r="D13" s="7"/>
      <c r="E13" s="7"/>
      <c r="G13" s="9">
        <f t="shared" si="0"/>
        <v>0</v>
      </c>
      <c r="H13" s="9">
        <f t="shared" si="1"/>
        <v>0</v>
      </c>
    </row>
    <row r="14" spans="2:13">
      <c r="B14" s="6" t="s">
        <v>17</v>
      </c>
      <c r="C14" s="7"/>
      <c r="D14" s="7"/>
      <c r="E14" s="7"/>
      <c r="G14" s="9">
        <f t="shared" si="0"/>
        <v>0</v>
      </c>
      <c r="H14" s="9">
        <f t="shared" si="1"/>
        <v>0</v>
      </c>
    </row>
    <row r="15" spans="2:13" ht="15.75">
      <c r="B15" s="10"/>
      <c r="C15" s="11"/>
      <c r="D15" s="11"/>
      <c r="E15" s="11"/>
    </row>
    <row r="16" spans="2:13" ht="15.75">
      <c r="B16" s="12" t="s">
        <v>4</v>
      </c>
      <c r="C16" s="13">
        <f>SUM(C3:C14)</f>
        <v>16090</v>
      </c>
      <c r="D16" s="13">
        <f t="shared" ref="D16:E16" si="2">SUM(D3:D14)</f>
        <v>12320</v>
      </c>
      <c r="E16" s="13">
        <f t="shared" si="2"/>
        <v>12065</v>
      </c>
    </row>
    <row r="17" spans="2:5" ht="15.75">
      <c r="B17" s="12" t="s">
        <v>5</v>
      </c>
      <c r="C17" s="13">
        <f>AVERAGE(C3:C14)</f>
        <v>3218</v>
      </c>
      <c r="D17" s="13">
        <f t="shared" ref="D17:E17" si="3">AVERAGE(D3:D14)</f>
        <v>2464</v>
      </c>
      <c r="E17" s="13">
        <f t="shared" si="3"/>
        <v>2413</v>
      </c>
    </row>
    <row r="19" spans="2:5" ht="15.75">
      <c r="B19" s="10" t="s">
        <v>18</v>
      </c>
      <c r="C19" s="14">
        <f>SUM(C3:C14)/COUNT(C3:C14)</f>
        <v>3218</v>
      </c>
    </row>
    <row r="20" spans="2:5" ht="15.75">
      <c r="B20" s="10" t="s">
        <v>19</v>
      </c>
      <c r="C20" s="3">
        <f>AVERAGEIF(C3:C14,"&gt;3100")</f>
        <v>3247.5</v>
      </c>
    </row>
    <row r="21" spans="2:5" ht="15.75">
      <c r="B21" s="10" t="s">
        <v>20</v>
      </c>
      <c r="C21" s="14">
        <f>SUM(C7,C6,C4,C3)/4</f>
        <v>3247.5</v>
      </c>
    </row>
    <row r="22" spans="2:5" ht="15.75">
      <c r="B22" s="10" t="s">
        <v>46</v>
      </c>
      <c r="C22" s="3">
        <f>SUM(C3,C4,C6,C7)/COUNTIF(C3:C7,"&gt;3100")</f>
        <v>3247.5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E05ED-5BC8-42BB-A420-F80A38E27F9B}">
  <dimension ref="A1:E10"/>
  <sheetViews>
    <sheetView workbookViewId="0">
      <selection activeCell="B10" sqref="B10"/>
    </sheetView>
  </sheetViews>
  <sheetFormatPr defaultRowHeight="15"/>
  <cols>
    <col min="1" max="1" width="56.28515625" customWidth="1"/>
    <col min="2" max="2" width="64.7109375" customWidth="1"/>
    <col min="3" max="3" width="24.42578125" customWidth="1"/>
    <col min="4" max="4" width="31.28515625" customWidth="1"/>
    <col min="5" max="5" width="31" customWidth="1"/>
    <col min="6" max="6" width="20.140625" customWidth="1"/>
  </cols>
  <sheetData>
    <row r="1" spans="1:5" ht="25.5">
      <c r="A1" s="33" t="s">
        <v>27</v>
      </c>
      <c r="B1" s="33" t="s">
        <v>28</v>
      </c>
      <c r="C1" s="33" t="s">
        <v>29</v>
      </c>
      <c r="D1" s="33" t="s">
        <v>30</v>
      </c>
      <c r="E1" s="33" t="s">
        <v>31</v>
      </c>
    </row>
    <row r="2" spans="1:5" ht="25.5">
      <c r="A2" s="34" t="s">
        <v>32</v>
      </c>
      <c r="B2" s="34">
        <v>230000</v>
      </c>
      <c r="C2" s="34" t="s">
        <v>33</v>
      </c>
      <c r="D2" s="34">
        <v>3</v>
      </c>
      <c r="E2" s="34" t="s">
        <v>34</v>
      </c>
    </row>
    <row r="3" spans="1:5" ht="25.5">
      <c r="A3" s="34" t="s">
        <v>35</v>
      </c>
      <c r="B3" s="34">
        <v>197000</v>
      </c>
      <c r="C3" s="34" t="s">
        <v>36</v>
      </c>
      <c r="D3" s="34">
        <v>2</v>
      </c>
      <c r="E3" s="34" t="s">
        <v>37</v>
      </c>
    </row>
    <row r="4" spans="1:5" ht="25.5">
      <c r="A4" s="34" t="s">
        <v>38</v>
      </c>
      <c r="B4" s="34">
        <v>345678</v>
      </c>
      <c r="C4" s="34" t="s">
        <v>36</v>
      </c>
      <c r="D4" s="34">
        <v>4</v>
      </c>
      <c r="E4" s="34" t="s">
        <v>37</v>
      </c>
    </row>
    <row r="5" spans="1:5" ht="25.5">
      <c r="A5" s="34" t="s">
        <v>39</v>
      </c>
      <c r="B5" s="34">
        <v>321900</v>
      </c>
      <c r="C5" s="34" t="s">
        <v>33</v>
      </c>
      <c r="D5" s="34">
        <v>2</v>
      </c>
      <c r="E5" s="34" t="s">
        <v>37</v>
      </c>
    </row>
    <row r="6" spans="1:5" ht="25.5">
      <c r="A6" s="34" t="s">
        <v>40</v>
      </c>
      <c r="B6" s="34">
        <v>450000</v>
      </c>
      <c r="C6" s="34" t="s">
        <v>36</v>
      </c>
      <c r="D6" s="34">
        <v>5</v>
      </c>
      <c r="E6" s="34" t="s">
        <v>37</v>
      </c>
    </row>
    <row r="7" spans="1:5" ht="25.5">
      <c r="A7" s="34" t="s">
        <v>41</v>
      </c>
      <c r="B7" s="34">
        <v>395000</v>
      </c>
      <c r="C7" s="34" t="s">
        <v>36</v>
      </c>
      <c r="D7" s="34">
        <v>4</v>
      </c>
      <c r="E7" s="34" t="s">
        <v>34</v>
      </c>
    </row>
    <row r="9" spans="1:5" ht="36">
      <c r="A9" s="35">
        <f>AVERAGEIFS(B2:B7, C2:C7, "Bellevue", D2:D7, "&gt;2",E2:E7, "Sì")</f>
        <v>397839</v>
      </c>
      <c r="B9" s="36" t="s">
        <v>42</v>
      </c>
    </row>
    <row r="10" spans="1:5" ht="36">
      <c r="A10" s="35">
        <f>AVERAGEIFS(B2:B7, C2:C7, "Issaquah", D2:D7, "&lt;=3",E2:E7, "No")</f>
        <v>230000</v>
      </c>
      <c r="B10" s="36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E3401-84BD-4AD7-AB4B-55363EB086BE}">
  <dimension ref="A1:K35"/>
  <sheetViews>
    <sheetView topLeftCell="A13" zoomScale="142" zoomScaleNormal="142" workbookViewId="0">
      <selection activeCell="G35" sqref="G35"/>
    </sheetView>
  </sheetViews>
  <sheetFormatPr defaultRowHeight="15"/>
  <cols>
    <col min="1" max="1" width="21.7109375" bestFit="1" customWidth="1"/>
    <col min="4" max="4" width="11" bestFit="1" customWidth="1"/>
    <col min="6" max="6" width="10.7109375" bestFit="1" customWidth="1"/>
    <col min="7" max="7" width="15.5703125" bestFit="1" customWidth="1"/>
    <col min="9" max="9" width="11.7109375" customWidth="1"/>
  </cols>
  <sheetData>
    <row r="1" spans="1:11">
      <c r="A1" t="s">
        <v>47</v>
      </c>
      <c r="C1" s="50" t="str" cm="1">
        <f t="array" ref="C1:D1">_xlfn.TEXTSPLIT(A1,"|",,TRUE)</f>
        <v xml:space="preserve"> Codice  </v>
      </c>
      <c r="D1" s="50" t="str">
        <v xml:space="preserve">  Prodotto   </v>
      </c>
      <c r="H1" t="str" cm="1">
        <f t="array" ref="H1:K1">_xlfn.TEXTSPLIT(A1,"|",,FALSE)</f>
        <v/>
      </c>
      <c r="I1" t="str">
        <v xml:space="preserve"> Codice  </v>
      </c>
      <c r="J1" t="str">
        <v xml:space="preserve">  Prodotto   </v>
      </c>
      <c r="K1" t="str">
        <v/>
      </c>
    </row>
    <row r="2" spans="1:11">
      <c r="A2" t="s">
        <v>48</v>
      </c>
      <c r="C2" s="50"/>
      <c r="D2" s="50"/>
    </row>
    <row r="3" spans="1:11">
      <c r="A3" t="s">
        <v>49</v>
      </c>
      <c r="C3" s="50" t="str" cm="1">
        <f t="array" ref="C3:D3">_xlfn.TEXTSPLIT(A3,"|",,TRUE)</f>
        <v xml:space="preserve">  001    </v>
      </c>
      <c r="D3" s="50" t="str">
        <v xml:space="preserve"> T-Shirt     </v>
      </c>
    </row>
    <row r="4" spans="1:11">
      <c r="A4" t="s">
        <v>50</v>
      </c>
      <c r="C4" s="50" t="str" cm="1">
        <f t="array" ref="C4:D4">_xlfn.TEXTSPLIT(A4,"|",,TRUE)</f>
        <v xml:space="preserve">  002    </v>
      </c>
      <c r="D4" s="50" t="str">
        <v xml:space="preserve"> Pantaloni   </v>
      </c>
    </row>
    <row r="5" spans="1:11">
      <c r="A5" t="s">
        <v>51</v>
      </c>
      <c r="C5" s="50" t="str" cm="1">
        <f t="array" ref="C5:D5">_xlfn.TEXTSPLIT(A5,"|",,TRUE)</f>
        <v xml:space="preserve">  003    </v>
      </c>
      <c r="D5" s="50" t="str">
        <v xml:space="preserve"> Scarpe      </v>
      </c>
    </row>
    <row r="6" spans="1:11">
      <c r="A6" t="s">
        <v>52</v>
      </c>
      <c r="C6" s="50" t="str" cm="1">
        <f t="array" ref="C6:D6">_xlfn.TEXTSPLIT(A6,"|",,TRUE)</f>
        <v xml:space="preserve">  004    </v>
      </c>
      <c r="D6" s="50" t="str">
        <v xml:space="preserve"> Cappello    </v>
      </c>
    </row>
    <row r="8" spans="1:11">
      <c r="A8" s="48" t="s">
        <v>54</v>
      </c>
      <c r="B8" s="49"/>
      <c r="C8" s="49"/>
      <c r="D8" s="49"/>
      <c r="E8" s="49"/>
      <c r="F8" s="49"/>
      <c r="G8" s="49"/>
      <c r="H8" s="49"/>
    </row>
    <row r="9" spans="1:11">
      <c r="A9" t="s">
        <v>53</v>
      </c>
      <c r="B9" t="str" cm="1">
        <f t="array" ref="B9:E9">_xlfn.TEXTSPLIT(A9," ")</f>
        <v>Essere</v>
      </c>
      <c r="C9" t="str">
        <v>o</v>
      </c>
      <c r="D9" t="str">
        <v>non</v>
      </c>
      <c r="E9" t="str">
        <v>essere</v>
      </c>
    </row>
    <row r="10" spans="1:11">
      <c r="A10" t="s">
        <v>53</v>
      </c>
      <c r="B10" t="str" cm="1">
        <f t="array" ref="B10:E10">_xlfn.TEXTSPLIT(A10," ",,TRUE)</f>
        <v>Essere</v>
      </c>
      <c r="C10" t="str">
        <v>o</v>
      </c>
      <c r="D10" t="str">
        <v>non</v>
      </c>
      <c r="E10" t="str">
        <v>essere</v>
      </c>
    </row>
    <row r="11" spans="1:11">
      <c r="A11" t="s">
        <v>53</v>
      </c>
      <c r="B11" t="str" cm="1">
        <f t="array" ref="B11:E11">_xlfn.TEXTSPLIT(A11," "," ")</f>
        <v>Essere</v>
      </c>
      <c r="C11" t="str">
        <v>o</v>
      </c>
      <c r="D11" t="str">
        <v>non</v>
      </c>
      <c r="E11" t="str">
        <v>essere</v>
      </c>
    </row>
    <row r="12" spans="1:11">
      <c r="A12" t="s">
        <v>55</v>
      </c>
      <c r="B12" t="str" cm="1">
        <f t="array" ref="B12:D13">_xlfn.TEXTSPLIT(A12,",",";")</f>
        <v>1</v>
      </c>
      <c r="C12" t="str">
        <v>2</v>
      </c>
      <c r="D12" t="str">
        <v>3</v>
      </c>
    </row>
    <row r="13" spans="1:11">
      <c r="B13" t="str">
        <v>4</v>
      </c>
      <c r="C13" t="str">
        <v>5</v>
      </c>
      <c r="D13" t="str">
        <v>6</v>
      </c>
    </row>
    <row r="15" spans="1:11">
      <c r="A15" t="s">
        <v>53</v>
      </c>
      <c r="B15" t="str" cm="1">
        <f t="array" ref="B15:B18">_xlfn.TEXTSPLIT(A15,," ")</f>
        <v>Essere</v>
      </c>
    </row>
    <row r="16" spans="1:11">
      <c r="B16" t="str">
        <v>o</v>
      </c>
    </row>
    <row r="17" spans="1:9">
      <c r="B17" t="str">
        <v>non</v>
      </c>
    </row>
    <row r="18" spans="1:9">
      <c r="B18" t="str">
        <v>essere</v>
      </c>
    </row>
    <row r="19" spans="1:9" ht="16.5">
      <c r="A19" s="47" t="s">
        <v>56</v>
      </c>
      <c r="E19" t="str" cm="1">
        <f t="array" ref="E19:H19">_xlfn.TEXTSPLIT(A19,".")</f>
        <v>Fare</v>
      </c>
      <c r="F19" t="str">
        <v xml:space="preserve"> O non fare</v>
      </c>
      <c r="G19" t="str">
        <v xml:space="preserve"> Non c’è provare</v>
      </c>
      <c r="H19" t="str">
        <v xml:space="preserve"> -Anonimo</v>
      </c>
    </row>
    <row r="20" spans="1:9" ht="16.5">
      <c r="E20" s="47" t="str" cm="1">
        <f t="array" ref="E20:I20">_xlfn.TEXTSPLIT(A19,{".";"-"})</f>
        <v>Fare</v>
      </c>
      <c r="F20" t="str">
        <v xml:space="preserve"> O non fare</v>
      </c>
      <c r="G20" t="str">
        <v xml:space="preserve"> Non c’è provare</v>
      </c>
      <c r="H20" t="str">
        <v xml:space="preserve"> </v>
      </c>
      <c r="I20" t="str">
        <v>Anonimo</v>
      </c>
    </row>
    <row r="21" spans="1:9">
      <c r="E21" t="str" cm="1">
        <f t="array" ref="E21:I21">_xlfn.TEXTSPLIT(A19,{".";"-"},,FALSE)</f>
        <v>Fare</v>
      </c>
      <c r="F21" t="str">
        <v xml:space="preserve"> O non fare</v>
      </c>
      <c r="G21" t="str">
        <v xml:space="preserve"> Non c’è provare</v>
      </c>
      <c r="H21" t="str">
        <v xml:space="preserve"> </v>
      </c>
      <c r="I21" t="str">
        <v>Anonimo</v>
      </c>
    </row>
    <row r="22" spans="1:9">
      <c r="E22" s="49" t="str" cm="1">
        <f t="array" ref="E22:I22">TRIM(_xlfn.TEXTSPLIT(A19,{".";"-"},,FALSE))</f>
        <v>Fare</v>
      </c>
      <c r="F22" s="49" t="str">
        <v>O non fare</v>
      </c>
      <c r="G22" s="49" t="str">
        <v>Non c’è provare</v>
      </c>
      <c r="H22" s="49" t="str">
        <v/>
      </c>
      <c r="I22" s="49" t="str">
        <v>Anonimo</v>
      </c>
    </row>
    <row r="23" spans="1:9">
      <c r="E23" t="str" cm="1">
        <f t="array" ref="E23:E26">_xlfn.TEXTSPLIT(A19,,".")</f>
        <v>Fare</v>
      </c>
    </row>
    <row r="24" spans="1:9">
      <c r="E24" t="str">
        <v xml:space="preserve"> O non fare</v>
      </c>
    </row>
    <row r="25" spans="1:9">
      <c r="E25" t="str">
        <v xml:space="preserve"> Non c’è provare</v>
      </c>
    </row>
    <row r="26" spans="1:9">
      <c r="E26" t="str">
        <v xml:space="preserve"> -Anonimo</v>
      </c>
    </row>
    <row r="27" spans="1:9">
      <c r="E27" t="str" cm="1">
        <f t="array" ref="E27:E31">_xlfn.TEXTSPLIT(A19,,{".";"-"},TRUE)</f>
        <v>Fare</v>
      </c>
    </row>
    <row r="28" spans="1:9">
      <c r="E28" t="str">
        <v xml:space="preserve"> O non fare</v>
      </c>
    </row>
    <row r="29" spans="1:9">
      <c r="E29" t="str">
        <v xml:space="preserve"> Non c’è provare</v>
      </c>
    </row>
    <row r="30" spans="1:9">
      <c r="E30" t="str">
        <v xml:space="preserve"> </v>
      </c>
    </row>
    <row r="31" spans="1:9">
      <c r="E31" t="str">
        <v>Anonimo</v>
      </c>
    </row>
    <row r="32" spans="1:9">
      <c r="E32" t="str" cm="1">
        <f t="array" ref="E32:G35">_xlfn.TEXTSPLIT(A19," ",".",TRUE)</f>
        <v>Fare</v>
      </c>
      <c r="F32" t="e">
        <v>#N/A</v>
      </c>
      <c r="G32" t="e">
        <v>#N/A</v>
      </c>
    </row>
    <row r="33" spans="5:7">
      <c r="E33" t="str">
        <v>O</v>
      </c>
      <c r="F33" t="str">
        <v>non</v>
      </c>
      <c r="G33" t="str">
        <v>fare</v>
      </c>
    </row>
    <row r="34" spans="5:7">
      <c r="E34" t="str">
        <v>Non</v>
      </c>
      <c r="F34" t="str">
        <v>c’è</v>
      </c>
      <c r="G34" t="str">
        <v>provare</v>
      </c>
    </row>
    <row r="35" spans="5:7">
      <c r="E35" t="str">
        <v>-Anonimo</v>
      </c>
      <c r="F35" t="e">
        <v>#N/A</v>
      </c>
      <c r="G35" t="e">
        <v>#N/A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11C0F-D735-47A8-A90D-9CE486105E72}">
  <dimension ref="A1:O38"/>
  <sheetViews>
    <sheetView topLeftCell="A14" zoomScale="118" zoomScaleNormal="118" workbookViewId="0">
      <selection activeCell="O23" sqref="O23"/>
    </sheetView>
  </sheetViews>
  <sheetFormatPr defaultRowHeight="15"/>
  <cols>
    <col min="1" max="1" width="21.7109375" bestFit="1" customWidth="1"/>
    <col min="2" max="2" width="11.28515625" customWidth="1"/>
    <col min="4" max="4" width="11.140625" bestFit="1" customWidth="1"/>
    <col min="5" max="5" width="10.5703125" bestFit="1" customWidth="1"/>
    <col min="6" max="6" width="13.85546875" bestFit="1" customWidth="1"/>
  </cols>
  <sheetData>
    <row r="1" spans="1:7">
      <c r="A1" t="s">
        <v>47</v>
      </c>
      <c r="C1" s="50" t="str" cm="1">
        <f t="array" ref="C1:D1">_xlfn.TEXTSPLIT(A1,"|",,TRUE)</f>
        <v xml:space="preserve"> Codice  </v>
      </c>
      <c r="D1" s="50" t="str">
        <v xml:space="preserve">  Prodotto   </v>
      </c>
    </row>
    <row r="2" spans="1:7">
      <c r="A2" t="s">
        <v>49</v>
      </c>
      <c r="C2" s="51" t="str" cm="1">
        <f t="array" ref="C2:D2">_xlfn.TEXTSPLIT(A2,"|",,TRUE)</f>
        <v xml:space="preserve">  001    </v>
      </c>
      <c r="D2" s="51" t="str">
        <v xml:space="preserve"> T-Shirt     </v>
      </c>
      <c r="F2" s="87" t="s">
        <v>195</v>
      </c>
    </row>
    <row r="3" spans="1:7">
      <c r="A3" t="s">
        <v>50</v>
      </c>
      <c r="C3" s="51" t="str" cm="1">
        <f t="array" ref="C3:D3">_xlfn.TEXTSPLIT(A3,"|",,TRUE)</f>
        <v xml:space="preserve">  002    </v>
      </c>
      <c r="D3" s="51" t="str">
        <v xml:space="preserve"> Pantaloni   </v>
      </c>
      <c r="F3" s="49" t="str">
        <f>VLOOKUP(C3, $C$2:$D$5, 2, TRUE)</f>
        <v xml:space="preserve"> Pantaloni   </v>
      </c>
    </row>
    <row r="4" spans="1:7">
      <c r="A4" t="s">
        <v>51</v>
      </c>
      <c r="C4" s="51" t="str" cm="1">
        <f t="array" ref="C4:D4">_xlfn.TEXTSPLIT(A4,"|",,TRUE)</f>
        <v xml:space="preserve">  003    </v>
      </c>
      <c r="D4" s="51" t="str">
        <v xml:space="preserve"> Scarpe      </v>
      </c>
    </row>
    <row r="5" spans="1:7">
      <c r="A5" t="s">
        <v>52</v>
      </c>
      <c r="C5" s="51" t="str" cm="1">
        <f t="array" ref="C5:D5">_xlfn.TEXTSPLIT(A5,"|",,TRUE)</f>
        <v xml:space="preserve">  004    </v>
      </c>
      <c r="D5" s="51" t="str">
        <v xml:space="preserve"> Cappello    </v>
      </c>
    </row>
    <row r="8" spans="1:7">
      <c r="A8" t="s">
        <v>57</v>
      </c>
      <c r="C8" s="50" t="str" cm="1">
        <f t="array" ref="C8:D8">_xlfn.TEXTSPLIT(A8,"|",,TRUE)</f>
        <v xml:space="preserve"> Codice  </v>
      </c>
      <c r="D8" s="50" t="str">
        <v xml:space="preserve">  Prezzo     </v>
      </c>
    </row>
    <row r="9" spans="1:7">
      <c r="A9" t="s">
        <v>58</v>
      </c>
      <c r="C9" s="51" t="str" cm="1">
        <f t="array" ref="C9:D9">_xlfn.TEXTSPLIT(A9,"|",,TRUE)</f>
        <v xml:space="preserve">  001    </v>
      </c>
      <c r="D9" s="51" t="str">
        <v xml:space="preserve"> 19.99       </v>
      </c>
    </row>
    <row r="10" spans="1:7">
      <c r="A10" t="s">
        <v>59</v>
      </c>
      <c r="C10" s="51" t="str" cm="1">
        <f t="array" ref="C10:D10">_xlfn.TEXTSPLIT(A10,"|",,TRUE)</f>
        <v xml:space="preserve">  002    </v>
      </c>
      <c r="D10" s="51" t="str">
        <v xml:space="preserve"> 39.99       </v>
      </c>
      <c r="F10" s="49" t="str">
        <f>VLOOKUP(C10, $C$9:$D$11, 2, TRUE)</f>
        <v xml:space="preserve"> 39.99       </v>
      </c>
    </row>
    <row r="11" spans="1:7">
      <c r="A11" t="s">
        <v>60</v>
      </c>
      <c r="C11" s="51" t="str" cm="1">
        <f t="array" ref="C11:D11">_xlfn.TEXTSPLIT(A11,"|",,TRUE)</f>
        <v xml:space="preserve">  004    </v>
      </c>
      <c r="D11" s="51" t="str">
        <v xml:space="preserve"> 9.99        </v>
      </c>
    </row>
    <row r="14" spans="1:7">
      <c r="C14" s="55" t="s">
        <v>61</v>
      </c>
      <c r="D14" s="55" t="s">
        <v>62</v>
      </c>
      <c r="E14" s="55" t="s">
        <v>63</v>
      </c>
      <c r="F14" s="55" t="s">
        <v>64</v>
      </c>
      <c r="G14" s="55" t="s">
        <v>65</v>
      </c>
    </row>
    <row r="15" spans="1:7">
      <c r="C15" s="54">
        <v>101</v>
      </c>
      <c r="D15" s="51" t="s">
        <v>66</v>
      </c>
      <c r="E15" s="51" t="s">
        <v>67</v>
      </c>
      <c r="F15" s="51" t="s">
        <v>68</v>
      </c>
      <c r="G15" s="53">
        <v>25062</v>
      </c>
    </row>
    <row r="16" spans="1:7">
      <c r="C16" s="54">
        <v>102</v>
      </c>
      <c r="D16" s="51" t="s">
        <v>69</v>
      </c>
      <c r="E16" s="51" t="s">
        <v>70</v>
      </c>
      <c r="F16" s="51" t="s">
        <v>71</v>
      </c>
      <c r="G16" s="53">
        <v>21600</v>
      </c>
    </row>
    <row r="17" spans="3:15">
      <c r="C17" s="54">
        <v>103</v>
      </c>
      <c r="D17" s="51" t="s">
        <v>196</v>
      </c>
      <c r="E17" s="51" t="s">
        <v>73</v>
      </c>
      <c r="F17" s="51" t="s">
        <v>68</v>
      </c>
      <c r="G17" s="53">
        <v>23253</v>
      </c>
    </row>
    <row r="18" spans="3:15">
      <c r="C18" s="54">
        <v>104</v>
      </c>
      <c r="D18" s="51" t="s">
        <v>74</v>
      </c>
      <c r="E18" s="51" t="s">
        <v>75</v>
      </c>
      <c r="F18" s="51" t="s">
        <v>68</v>
      </c>
      <c r="G18" s="53">
        <v>21447</v>
      </c>
    </row>
    <row r="19" spans="3:15">
      <c r="C19" s="54">
        <v>105</v>
      </c>
      <c r="D19" s="51" t="s">
        <v>76</v>
      </c>
      <c r="E19" s="51" t="s">
        <v>77</v>
      </c>
      <c r="F19" s="51" t="s">
        <v>78</v>
      </c>
      <c r="G19" s="53">
        <v>20152</v>
      </c>
    </row>
    <row r="20" spans="3:15">
      <c r="C20" s="54">
        <v>106</v>
      </c>
      <c r="D20" s="51" t="s">
        <v>79</v>
      </c>
      <c r="E20" s="51" t="s">
        <v>80</v>
      </c>
      <c r="F20" s="51" t="s">
        <v>68</v>
      </c>
      <c r="G20" s="53">
        <v>23194</v>
      </c>
    </row>
    <row r="21" spans="3:15">
      <c r="C21" s="54">
        <v>107</v>
      </c>
      <c r="D21" s="63" t="s">
        <v>72</v>
      </c>
      <c r="E21" s="51" t="s">
        <v>73</v>
      </c>
      <c r="F21" s="51" t="s">
        <v>68</v>
      </c>
      <c r="G21" s="53">
        <v>23253</v>
      </c>
    </row>
    <row r="22" spans="3:15">
      <c r="I22" s="51" t="s">
        <v>81</v>
      </c>
      <c r="J22" s="51"/>
      <c r="O22" t="str" cm="1">
        <f t="array" ref="O22:O28">VLOOKUP(C15:C21,C15:G21,2,TRUE)</f>
        <v>Davis</v>
      </c>
    </row>
    <row r="23" spans="3:15">
      <c r="C23" s="51" t="s">
        <v>81</v>
      </c>
      <c r="D23" s="52" t="str">
        <f>VLOOKUP(D16,D15:G20,2,FALSE)</f>
        <v>Olivier</v>
      </c>
      <c r="I23" s="51" t="s">
        <v>81</v>
      </c>
      <c r="J23" s="52" t="str">
        <f>VLOOKUP(102,C15:G20,2,TRUE)</f>
        <v>Fontana</v>
      </c>
      <c r="O23" t="str">
        <v>Fontana</v>
      </c>
    </row>
    <row r="24" spans="3:15">
      <c r="O24" t="str">
        <v>Lea</v>
      </c>
    </row>
    <row r="25" spans="3:15">
      <c r="C25" s="81" t="s">
        <v>82</v>
      </c>
      <c r="D25" s="81"/>
      <c r="E25" s="81"/>
      <c r="F25" s="81"/>
      <c r="I25" s="81" t="s">
        <v>84</v>
      </c>
      <c r="J25" s="81"/>
      <c r="K25" s="81"/>
      <c r="L25" s="81"/>
      <c r="O25" t="str">
        <v>Patten</v>
      </c>
    </row>
    <row r="26" spans="3:15">
      <c r="C26" s="81"/>
      <c r="D26" s="81"/>
      <c r="E26" s="81"/>
      <c r="F26" s="81"/>
      <c r="I26" s="81"/>
      <c r="J26" s="81"/>
      <c r="K26" s="81"/>
      <c r="L26" s="81"/>
      <c r="O26" t="str">
        <v>Burke</v>
      </c>
    </row>
    <row r="27" spans="3:15">
      <c r="C27" s="81"/>
      <c r="D27" s="81"/>
      <c r="E27" s="81"/>
      <c r="F27" s="81"/>
      <c r="I27" s="81"/>
      <c r="J27" s="81"/>
      <c r="K27" s="81"/>
      <c r="L27" s="81"/>
      <c r="O27" t="str">
        <v>Sousa</v>
      </c>
    </row>
    <row r="28" spans="3:15" ht="38.25" customHeight="1">
      <c r="C28" s="81"/>
      <c r="D28" s="81"/>
      <c r="E28" s="81"/>
      <c r="F28" s="81"/>
      <c r="I28" s="81"/>
      <c r="J28" s="81"/>
      <c r="K28" s="81"/>
      <c r="L28" s="81"/>
      <c r="O28" t="str">
        <v>Leal</v>
      </c>
    </row>
    <row r="29" spans="3:15">
      <c r="C29" s="79" t="s">
        <v>83</v>
      </c>
      <c r="D29" s="79"/>
      <c r="E29" s="79"/>
      <c r="F29" s="79"/>
      <c r="I29" s="79" t="s">
        <v>85</v>
      </c>
      <c r="J29" s="79"/>
      <c r="K29" s="79"/>
      <c r="L29" s="79"/>
    </row>
    <row r="32" spans="3:15">
      <c r="C32" s="51" t="s">
        <v>81</v>
      </c>
      <c r="D32" s="52" t="str">
        <f>IF(VLOOKUP(103,C15:G20,2,FALSE)="Sousa","Located","Not Found")</f>
        <v>Not Found</v>
      </c>
      <c r="J32" s="51" t="s">
        <v>81</v>
      </c>
      <c r="K32" s="52" t="str">
        <f>TEXT(VLOOKUP(105,C15:G20,5,FALSE),"mm-dd-yy")</f>
        <v>03-04-55</v>
      </c>
    </row>
    <row r="34" spans="2:15" ht="15" customHeight="1">
      <c r="C34" s="81" t="s">
        <v>87</v>
      </c>
      <c r="D34" s="81"/>
      <c r="E34" s="81"/>
      <c r="F34" s="81"/>
      <c r="J34" s="80" t="s">
        <v>87</v>
      </c>
      <c r="K34" s="80"/>
      <c r="L34" s="80"/>
      <c r="M34" s="80"/>
    </row>
    <row r="35" spans="2:15">
      <c r="C35" s="81"/>
      <c r="D35" s="81"/>
      <c r="E35" s="81"/>
      <c r="F35" s="81"/>
      <c r="J35" s="80"/>
      <c r="K35" s="80"/>
      <c r="L35" s="80"/>
      <c r="M35" s="80"/>
    </row>
    <row r="36" spans="2:15">
      <c r="C36" s="81"/>
      <c r="D36" s="81"/>
      <c r="E36" s="81"/>
      <c r="F36" s="81"/>
      <c r="J36" s="80"/>
      <c r="K36" s="80"/>
      <c r="L36" s="80"/>
      <c r="M36" s="80"/>
    </row>
    <row r="37" spans="2:15" ht="59.25" customHeight="1">
      <c r="C37" s="81"/>
      <c r="D37" s="81"/>
      <c r="E37" s="81"/>
      <c r="F37" s="81"/>
      <c r="J37" s="80"/>
      <c r="K37" s="80"/>
      <c r="L37" s="80"/>
      <c r="M37" s="80"/>
    </row>
    <row r="38" spans="2:15">
      <c r="B38" s="79" t="s">
        <v>86</v>
      </c>
      <c r="C38" s="79"/>
      <c r="D38" s="79"/>
      <c r="E38" s="79"/>
      <c r="F38" s="79"/>
      <c r="G38" s="79"/>
      <c r="I38" s="79" t="s">
        <v>88</v>
      </c>
      <c r="J38" s="79"/>
      <c r="K38" s="79"/>
      <c r="L38" s="79"/>
      <c r="M38" s="79"/>
      <c r="N38" s="79"/>
      <c r="O38" s="79"/>
    </row>
  </sheetData>
  <mergeCells count="8">
    <mergeCell ref="B38:G38"/>
    <mergeCell ref="J34:M37"/>
    <mergeCell ref="I38:O38"/>
    <mergeCell ref="C25:F28"/>
    <mergeCell ref="C29:F29"/>
    <mergeCell ref="I25:L28"/>
    <mergeCell ref="I29:L29"/>
    <mergeCell ref="C34:F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03F75-CD12-4B94-8DAD-1900D768B093}">
  <dimension ref="B2:K11"/>
  <sheetViews>
    <sheetView workbookViewId="0">
      <selection activeCell="B12" sqref="B12:B17"/>
    </sheetView>
  </sheetViews>
  <sheetFormatPr defaultRowHeight="15"/>
  <cols>
    <col min="3" max="3" width="11.85546875" bestFit="1" customWidth="1"/>
    <col min="10" max="10" width="11.85546875" bestFit="1" customWidth="1"/>
  </cols>
  <sheetData>
    <row r="2" spans="2:11">
      <c r="B2" s="51" t="s">
        <v>197</v>
      </c>
      <c r="C2" s="51" t="s">
        <v>198</v>
      </c>
      <c r="D2" s="51" t="s">
        <v>199</v>
      </c>
    </row>
    <row r="8" spans="2:11">
      <c r="G8" s="51" t="s">
        <v>197</v>
      </c>
      <c r="H8" s="51" t="s">
        <v>200</v>
      </c>
      <c r="I8" s="51" t="s">
        <v>201</v>
      </c>
      <c r="J8" s="51" t="s">
        <v>198</v>
      </c>
      <c r="K8" s="51" t="s">
        <v>199</v>
      </c>
    </row>
    <row r="9" spans="2:11">
      <c r="G9" s="51"/>
      <c r="H9" s="51"/>
      <c r="I9" s="51"/>
      <c r="J9" s="51"/>
      <c r="K9" s="51"/>
    </row>
    <row r="11" spans="2:11">
      <c r="B11" s="51" t="s">
        <v>197</v>
      </c>
      <c r="C11" s="51" t="s">
        <v>200</v>
      </c>
      <c r="D11" s="51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17D7-2041-4E8C-A065-7466987715DF}">
  <dimension ref="A1:L13"/>
  <sheetViews>
    <sheetView workbookViewId="0">
      <selection activeCell="C8" sqref="C8"/>
    </sheetView>
  </sheetViews>
  <sheetFormatPr defaultRowHeight="15"/>
  <cols>
    <col min="1" max="1" width="19.28515625" customWidth="1"/>
    <col min="2" max="2" width="21" customWidth="1"/>
    <col min="3" max="3" width="20.42578125" customWidth="1"/>
    <col min="5" max="5" width="18.7109375" customWidth="1"/>
    <col min="6" max="6" width="11" customWidth="1"/>
  </cols>
  <sheetData>
    <row r="1" spans="1:12" ht="18.75">
      <c r="A1" s="58" t="s">
        <v>89</v>
      </c>
      <c r="B1" s="58" t="s">
        <v>63</v>
      </c>
      <c r="C1" s="58" t="s">
        <v>90</v>
      </c>
    </row>
    <row r="2" spans="1:12" ht="18.75">
      <c r="A2" s="56" t="s">
        <v>91</v>
      </c>
      <c r="B2" s="56" t="s">
        <v>92</v>
      </c>
      <c r="C2" s="56" t="s">
        <v>93</v>
      </c>
    </row>
    <row r="3" spans="1:12" ht="18.75">
      <c r="A3" s="56" t="s">
        <v>94</v>
      </c>
      <c r="B3" s="56" t="s">
        <v>95</v>
      </c>
      <c r="C3" s="56" t="s">
        <v>96</v>
      </c>
    </row>
    <row r="4" spans="1:12" ht="18.75">
      <c r="A4" s="56">
        <v>32</v>
      </c>
      <c r="B4" s="57"/>
      <c r="C4" s="57"/>
    </row>
    <row r="5" spans="1:12" ht="17.25">
      <c r="E5" s="82" t="s">
        <v>97</v>
      </c>
      <c r="F5" s="82"/>
      <c r="G5" s="82"/>
      <c r="H5" s="82"/>
      <c r="I5" s="82"/>
      <c r="J5" s="82"/>
      <c r="K5" s="82"/>
      <c r="L5" s="82"/>
    </row>
    <row r="6" spans="1:12">
      <c r="E6" t="str">
        <f>_xlfn.CONCAT("Stream population for ", A2," ", A3, " is ", A4, "/mile.")</f>
        <v>Stream population for brook trout species is 32/mile.</v>
      </c>
    </row>
    <row r="8" spans="1:12" ht="17.25">
      <c r="E8" s="82" t="s">
        <v>98</v>
      </c>
      <c r="F8" s="82"/>
    </row>
    <row r="9" spans="1:12">
      <c r="E9" t="str">
        <f>_xlfn.CONCAT(B2," ",C2)</f>
        <v>Andreas Hauser</v>
      </c>
    </row>
    <row r="11" spans="1:12" ht="17.25">
      <c r="E11" s="82" t="s">
        <v>99</v>
      </c>
      <c r="F11" s="82"/>
    </row>
    <row r="12" spans="1:12">
      <c r="E12" t="str">
        <f>_xlfn.CONCAT(B3," &amp; ",C3)</f>
        <v>Fourth &amp; Pine</v>
      </c>
    </row>
    <row r="13" spans="1:12">
      <c r="E13" t="str">
        <f>B3 &amp; " &amp; " &amp; C3</f>
        <v>Fourth &amp; Pine</v>
      </c>
    </row>
  </sheetData>
  <mergeCells count="3">
    <mergeCell ref="E5:L5"/>
    <mergeCell ref="E8:F8"/>
    <mergeCell ref="E11:F11"/>
  </mergeCells>
  <pageMargins left="0.7" right="0.7" top="0.75" bottom="0.75" header="0.3" footer="0.3"/>
  <pageSetup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ADFC8-78ED-4EFF-94BF-6BB57037D640}">
  <dimension ref="A1:H28"/>
  <sheetViews>
    <sheetView topLeftCell="A10" zoomScale="148" zoomScaleNormal="148" workbookViewId="0">
      <selection activeCell="E23" sqref="E23:H28"/>
    </sheetView>
  </sheetViews>
  <sheetFormatPr defaultRowHeight="15"/>
  <cols>
    <col min="1" max="1" width="13.85546875" customWidth="1"/>
    <col min="2" max="2" width="15.140625" customWidth="1"/>
    <col min="3" max="3" width="15.28515625" customWidth="1"/>
  </cols>
  <sheetData>
    <row r="1" spans="1:8" ht="18.75">
      <c r="A1" s="59" t="s">
        <v>100</v>
      </c>
      <c r="B1" s="59" t="s">
        <v>101</v>
      </c>
      <c r="C1" s="59" t="s">
        <v>102</v>
      </c>
    </row>
    <row r="2" spans="1:8" ht="18.75">
      <c r="A2" s="60">
        <v>4</v>
      </c>
      <c r="B2" s="60">
        <v>4</v>
      </c>
      <c r="C2" s="60">
        <v>9</v>
      </c>
    </row>
    <row r="3" spans="1:8" ht="18.75">
      <c r="A3" s="60">
        <v>5</v>
      </c>
      <c r="B3" s="60">
        <v>7</v>
      </c>
      <c r="C3" s="60">
        <v>10</v>
      </c>
    </row>
    <row r="4" spans="1:8" ht="18.75">
      <c r="A4" s="60">
        <v>6</v>
      </c>
      <c r="B4" s="60">
        <v>8</v>
      </c>
      <c r="C4" s="60">
        <v>11</v>
      </c>
    </row>
    <row r="6" spans="1:8">
      <c r="E6" s="83" t="s">
        <v>103</v>
      </c>
      <c r="F6" s="83"/>
      <c r="G6" s="83"/>
      <c r="H6" s="83"/>
    </row>
    <row r="7" spans="1:8">
      <c r="E7" s="61">
        <f>HLOOKUP("Axles", A1:C4, 2, TRUE)</f>
        <v>4</v>
      </c>
    </row>
    <row r="8" spans="1:8">
      <c r="E8" s="84" t="s">
        <v>104</v>
      </c>
      <c r="F8" s="84"/>
      <c r="G8" s="84"/>
      <c r="H8" s="84"/>
    </row>
    <row r="9" spans="1:8" ht="30.75" customHeight="1">
      <c r="E9" s="84"/>
      <c r="F9" s="84"/>
      <c r="G9" s="84"/>
      <c r="H9" s="84"/>
    </row>
    <row r="11" spans="1:8">
      <c r="E11" s="83" t="s">
        <v>105</v>
      </c>
      <c r="F11" s="83"/>
      <c r="G11" s="83"/>
      <c r="H11" s="83"/>
    </row>
    <row r="12" spans="1:8">
      <c r="E12" s="51">
        <f>HLOOKUP("Bearings",A1:C4,3,FALSE)</f>
        <v>7</v>
      </c>
    </row>
    <row r="13" spans="1:8">
      <c r="E13" s="84" t="s">
        <v>106</v>
      </c>
      <c r="F13" s="84"/>
      <c r="G13" s="84"/>
      <c r="H13" s="84"/>
    </row>
    <row r="14" spans="1:8">
      <c r="E14" s="84"/>
      <c r="F14" s="84"/>
      <c r="G14" s="84"/>
      <c r="H14" s="84"/>
    </row>
    <row r="15" spans="1:8">
      <c r="E15" s="84"/>
      <c r="F15" s="84"/>
      <c r="G15" s="84"/>
      <c r="H15" s="84"/>
    </row>
    <row r="17" spans="5:8">
      <c r="E17" s="83" t="s">
        <v>107</v>
      </c>
      <c r="F17" s="83"/>
      <c r="G17" s="83"/>
      <c r="H17" s="83"/>
    </row>
    <row r="18" spans="5:8">
      <c r="E18" s="51" t="e">
        <f>HLOOKUP("B", A1:C4, 3, FALSE)</f>
        <v>#N/A</v>
      </c>
      <c r="F18">
        <f>HLOOKUP("B",A1:C4,3,TRUE)</f>
        <v>5</v>
      </c>
    </row>
    <row r="19" spans="5:8">
      <c r="E19" s="84" t="s">
        <v>108</v>
      </c>
      <c r="F19" s="84"/>
      <c r="G19" s="84"/>
      <c r="H19" s="84"/>
    </row>
    <row r="20" spans="5:8">
      <c r="E20" s="84"/>
      <c r="F20" s="84"/>
      <c r="G20" s="84"/>
      <c r="H20" s="84"/>
    </row>
    <row r="21" spans="5:8" ht="58.5" customHeight="1">
      <c r="E21" s="84"/>
      <c r="F21" s="84"/>
      <c r="G21" s="84"/>
      <c r="H21" s="84"/>
    </row>
    <row r="23" spans="5:8">
      <c r="E23" s="83" t="s">
        <v>109</v>
      </c>
      <c r="F23" s="83"/>
      <c r="G23" s="83"/>
      <c r="H23" s="83"/>
    </row>
    <row r="24" spans="5:8">
      <c r="E24" s="51">
        <f>HLOOKUP("Bolts", A1:C4, 4)</f>
        <v>11</v>
      </c>
    </row>
    <row r="25" spans="5:8">
      <c r="E25" s="84" t="s">
        <v>110</v>
      </c>
      <c r="F25" s="84"/>
      <c r="G25" s="84"/>
      <c r="H25" s="84"/>
    </row>
    <row r="26" spans="5:8">
      <c r="E26" s="84"/>
      <c r="F26" s="84"/>
      <c r="G26" s="84"/>
      <c r="H26" s="84"/>
    </row>
    <row r="27" spans="5:8" ht="6.75" customHeight="1">
      <c r="E27" s="84"/>
      <c r="F27" s="84"/>
      <c r="G27" s="84"/>
      <c r="H27" s="84"/>
    </row>
    <row r="28" spans="5:8">
      <c r="E28" s="84"/>
      <c r="F28" s="84"/>
      <c r="G28" s="84"/>
      <c r="H28" s="84"/>
    </row>
  </sheetData>
  <mergeCells count="8">
    <mergeCell ref="E23:H23"/>
    <mergeCell ref="E25:H28"/>
    <mergeCell ref="E6:H6"/>
    <mergeCell ref="E8:H9"/>
    <mergeCell ref="E11:H11"/>
    <mergeCell ref="E13:H15"/>
    <mergeCell ref="E17:H17"/>
    <mergeCell ref="E19:H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4920D-A180-47AD-91A6-C247BCE3AC32}">
  <dimension ref="A1:K68"/>
  <sheetViews>
    <sheetView tabSelected="1" topLeftCell="A16" workbookViewId="0">
      <selection activeCell="B44" sqref="B44"/>
    </sheetView>
  </sheetViews>
  <sheetFormatPr defaultRowHeight="15"/>
  <cols>
    <col min="1" max="1" width="11.140625" bestFit="1" customWidth="1"/>
    <col min="2" max="2" width="19.42578125" bestFit="1" customWidth="1"/>
    <col min="3" max="3" width="10.85546875" bestFit="1" customWidth="1"/>
    <col min="4" max="5" width="10.140625" bestFit="1" customWidth="1"/>
    <col min="6" max="6" width="11.140625" bestFit="1" customWidth="1"/>
  </cols>
  <sheetData>
    <row r="1" spans="1:3">
      <c r="A1" s="52" t="s">
        <v>111</v>
      </c>
      <c r="B1" s="52" t="s">
        <v>112</v>
      </c>
      <c r="C1" s="52" t="s">
        <v>113</v>
      </c>
    </row>
    <row r="2" spans="1:3">
      <c r="A2" s="51" t="s">
        <v>114</v>
      </c>
      <c r="B2" s="51" t="s">
        <v>116</v>
      </c>
      <c r="C2" s="62" t="s">
        <v>117</v>
      </c>
    </row>
    <row r="3" spans="1:3">
      <c r="A3" s="51" t="s">
        <v>118</v>
      </c>
      <c r="B3" s="51" t="s">
        <v>115</v>
      </c>
      <c r="C3" s="62" t="s">
        <v>119</v>
      </c>
    </row>
    <row r="4" spans="1:3">
      <c r="A4" s="51" t="s">
        <v>120</v>
      </c>
      <c r="B4" s="51" t="s">
        <v>121</v>
      </c>
      <c r="C4" s="62" t="s">
        <v>123</v>
      </c>
    </row>
    <row r="5" spans="1:3">
      <c r="A5" s="51" t="s">
        <v>122</v>
      </c>
      <c r="B5" s="51" t="s">
        <v>61</v>
      </c>
      <c r="C5" s="62" t="s">
        <v>124</v>
      </c>
    </row>
    <row r="6" spans="1:3">
      <c r="A6" s="63" t="s">
        <v>125</v>
      </c>
      <c r="B6" s="63" t="s">
        <v>126</v>
      </c>
      <c r="C6" s="62" t="s">
        <v>127</v>
      </c>
    </row>
    <row r="7" spans="1:3">
      <c r="A7" s="63" t="s">
        <v>128</v>
      </c>
      <c r="B7" s="63" t="s">
        <v>129</v>
      </c>
      <c r="C7" s="62" t="s">
        <v>130</v>
      </c>
    </row>
    <row r="8" spans="1:3">
      <c r="A8" s="63" t="s">
        <v>131</v>
      </c>
      <c r="B8" s="63" t="s">
        <v>132</v>
      </c>
      <c r="C8" s="62" t="s">
        <v>133</v>
      </c>
    </row>
    <row r="9" spans="1:3">
      <c r="A9" s="63" t="s">
        <v>134</v>
      </c>
      <c r="B9" s="63" t="s">
        <v>135</v>
      </c>
      <c r="C9" s="62" t="s">
        <v>136</v>
      </c>
    </row>
    <row r="10" spans="1:3">
      <c r="A10" s="63" t="s">
        <v>137</v>
      </c>
      <c r="B10" s="63" t="s">
        <v>138</v>
      </c>
      <c r="C10" s="62" t="s">
        <v>139</v>
      </c>
    </row>
    <row r="11" spans="1:3">
      <c r="A11" s="63" t="s">
        <v>140</v>
      </c>
      <c r="B11" s="63" t="s">
        <v>141</v>
      </c>
      <c r="C11" s="62" t="s">
        <v>142</v>
      </c>
    </row>
    <row r="13" spans="1:3">
      <c r="A13" t="s">
        <v>143</v>
      </c>
    </row>
    <row r="14" spans="1:3">
      <c r="A14" s="52" t="s">
        <v>125</v>
      </c>
      <c r="B14" s="51" t="str">
        <f>_xlfn.XLOOKUP(A14,A2:A11,C2:C11)</f>
        <v>+55</v>
      </c>
      <c r="C14" s="64" t="s">
        <v>144</v>
      </c>
    </row>
    <row r="15" spans="1:3">
      <c r="A15" s="52" t="s">
        <v>125</v>
      </c>
      <c r="B15" s="51" t="str">
        <f>VLOOKUP(A15,A2:C11,3)</f>
        <v>+55</v>
      </c>
      <c r="C15" s="64" t="s">
        <v>145</v>
      </c>
    </row>
    <row r="18" spans="1:3">
      <c r="A18" s="65" t="s">
        <v>146</v>
      </c>
      <c r="B18" s="65" t="s">
        <v>148</v>
      </c>
      <c r="C18" s="65" t="s">
        <v>147</v>
      </c>
    </row>
    <row r="19" spans="1:3">
      <c r="A19" s="54">
        <v>4390</v>
      </c>
      <c r="B19" s="51" t="s">
        <v>149</v>
      </c>
      <c r="C19" s="51" t="s">
        <v>150</v>
      </c>
    </row>
    <row r="20" spans="1:3">
      <c r="A20" s="54">
        <v>8604</v>
      </c>
      <c r="B20" s="51" t="s">
        <v>151</v>
      </c>
      <c r="C20" s="51" t="s">
        <v>152</v>
      </c>
    </row>
    <row r="21" spans="1:3">
      <c r="A21" s="54">
        <v>8389</v>
      </c>
      <c r="B21" s="51" t="s">
        <v>153</v>
      </c>
      <c r="C21" s="51" t="s">
        <v>154</v>
      </c>
    </row>
    <row r="22" spans="1:3">
      <c r="A22" s="54">
        <v>4937</v>
      </c>
      <c r="B22" s="51" t="s">
        <v>155</v>
      </c>
      <c r="C22" s="51" t="s">
        <v>156</v>
      </c>
    </row>
    <row r="23" spans="1:3">
      <c r="A23" s="54">
        <v>8299</v>
      </c>
      <c r="B23" s="51" t="s">
        <v>157</v>
      </c>
      <c r="C23" s="51" t="s">
        <v>158</v>
      </c>
    </row>
    <row r="24" spans="1:3">
      <c r="A24" s="54">
        <v>2643</v>
      </c>
      <c r="B24" s="51" t="s">
        <v>159</v>
      </c>
      <c r="C24" s="51" t="s">
        <v>160</v>
      </c>
    </row>
    <row r="25" spans="1:3">
      <c r="A25" s="54">
        <v>5243</v>
      </c>
      <c r="B25" s="51" t="s">
        <v>161</v>
      </c>
      <c r="C25" s="51" t="s">
        <v>152</v>
      </c>
    </row>
    <row r="26" spans="1:3">
      <c r="A26" s="54">
        <v>9693</v>
      </c>
      <c r="B26" s="51" t="s">
        <v>162</v>
      </c>
      <c r="C26" s="51" t="s">
        <v>154</v>
      </c>
    </row>
    <row r="27" spans="1:3">
      <c r="A27" s="54">
        <v>1636</v>
      </c>
      <c r="B27" s="51" t="s">
        <v>163</v>
      </c>
      <c r="C27" s="51" t="s">
        <v>156</v>
      </c>
    </row>
    <row r="28" spans="1:3">
      <c r="A28" s="54">
        <v>6703</v>
      </c>
      <c r="B28" s="51" t="s">
        <v>164</v>
      </c>
      <c r="C28" s="51" t="s">
        <v>150</v>
      </c>
    </row>
    <row r="30" spans="1:3">
      <c r="A30" s="65" t="s">
        <v>146</v>
      </c>
      <c r="B30" s="65" t="s">
        <v>148</v>
      </c>
      <c r="C30" s="65" t="s">
        <v>147</v>
      </c>
    </row>
    <row r="31" spans="1:3">
      <c r="A31" s="66">
        <v>8389</v>
      </c>
      <c r="B31" t="str" cm="1">
        <f t="array" ref="B31:C31">_xlfn.XLOOKUP(A31,A19:A28,B19:C28)</f>
        <v>Dianne Pugh</v>
      </c>
      <c r="C31" t="str">
        <v>Finance</v>
      </c>
    </row>
    <row r="32" spans="1:3">
      <c r="A32" s="66">
        <v>1111</v>
      </c>
      <c r="B32" t="str" cm="1">
        <f t="array" ref="B32">_xlfn.XLOOKUP(A32,A20:A29,B20:C29,"Not Found")</f>
        <v>Not Found</v>
      </c>
    </row>
    <row r="35" spans="1:11">
      <c r="A35" s="88" t="s">
        <v>165</v>
      </c>
      <c r="B35" s="88" t="s">
        <v>166</v>
      </c>
    </row>
    <row r="36" spans="1:11">
      <c r="A36" s="69">
        <v>0.1</v>
      </c>
      <c r="B36" s="70">
        <v>9700</v>
      </c>
    </row>
    <row r="37" spans="1:11">
      <c r="A37" s="69">
        <v>0.22</v>
      </c>
      <c r="B37" s="70">
        <v>39475</v>
      </c>
    </row>
    <row r="38" spans="1:11">
      <c r="A38" s="69">
        <v>0.24</v>
      </c>
      <c r="B38" s="70">
        <v>84200</v>
      </c>
    </row>
    <row r="39" spans="1:11">
      <c r="A39" s="69">
        <v>0.32</v>
      </c>
      <c r="B39" s="70">
        <v>160726</v>
      </c>
    </row>
    <row r="40" spans="1:11">
      <c r="A40" s="69">
        <v>0.35</v>
      </c>
      <c r="B40" s="70">
        <v>204100</v>
      </c>
    </row>
    <row r="41" spans="1:11">
      <c r="A41" s="69">
        <v>0.37</v>
      </c>
      <c r="B41" s="70">
        <v>510300</v>
      </c>
    </row>
    <row r="42" spans="1:11">
      <c r="A42" s="67"/>
      <c r="B42" s="68"/>
    </row>
    <row r="43" spans="1:11">
      <c r="A43" s="71" t="s">
        <v>167</v>
      </c>
      <c r="B43" s="72" t="s">
        <v>165</v>
      </c>
    </row>
    <row r="44" spans="1:11">
      <c r="A44" s="73">
        <v>46000</v>
      </c>
      <c r="B44" s="69">
        <f>_xlfn.XLOOKUP(A44,B36:B41,A36:A41,0,1,1)</f>
        <v>0.24</v>
      </c>
    </row>
    <row r="45" spans="1:11">
      <c r="A45" s="73">
        <v>20000</v>
      </c>
      <c r="B45" s="69">
        <f>_xlfn.XLOOKUP(A45,B37:B42,A37:A42,0,1,1)</f>
        <v>0.22</v>
      </c>
    </row>
    <row r="47" spans="1:11">
      <c r="E47" s="84" t="s">
        <v>168</v>
      </c>
      <c r="F47" s="84"/>
      <c r="G47" s="84"/>
      <c r="H47" s="84"/>
      <c r="I47" s="84"/>
      <c r="J47" s="84"/>
      <c r="K47" s="84"/>
    </row>
    <row r="48" spans="1:11">
      <c r="E48" s="84"/>
      <c r="F48" s="84"/>
      <c r="G48" s="84"/>
      <c r="H48" s="84"/>
      <c r="I48" s="84"/>
      <c r="J48" s="84"/>
      <c r="K48" s="84"/>
    </row>
    <row r="49" spans="1:11">
      <c r="E49" s="84"/>
      <c r="F49" s="84"/>
      <c r="G49" s="84"/>
      <c r="H49" s="84"/>
      <c r="I49" s="84"/>
      <c r="J49" s="84"/>
      <c r="K49" s="84"/>
    </row>
    <row r="50" spans="1:11">
      <c r="E50" s="84"/>
      <c r="F50" s="84"/>
      <c r="G50" s="84"/>
      <c r="H50" s="84"/>
      <c r="I50" s="84"/>
      <c r="J50" s="84"/>
      <c r="K50" s="84"/>
    </row>
    <row r="51" spans="1:11" ht="56.25" customHeight="1">
      <c r="E51" s="84"/>
      <c r="F51" s="84"/>
      <c r="G51" s="84"/>
      <c r="H51" s="84"/>
      <c r="I51" s="84"/>
      <c r="J51" s="84"/>
      <c r="K51" s="84"/>
    </row>
    <row r="53" spans="1:11">
      <c r="A53" s="74" t="s">
        <v>169</v>
      </c>
      <c r="B53" s="74" t="s">
        <v>170</v>
      </c>
      <c r="C53" s="74" t="s">
        <v>171</v>
      </c>
      <c r="D53" s="74" t="s">
        <v>172</v>
      </c>
      <c r="E53" s="74" t="s">
        <v>173</v>
      </c>
      <c r="F53" s="74" t="s">
        <v>174</v>
      </c>
    </row>
    <row r="54" spans="1:11">
      <c r="A54" s="51" t="s">
        <v>175</v>
      </c>
      <c r="B54" s="70">
        <v>50000</v>
      </c>
      <c r="C54" s="70">
        <v>78200</v>
      </c>
      <c r="D54" s="70">
        <v>89500</v>
      </c>
      <c r="E54" s="70">
        <v>91250</v>
      </c>
      <c r="F54" s="70">
        <f>SUM(B54:E54)</f>
        <v>308950</v>
      </c>
    </row>
    <row r="55" spans="1:11">
      <c r="A55" s="51" t="s">
        <v>176</v>
      </c>
      <c r="B55" s="70">
        <v>25000</v>
      </c>
      <c r="C55" s="70">
        <v>42050</v>
      </c>
      <c r="D55" s="70">
        <v>59450</v>
      </c>
      <c r="E55" s="70">
        <v>60450</v>
      </c>
      <c r="F55" s="70">
        <f>SUM(B55:E55)</f>
        <v>186950</v>
      </c>
    </row>
    <row r="56" spans="1:11">
      <c r="A56" s="51" t="s">
        <v>177</v>
      </c>
      <c r="B56" s="70">
        <v>25000</v>
      </c>
      <c r="C56" s="70">
        <v>36150</v>
      </c>
      <c r="D56" s="70">
        <v>30050</v>
      </c>
      <c r="E56" s="70">
        <v>30800</v>
      </c>
      <c r="F56" s="70">
        <f>SUM(B56:E56)</f>
        <v>122000</v>
      </c>
    </row>
    <row r="58" spans="1:11">
      <c r="A58" s="51" t="s">
        <v>178</v>
      </c>
      <c r="B58" s="75">
        <v>899</v>
      </c>
      <c r="C58" s="75">
        <v>791</v>
      </c>
      <c r="D58" s="75">
        <v>202</v>
      </c>
      <c r="E58" s="75">
        <v>412</v>
      </c>
      <c r="F58" s="70">
        <f>SUM(B58:E58)</f>
        <v>2304</v>
      </c>
    </row>
    <row r="59" spans="1:11">
      <c r="A59" s="51" t="s">
        <v>179</v>
      </c>
      <c r="B59" s="75">
        <v>513</v>
      </c>
      <c r="C59" s="75">
        <v>853</v>
      </c>
      <c r="D59" s="75">
        <v>150</v>
      </c>
      <c r="E59" s="75">
        <v>956</v>
      </c>
      <c r="F59" s="70">
        <f t="shared" ref="F59:F60" si="0">SUM(B59:E59)</f>
        <v>2472</v>
      </c>
    </row>
    <row r="60" spans="1:11">
      <c r="A60" s="51" t="s">
        <v>180</v>
      </c>
      <c r="B60" s="75">
        <v>23588</v>
      </c>
      <c r="C60" s="75">
        <v>34506</v>
      </c>
      <c r="D60" s="75">
        <v>29698</v>
      </c>
      <c r="E60" s="75">
        <v>29432</v>
      </c>
      <c r="F60" s="70">
        <f t="shared" si="0"/>
        <v>117224</v>
      </c>
    </row>
    <row r="62" spans="1:11">
      <c r="A62" s="51" t="s">
        <v>181</v>
      </c>
      <c r="B62" s="75">
        <v>4246</v>
      </c>
      <c r="C62" s="75">
        <v>6211</v>
      </c>
      <c r="D62" s="75">
        <v>5346</v>
      </c>
      <c r="E62" s="75">
        <v>5298</v>
      </c>
      <c r="F62" s="70">
        <f>SUM(B62:E62)</f>
        <v>21101</v>
      </c>
    </row>
    <row r="64" spans="1:11">
      <c r="A64" s="51" t="s">
        <v>182</v>
      </c>
      <c r="B64" s="75">
        <v>19342</v>
      </c>
      <c r="C64" s="75">
        <v>28295</v>
      </c>
      <c r="D64" s="75">
        <v>24352</v>
      </c>
      <c r="E64" s="75">
        <v>24134</v>
      </c>
      <c r="F64" s="70">
        <f>SUM(B64:E64)</f>
        <v>96123</v>
      </c>
    </row>
    <row r="65" spans="1:6">
      <c r="A65" s="51" t="s">
        <v>183</v>
      </c>
      <c r="B65" s="76">
        <v>0.29299999999999998</v>
      </c>
      <c r="C65" s="76">
        <v>0.27800000000000002</v>
      </c>
      <c r="D65" s="76">
        <v>0.23400000000000001</v>
      </c>
      <c r="E65" s="76">
        <v>0.27600000000000002</v>
      </c>
      <c r="F65" s="76">
        <v>0.26900000000000002</v>
      </c>
    </row>
    <row r="67" spans="1:6">
      <c r="A67" s="74" t="s">
        <v>184</v>
      </c>
      <c r="B67" s="74" t="s">
        <v>177</v>
      </c>
      <c r="C67" s="74" t="s">
        <v>182</v>
      </c>
      <c r="D67" s="74" t="s">
        <v>183</v>
      </c>
    </row>
    <row r="68" spans="1:6">
      <c r="A68" s="51" t="s">
        <v>170</v>
      </c>
      <c r="B68" s="70" cm="1">
        <f t="array" ref="B68">_xlfn.XLOOKUP(B67,$A54:$A65,_xlfn.XLOOKUP($A68,$B53:$F53,$B54:$F65))</f>
        <v>25000</v>
      </c>
      <c r="C68" s="70" cm="1">
        <f t="array" ref="C68">_xlfn.XLOOKUP(C67,$A54:$A65,_xlfn.XLOOKUP($A68,$B53:$F53,$B54:$F65))</f>
        <v>19342</v>
      </c>
      <c r="D68" s="76" cm="1">
        <f t="array" ref="D68">_xlfn.XLOOKUP(D67,$A54:$A65,_xlfn.XLOOKUP($A68,$B53:$F53,$B54:$F65))</f>
        <v>0.29299999999999998</v>
      </c>
    </row>
  </sheetData>
  <mergeCells count="1">
    <mergeCell ref="E47:K51"/>
  </mergeCells>
  <pageMargins left="0.7" right="0.7" top="0.75" bottom="0.75" header="0.3" footer="0.3"/>
  <pageSetup orientation="portrait" horizontalDpi="4294967293" verticalDpi="4294967293" r:id="rId1"/>
  <ignoredErrors>
    <ignoredError sqref="C2 C3:C11" numberStoredAsText="1"/>
  </ignoredError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ECC2-7239-4715-82B8-15514DE01F37}">
  <dimension ref="B2:G17"/>
  <sheetViews>
    <sheetView workbookViewId="0">
      <selection activeCell="G24" sqref="G24"/>
    </sheetView>
  </sheetViews>
  <sheetFormatPr defaultRowHeight="15"/>
  <cols>
    <col min="2" max="2" width="12.42578125" bestFit="1" customWidth="1"/>
    <col min="3" max="6" width="10.140625" bestFit="1" customWidth="1"/>
    <col min="7" max="7" width="11.140625" bestFit="1" customWidth="1"/>
  </cols>
  <sheetData>
    <row r="2" spans="2:7">
      <c r="C2" s="74" t="s">
        <v>184</v>
      </c>
      <c r="D2" s="74" t="s">
        <v>177</v>
      </c>
      <c r="E2" s="74" t="s">
        <v>182</v>
      </c>
      <c r="F2" s="74" t="s">
        <v>183</v>
      </c>
    </row>
    <row r="3" spans="2:7">
      <c r="C3" s="51" t="s">
        <v>170</v>
      </c>
      <c r="D3" s="51" cm="1">
        <f t="array" ref="D3">_xlfn.XLOOKUP(D2,$B6:$B17,_xlfn.XLOOKUP($C3,$C5:$G5,$C6:$G17))</f>
        <v>25000</v>
      </c>
      <c r="E3" s="51" cm="1">
        <f t="array" ref="E3">_xlfn.XLOOKUP(E2,$B6:$B17,_xlfn.XLOOKUP($C3,$C5:$G5,$C6:$G17))</f>
        <v>19342</v>
      </c>
      <c r="F3" s="76" cm="1">
        <f t="array" ref="F3">_xlfn.XLOOKUP(F2,$B6:$B17,_xlfn.XLOOKUP($C3,$C5:$G5,$C6:$G17))</f>
        <v>0.29299999999999998</v>
      </c>
    </row>
    <row r="5" spans="2:7">
      <c r="B5" s="74" t="s">
        <v>169</v>
      </c>
      <c r="C5" s="74" t="s">
        <v>170</v>
      </c>
      <c r="D5" s="74" t="s">
        <v>171</v>
      </c>
      <c r="E5" s="74" t="s">
        <v>172</v>
      </c>
      <c r="F5" s="74" t="s">
        <v>173</v>
      </c>
      <c r="G5" s="74" t="s">
        <v>174</v>
      </c>
    </row>
    <row r="6" spans="2:7">
      <c r="B6" s="51" t="s">
        <v>175</v>
      </c>
      <c r="C6" s="70">
        <v>50000</v>
      </c>
      <c r="D6" s="70">
        <v>78200</v>
      </c>
      <c r="E6" s="70">
        <v>89500</v>
      </c>
      <c r="F6" s="70">
        <v>91250</v>
      </c>
      <c r="G6" s="70">
        <f>SUM(C6:F6)</f>
        <v>308950</v>
      </c>
    </row>
    <row r="7" spans="2:7">
      <c r="B7" s="51" t="s">
        <v>176</v>
      </c>
      <c r="C7" s="70">
        <v>25000</v>
      </c>
      <c r="D7" s="70">
        <v>42050</v>
      </c>
      <c r="E7" s="70">
        <v>59450</v>
      </c>
      <c r="F7" s="70">
        <v>60450</v>
      </c>
      <c r="G7" s="70">
        <f>SUM(C7:F7)</f>
        <v>186950</v>
      </c>
    </row>
    <row r="8" spans="2:7">
      <c r="B8" s="51" t="s">
        <v>177</v>
      </c>
      <c r="C8" s="70">
        <v>25000</v>
      </c>
      <c r="D8" s="70">
        <v>36150</v>
      </c>
      <c r="E8" s="70">
        <v>30050</v>
      </c>
      <c r="F8" s="70">
        <v>30800</v>
      </c>
      <c r="G8" s="70">
        <f>SUM(C8:F8)</f>
        <v>122000</v>
      </c>
    </row>
    <row r="10" spans="2:7">
      <c r="B10" s="51" t="s">
        <v>178</v>
      </c>
      <c r="C10" s="75">
        <v>899</v>
      </c>
      <c r="D10" s="75">
        <v>791</v>
      </c>
      <c r="E10" s="75">
        <v>202</v>
      </c>
      <c r="F10" s="75">
        <v>412</v>
      </c>
      <c r="G10" s="70">
        <f>SUM(C10:F10)</f>
        <v>2304</v>
      </c>
    </row>
    <row r="11" spans="2:7">
      <c r="B11" s="51" t="s">
        <v>179</v>
      </c>
      <c r="C11" s="75">
        <v>513</v>
      </c>
      <c r="D11" s="75">
        <v>853</v>
      </c>
      <c r="E11" s="75">
        <v>150</v>
      </c>
      <c r="F11" s="75">
        <v>956</v>
      </c>
      <c r="G11" s="70">
        <f t="shared" ref="G11:G12" si="0">SUM(C11:F11)</f>
        <v>2472</v>
      </c>
    </row>
    <row r="12" spans="2:7">
      <c r="B12" s="51" t="s">
        <v>180</v>
      </c>
      <c r="C12" s="75">
        <v>23588</v>
      </c>
      <c r="D12" s="75">
        <v>34506</v>
      </c>
      <c r="E12" s="75">
        <v>29698</v>
      </c>
      <c r="F12" s="75">
        <v>29432</v>
      </c>
      <c r="G12" s="70">
        <f t="shared" si="0"/>
        <v>117224</v>
      </c>
    </row>
    <row r="14" spans="2:7">
      <c r="B14" s="51" t="s">
        <v>181</v>
      </c>
      <c r="C14" s="75">
        <v>4246</v>
      </c>
      <c r="D14" s="75">
        <v>6211</v>
      </c>
      <c r="E14" s="75">
        <v>5346</v>
      </c>
      <c r="F14" s="75">
        <v>5298</v>
      </c>
      <c r="G14" s="70">
        <f>SUM(C14:F14)</f>
        <v>21101</v>
      </c>
    </row>
    <row r="16" spans="2:7">
      <c r="B16" s="51" t="s">
        <v>182</v>
      </c>
      <c r="C16" s="75">
        <v>19342</v>
      </c>
      <c r="D16" s="75">
        <v>28295</v>
      </c>
      <c r="E16" s="75">
        <v>24352</v>
      </c>
      <c r="F16" s="75">
        <v>24134</v>
      </c>
      <c r="G16" s="70">
        <f>SUM(C16:F16)</f>
        <v>96123</v>
      </c>
    </row>
    <row r="17" spans="2:7">
      <c r="B17" s="51" t="s">
        <v>183</v>
      </c>
      <c r="C17" s="76">
        <v>0.29299999999999998</v>
      </c>
      <c r="D17" s="76">
        <v>0.27800000000000002</v>
      </c>
      <c r="E17" s="76">
        <v>0.23400000000000001</v>
      </c>
      <c r="F17" s="76">
        <v>0.27600000000000002</v>
      </c>
      <c r="G17" s="76">
        <v>0.26900000000000002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BA7B-D8F2-4B10-803A-B1CE690CC0BE}">
  <dimension ref="A1:G7"/>
  <sheetViews>
    <sheetView workbookViewId="0">
      <selection activeCell="G4" sqref="G4"/>
    </sheetView>
  </sheetViews>
  <sheetFormatPr defaultRowHeight="15"/>
  <cols>
    <col min="1" max="1" width="16.85546875" bestFit="1" customWidth="1"/>
    <col min="5" max="5" width="20.7109375" bestFit="1" customWidth="1"/>
    <col min="6" max="7" width="11.7109375" bestFit="1" customWidth="1"/>
  </cols>
  <sheetData>
    <row r="1" spans="1:7">
      <c r="C1" s="52" t="s">
        <v>186</v>
      </c>
      <c r="D1" s="52" t="s">
        <v>187</v>
      </c>
      <c r="E1" s="52" t="s">
        <v>188</v>
      </c>
      <c r="F1" s="52" t="s">
        <v>192</v>
      </c>
      <c r="G1" s="52" t="s">
        <v>193</v>
      </c>
    </row>
    <row r="2" spans="1:7">
      <c r="A2" s="49" t="s">
        <v>185</v>
      </c>
      <c r="C2" s="51">
        <f>FIND("M",A2)</f>
        <v>1</v>
      </c>
      <c r="D2" s="51">
        <f>FIND("m",A2)</f>
        <v>6</v>
      </c>
      <c r="E2" s="51">
        <f>FIND("M",A2,3)</f>
        <v>8</v>
      </c>
      <c r="F2" s="51">
        <f>SEARCH("m",A2)</f>
        <v>1</v>
      </c>
      <c r="G2" s="51">
        <f>SEARCH("M",A2)</f>
        <v>1</v>
      </c>
    </row>
    <row r="5" spans="1:7" ht="45">
      <c r="A5" s="78" t="s">
        <v>189</v>
      </c>
      <c r="B5" s="77"/>
      <c r="C5" s="77"/>
    </row>
    <row r="6" spans="1:7" ht="30">
      <c r="A6" s="78" t="s">
        <v>190</v>
      </c>
      <c r="B6" s="77"/>
      <c r="C6" s="77"/>
    </row>
    <row r="7" spans="1:7" ht="30">
      <c r="A7" s="78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</vt:lpstr>
      <vt:lpstr>CONTA</vt:lpstr>
      <vt:lpstr>MEDIA e MEDIA.SE</vt:lpstr>
      <vt:lpstr>MEDIA.PIU.SE</vt:lpstr>
      <vt:lpstr>TEXTSPLIT</vt:lpstr>
      <vt:lpstr>VLOOKUP</vt:lpstr>
      <vt:lpstr>Sheet1</vt:lpstr>
      <vt:lpstr>CONCAT</vt:lpstr>
      <vt:lpstr>HLOOKUP</vt:lpstr>
      <vt:lpstr>XLOOKUP</vt:lpstr>
      <vt:lpstr>XLOOKUP 2</vt:lpstr>
      <vt:lpstr>FIND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Pierluigi Salera</dc:creator>
  <cp:lastModifiedBy>Pierluigi Salera</cp:lastModifiedBy>
  <dcterms:created xsi:type="dcterms:W3CDTF">2023-06-21T05:08:41Z</dcterms:created>
  <dcterms:modified xsi:type="dcterms:W3CDTF">2023-06-28T10:34:55Z</dcterms:modified>
</cp:coreProperties>
</file>